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th Ross\Desktop\Sage\Sage Costs and Budget\2021-2022 Budget\"/>
    </mc:Choice>
  </mc:AlternateContent>
  <bookViews>
    <workbookView xWindow="0" yWindow="0" windowWidth="28800" windowHeight="11985"/>
  </bookViews>
  <sheets>
    <sheet name="Summary (2)" sheetId="1" r:id="rId1"/>
    <sheet name="Summary" sheetId="2" r:id="rId2"/>
    <sheet name="FY20-21 budget" sheetId="3" r:id="rId3"/>
    <sheet name="Avg master" sheetId="4" r:id="rId4"/>
    <sheet name="Survey results" sheetId="5" r:id="rId5"/>
    <sheet name="Options 1-3" sheetId="6" r:id="rId6"/>
    <sheet name="Op4" sheetId="7" r:id="rId7"/>
    <sheet name="Op5" sheetId="8" r:id="rId8"/>
    <sheet name="Op6" sheetId="9" r:id="rId9"/>
    <sheet name="Op7" sheetId="10" r:id="rId10"/>
    <sheet name="Op8" sheetId="11" r:id="rId11"/>
    <sheet name="Op9" sheetId="12" r:id="rId12"/>
    <sheet name="5 yr plan" sheetId="13" r:id="rId13"/>
    <sheet name="5 yr plan (2)" sheetId="14" r:id="rId14"/>
  </sheets>
  <calcPr calcId="162913"/>
</workbook>
</file>

<file path=xl/calcChain.xml><?xml version="1.0" encoding="utf-8"?>
<calcChain xmlns="http://schemas.openxmlformats.org/spreadsheetml/2006/main">
  <c r="B79" i="14" l="1"/>
  <c r="G73" i="14"/>
  <c r="H73" i="14" s="1"/>
  <c r="I73" i="14" s="1"/>
  <c r="J73" i="14" s="1"/>
  <c r="K73" i="14" s="1"/>
  <c r="B69" i="14"/>
  <c r="G66" i="14"/>
  <c r="F66" i="14"/>
  <c r="E66" i="14"/>
  <c r="F65" i="14"/>
  <c r="E65" i="14"/>
  <c r="F64" i="14"/>
  <c r="E64" i="14"/>
  <c r="G63" i="14"/>
  <c r="H63" i="14" s="1"/>
  <c r="F63" i="14"/>
  <c r="E63" i="14"/>
  <c r="G62" i="14"/>
  <c r="F62" i="14"/>
  <c r="E62" i="14"/>
  <c r="F61" i="14"/>
  <c r="E61" i="14"/>
  <c r="F60" i="14"/>
  <c r="E60" i="14"/>
  <c r="H59" i="14"/>
  <c r="G59" i="14"/>
  <c r="F59" i="14"/>
  <c r="E59" i="14"/>
  <c r="G58" i="14"/>
  <c r="F58" i="14"/>
  <c r="E58" i="14"/>
  <c r="F57" i="14"/>
  <c r="E57" i="14"/>
  <c r="F56" i="14"/>
  <c r="E56" i="14"/>
  <c r="G55" i="14"/>
  <c r="H55" i="14" s="1"/>
  <c r="F55" i="14"/>
  <c r="E55" i="14"/>
  <c r="G54" i="14"/>
  <c r="F54" i="14"/>
  <c r="E54" i="14"/>
  <c r="F53" i="14"/>
  <c r="E53" i="14"/>
  <c r="F52" i="14"/>
  <c r="E52" i="14"/>
  <c r="H51" i="14"/>
  <c r="G51" i="14"/>
  <c r="F51" i="14"/>
  <c r="E51" i="14"/>
  <c r="G50" i="14"/>
  <c r="F50" i="14"/>
  <c r="E50" i="14"/>
  <c r="F49" i="14"/>
  <c r="E49" i="14"/>
  <c r="F48" i="14"/>
  <c r="E48" i="14"/>
  <c r="G47" i="14"/>
  <c r="H47" i="14" s="1"/>
  <c r="F47" i="14"/>
  <c r="E47" i="14"/>
  <c r="G46" i="14"/>
  <c r="F46" i="14"/>
  <c r="E46" i="14"/>
  <c r="F45" i="14"/>
  <c r="E45" i="14"/>
  <c r="F44" i="14"/>
  <c r="E44" i="14"/>
  <c r="H43" i="14"/>
  <c r="G43" i="14"/>
  <c r="F43" i="14"/>
  <c r="E43" i="14"/>
  <c r="G42" i="14"/>
  <c r="F42" i="14"/>
  <c r="E42" i="14"/>
  <c r="F41" i="14"/>
  <c r="E41" i="14"/>
  <c r="F40" i="14"/>
  <c r="E40" i="14"/>
  <c r="G39" i="14"/>
  <c r="H39" i="14" s="1"/>
  <c r="F39" i="14"/>
  <c r="E39" i="14"/>
  <c r="G38" i="14"/>
  <c r="F38" i="14"/>
  <c r="E38" i="14"/>
  <c r="F37" i="14"/>
  <c r="E37" i="14"/>
  <c r="F36" i="14"/>
  <c r="E36" i="14"/>
  <c r="H35" i="14"/>
  <c r="G35" i="14"/>
  <c r="F35" i="14"/>
  <c r="E35" i="14"/>
  <c r="G34" i="14"/>
  <c r="F34" i="14"/>
  <c r="E34" i="14"/>
  <c r="F33" i="14"/>
  <c r="E33" i="14"/>
  <c r="F32" i="14"/>
  <c r="E32" i="14"/>
  <c r="G31" i="14"/>
  <c r="H31" i="14" s="1"/>
  <c r="F31" i="14"/>
  <c r="E31" i="14"/>
  <c r="G30" i="14"/>
  <c r="F30" i="14"/>
  <c r="E30" i="14"/>
  <c r="F29" i="14"/>
  <c r="E29" i="14"/>
  <c r="F28" i="14"/>
  <c r="E28" i="14"/>
  <c r="H27" i="14"/>
  <c r="G27" i="14"/>
  <c r="F27" i="14"/>
  <c r="E27" i="14"/>
  <c r="G26" i="14"/>
  <c r="F26" i="14"/>
  <c r="E26" i="14"/>
  <c r="F25" i="14"/>
  <c r="E25" i="14"/>
  <c r="F24" i="14"/>
  <c r="E24" i="14"/>
  <c r="G23" i="14"/>
  <c r="H23" i="14" s="1"/>
  <c r="F23" i="14"/>
  <c r="E23" i="14"/>
  <c r="G22" i="14"/>
  <c r="F22" i="14"/>
  <c r="E22" i="14"/>
  <c r="F21" i="14"/>
  <c r="E21" i="14"/>
  <c r="F20" i="14"/>
  <c r="E20" i="14"/>
  <c r="H19" i="14"/>
  <c r="G19" i="14"/>
  <c r="F19" i="14"/>
  <c r="E19" i="14"/>
  <c r="G18" i="14"/>
  <c r="F18" i="14"/>
  <c r="E18" i="14"/>
  <c r="F17" i="14"/>
  <c r="E17" i="14"/>
  <c r="F16" i="14"/>
  <c r="E16" i="14"/>
  <c r="G15" i="14"/>
  <c r="H15" i="14" s="1"/>
  <c r="F15" i="14"/>
  <c r="E15" i="14"/>
  <c r="G14" i="14"/>
  <c r="F14" i="14"/>
  <c r="E14" i="14"/>
  <c r="F13" i="14"/>
  <c r="E13" i="14"/>
  <c r="D79" i="13"/>
  <c r="B79" i="13"/>
  <c r="H73" i="13"/>
  <c r="I73" i="13" s="1"/>
  <c r="J73" i="13" s="1"/>
  <c r="K73" i="13" s="1"/>
  <c r="G73" i="13"/>
  <c r="S70" i="13"/>
  <c r="AE69" i="13"/>
  <c r="AE70" i="13" s="1"/>
  <c r="AD69" i="13"/>
  <c r="AC69" i="13"/>
  <c r="AC70" i="13" s="1"/>
  <c r="AB69" i="13"/>
  <c r="AB70" i="13" s="1"/>
  <c r="AA69" i="13"/>
  <c r="Y69" i="13"/>
  <c r="W69" i="13"/>
  <c r="U69" i="13"/>
  <c r="U70" i="13" s="1"/>
  <c r="T69" i="13"/>
  <c r="S69" i="13"/>
  <c r="R69" i="13"/>
  <c r="R70" i="13" s="1"/>
  <c r="Q69" i="13"/>
  <c r="M69" i="13"/>
  <c r="D69" i="13"/>
  <c r="B69" i="13"/>
  <c r="X66" i="13"/>
  <c r="P66" i="13"/>
  <c r="O66" i="13"/>
  <c r="N66" i="13"/>
  <c r="F66" i="13"/>
  <c r="E66" i="13"/>
  <c r="X65" i="13"/>
  <c r="P65" i="13"/>
  <c r="O65" i="13"/>
  <c r="N65" i="13"/>
  <c r="H65" i="13"/>
  <c r="G65" i="13"/>
  <c r="F65" i="13"/>
  <c r="E65" i="13"/>
  <c r="X64" i="13"/>
  <c r="P64" i="13"/>
  <c r="O64" i="13"/>
  <c r="N64" i="13"/>
  <c r="H64" i="13"/>
  <c r="G64" i="13"/>
  <c r="F64" i="13"/>
  <c r="E64" i="13"/>
  <c r="X63" i="13"/>
  <c r="P63" i="13"/>
  <c r="O63" i="13"/>
  <c r="N63" i="13"/>
  <c r="F63" i="13"/>
  <c r="E63" i="13"/>
  <c r="X62" i="13"/>
  <c r="P62" i="13"/>
  <c r="O62" i="13"/>
  <c r="N62" i="13"/>
  <c r="F62" i="13"/>
  <c r="E62" i="13"/>
  <c r="X61" i="13"/>
  <c r="P61" i="13"/>
  <c r="O61" i="13"/>
  <c r="N61" i="13"/>
  <c r="G61" i="13"/>
  <c r="F61" i="13"/>
  <c r="E61" i="13"/>
  <c r="X60" i="13"/>
  <c r="P60" i="13"/>
  <c r="O60" i="13"/>
  <c r="N60" i="13"/>
  <c r="H60" i="13"/>
  <c r="G60" i="13"/>
  <c r="F60" i="13"/>
  <c r="E60" i="13"/>
  <c r="I60" i="13" s="1"/>
  <c r="J60" i="13" s="1"/>
  <c r="K60" i="13" s="1"/>
  <c r="X59" i="13"/>
  <c r="P59" i="13"/>
  <c r="O59" i="13"/>
  <c r="N59" i="13"/>
  <c r="F59" i="13"/>
  <c r="E59" i="13"/>
  <c r="X58" i="13"/>
  <c r="P58" i="13"/>
  <c r="O58" i="13"/>
  <c r="N58" i="13"/>
  <c r="F58" i="13"/>
  <c r="E58" i="13"/>
  <c r="X57" i="13"/>
  <c r="P57" i="13"/>
  <c r="O57" i="13"/>
  <c r="N57" i="13"/>
  <c r="G57" i="13"/>
  <c r="F57" i="13"/>
  <c r="E57" i="13"/>
  <c r="X56" i="13"/>
  <c r="P56" i="13"/>
  <c r="O56" i="13"/>
  <c r="N56" i="13"/>
  <c r="H56" i="13"/>
  <c r="G56" i="13"/>
  <c r="F56" i="13"/>
  <c r="E56" i="13"/>
  <c r="I56" i="13" s="1"/>
  <c r="J56" i="13" s="1"/>
  <c r="K56" i="13" s="1"/>
  <c r="X55" i="13"/>
  <c r="P55" i="13"/>
  <c r="O55" i="13"/>
  <c r="N55" i="13"/>
  <c r="F55" i="13"/>
  <c r="E55" i="13"/>
  <c r="X54" i="13"/>
  <c r="P54" i="13"/>
  <c r="O54" i="13"/>
  <c r="N54" i="13"/>
  <c r="F54" i="13"/>
  <c r="E54" i="13"/>
  <c r="X53" i="13"/>
  <c r="P53" i="13"/>
  <c r="O53" i="13"/>
  <c r="N53" i="13"/>
  <c r="G53" i="13"/>
  <c r="H53" i="13" s="1"/>
  <c r="F53" i="13"/>
  <c r="E53" i="13"/>
  <c r="X52" i="13"/>
  <c r="P52" i="13"/>
  <c r="O52" i="13"/>
  <c r="N52" i="13"/>
  <c r="J52" i="13"/>
  <c r="K52" i="13" s="1"/>
  <c r="G52" i="13"/>
  <c r="H52" i="13" s="1"/>
  <c r="F52" i="13"/>
  <c r="E52" i="13"/>
  <c r="I52" i="13" s="1"/>
  <c r="X51" i="13"/>
  <c r="P51" i="13"/>
  <c r="O51" i="13"/>
  <c r="N51" i="13"/>
  <c r="F51" i="13"/>
  <c r="E51" i="13"/>
  <c r="X50" i="13"/>
  <c r="P50" i="13"/>
  <c r="O50" i="13"/>
  <c r="N50" i="13"/>
  <c r="F50" i="13"/>
  <c r="E50" i="13"/>
  <c r="X49" i="13"/>
  <c r="P49" i="13"/>
  <c r="O49" i="13"/>
  <c r="N49" i="13"/>
  <c r="G49" i="13"/>
  <c r="H49" i="13" s="1"/>
  <c r="F49" i="13"/>
  <c r="E49" i="13"/>
  <c r="X48" i="13"/>
  <c r="P48" i="13"/>
  <c r="O48" i="13"/>
  <c r="N48" i="13"/>
  <c r="G48" i="13"/>
  <c r="H48" i="13" s="1"/>
  <c r="F48" i="13"/>
  <c r="E48" i="13"/>
  <c r="X47" i="13"/>
  <c r="P47" i="13"/>
  <c r="O47" i="13"/>
  <c r="N47" i="13"/>
  <c r="F47" i="13"/>
  <c r="E47" i="13"/>
  <c r="X46" i="13"/>
  <c r="P46" i="13"/>
  <c r="O46" i="13"/>
  <c r="N46" i="13"/>
  <c r="F46" i="13"/>
  <c r="E46" i="13"/>
  <c r="X45" i="13"/>
  <c r="P45" i="13"/>
  <c r="O45" i="13"/>
  <c r="N45" i="13"/>
  <c r="G45" i="13"/>
  <c r="H45" i="13" s="1"/>
  <c r="F45" i="13"/>
  <c r="E45" i="13"/>
  <c r="X44" i="13"/>
  <c r="P44" i="13"/>
  <c r="O44" i="13"/>
  <c r="N44" i="13"/>
  <c r="J44" i="13"/>
  <c r="K44" i="13" s="1"/>
  <c r="G44" i="13"/>
  <c r="H44" i="13" s="1"/>
  <c r="F44" i="13"/>
  <c r="E44" i="13"/>
  <c r="I44" i="13" s="1"/>
  <c r="X43" i="13"/>
  <c r="P43" i="13"/>
  <c r="O43" i="13"/>
  <c r="N43" i="13"/>
  <c r="F43" i="13"/>
  <c r="E43" i="13"/>
  <c r="X42" i="13"/>
  <c r="P42" i="13"/>
  <c r="O42" i="13"/>
  <c r="N42" i="13"/>
  <c r="F42" i="13"/>
  <c r="E42" i="13"/>
  <c r="X41" i="13"/>
  <c r="P41" i="13"/>
  <c r="O41" i="13"/>
  <c r="N41" i="13"/>
  <c r="G41" i="13"/>
  <c r="H41" i="13" s="1"/>
  <c r="F41" i="13"/>
  <c r="E41" i="13"/>
  <c r="X40" i="13"/>
  <c r="P40" i="13"/>
  <c r="O40" i="13"/>
  <c r="N40" i="13"/>
  <c r="G40" i="13"/>
  <c r="H40" i="13" s="1"/>
  <c r="F40" i="13"/>
  <c r="E40" i="13"/>
  <c r="X39" i="13"/>
  <c r="P39" i="13"/>
  <c r="O39" i="13"/>
  <c r="N39" i="13"/>
  <c r="F39" i="13"/>
  <c r="E39" i="13"/>
  <c r="X38" i="13"/>
  <c r="P38" i="13"/>
  <c r="O38" i="13"/>
  <c r="N38" i="13"/>
  <c r="F38" i="13"/>
  <c r="E38" i="13"/>
  <c r="X37" i="13"/>
  <c r="P37" i="13"/>
  <c r="O37" i="13"/>
  <c r="N37" i="13"/>
  <c r="G37" i="13"/>
  <c r="H37" i="13" s="1"/>
  <c r="F37" i="13"/>
  <c r="E37" i="13"/>
  <c r="X36" i="13"/>
  <c r="P36" i="13"/>
  <c r="O36" i="13"/>
  <c r="N36" i="13"/>
  <c r="J36" i="13"/>
  <c r="K36" i="13" s="1"/>
  <c r="G36" i="13"/>
  <c r="H36" i="13" s="1"/>
  <c r="F36" i="13"/>
  <c r="E36" i="13"/>
  <c r="I36" i="13" s="1"/>
  <c r="X35" i="13"/>
  <c r="P35" i="13"/>
  <c r="O35" i="13"/>
  <c r="N35" i="13"/>
  <c r="F35" i="13"/>
  <c r="E35" i="13"/>
  <c r="X34" i="13"/>
  <c r="P34" i="13"/>
  <c r="O34" i="13"/>
  <c r="N34" i="13"/>
  <c r="F34" i="13"/>
  <c r="E34" i="13"/>
  <c r="X33" i="13"/>
  <c r="P33" i="13"/>
  <c r="O33" i="13"/>
  <c r="N33" i="13"/>
  <c r="H33" i="13"/>
  <c r="G33" i="13"/>
  <c r="F33" i="13"/>
  <c r="E33" i="13"/>
  <c r="X32" i="13"/>
  <c r="P32" i="13"/>
  <c r="O32" i="13"/>
  <c r="N32" i="13"/>
  <c r="G32" i="13"/>
  <c r="H32" i="13" s="1"/>
  <c r="F32" i="13"/>
  <c r="E32" i="13"/>
  <c r="X31" i="13"/>
  <c r="P31" i="13"/>
  <c r="O31" i="13"/>
  <c r="N31" i="13"/>
  <c r="F31" i="13"/>
  <c r="E31" i="13"/>
  <c r="X30" i="13"/>
  <c r="P30" i="13"/>
  <c r="O30" i="13"/>
  <c r="N30" i="13"/>
  <c r="F30" i="13"/>
  <c r="E30" i="13"/>
  <c r="X29" i="13"/>
  <c r="P29" i="13"/>
  <c r="O29" i="13"/>
  <c r="N29" i="13"/>
  <c r="F29" i="13"/>
  <c r="E29" i="13"/>
  <c r="X28" i="13"/>
  <c r="P28" i="13"/>
  <c r="O28" i="13"/>
  <c r="N28" i="13"/>
  <c r="G28" i="13"/>
  <c r="H28" i="13" s="1"/>
  <c r="F28" i="13"/>
  <c r="E28" i="13"/>
  <c r="X27" i="13"/>
  <c r="P27" i="13"/>
  <c r="O27" i="13"/>
  <c r="N27" i="13"/>
  <c r="F27" i="13"/>
  <c r="E27" i="13"/>
  <c r="X26" i="13"/>
  <c r="P26" i="13"/>
  <c r="O26" i="13"/>
  <c r="N26" i="13"/>
  <c r="F26" i="13"/>
  <c r="E26" i="13"/>
  <c r="X25" i="13"/>
  <c r="P25" i="13"/>
  <c r="O25" i="13"/>
  <c r="N25" i="13"/>
  <c r="G25" i="13"/>
  <c r="H25" i="13" s="1"/>
  <c r="F25" i="13"/>
  <c r="E25" i="13"/>
  <c r="X24" i="13"/>
  <c r="P24" i="13"/>
  <c r="O24" i="13"/>
  <c r="N24" i="13"/>
  <c r="H24" i="13"/>
  <c r="G24" i="13"/>
  <c r="F24" i="13"/>
  <c r="E24" i="13"/>
  <c r="I24" i="13" s="1"/>
  <c r="J24" i="13" s="1"/>
  <c r="K24" i="13" s="1"/>
  <c r="X23" i="13"/>
  <c r="P23" i="13"/>
  <c r="O23" i="13"/>
  <c r="N23" i="13"/>
  <c r="G23" i="13"/>
  <c r="F23" i="13"/>
  <c r="E23" i="13"/>
  <c r="X22" i="13"/>
  <c r="P22" i="13"/>
  <c r="O22" i="13"/>
  <c r="N22" i="13"/>
  <c r="F22" i="13"/>
  <c r="E22" i="13"/>
  <c r="X21" i="13"/>
  <c r="P21" i="13"/>
  <c r="O21" i="13"/>
  <c r="N21" i="13"/>
  <c r="G21" i="13"/>
  <c r="F21" i="13"/>
  <c r="E21" i="13"/>
  <c r="H21" i="13" s="1"/>
  <c r="X20" i="13"/>
  <c r="P20" i="13"/>
  <c r="O20" i="13"/>
  <c r="N20" i="13"/>
  <c r="H20" i="13"/>
  <c r="G20" i="13"/>
  <c r="F20" i="13"/>
  <c r="E20" i="13"/>
  <c r="X19" i="13"/>
  <c r="P19" i="13"/>
  <c r="O19" i="13"/>
  <c r="N19" i="13"/>
  <c r="G19" i="13"/>
  <c r="F19" i="13"/>
  <c r="E19" i="13"/>
  <c r="X18" i="13"/>
  <c r="P18" i="13"/>
  <c r="O18" i="13"/>
  <c r="N18" i="13"/>
  <c r="F18" i="13"/>
  <c r="E18" i="13"/>
  <c r="X17" i="13"/>
  <c r="P17" i="13"/>
  <c r="O17" i="13"/>
  <c r="N17" i="13"/>
  <c r="F17" i="13"/>
  <c r="E17" i="13"/>
  <c r="X16" i="13"/>
  <c r="P16" i="13"/>
  <c r="O16" i="13"/>
  <c r="N16" i="13"/>
  <c r="G16" i="13"/>
  <c r="H16" i="13" s="1"/>
  <c r="F16" i="13"/>
  <c r="E16" i="13"/>
  <c r="X15" i="13"/>
  <c r="P15" i="13"/>
  <c r="O15" i="13"/>
  <c r="N15" i="13"/>
  <c r="G15" i="13"/>
  <c r="F15" i="13"/>
  <c r="E15" i="13"/>
  <c r="X14" i="13"/>
  <c r="P14" i="13"/>
  <c r="O14" i="13"/>
  <c r="N14" i="13"/>
  <c r="F14" i="13"/>
  <c r="E14" i="13"/>
  <c r="X13" i="13"/>
  <c r="P13" i="13"/>
  <c r="O13" i="13"/>
  <c r="N13" i="13"/>
  <c r="N69" i="13" s="1"/>
  <c r="F13" i="13"/>
  <c r="E13" i="13"/>
  <c r="AY69" i="12"/>
  <c r="AV69" i="12"/>
  <c r="AU69" i="12"/>
  <c r="AT69" i="12"/>
  <c r="AF69" i="12"/>
  <c r="T69" i="12"/>
  <c r="BH63" i="12"/>
  <c r="BI63" i="12" s="1"/>
  <c r="BJ63" i="12" s="1"/>
  <c r="BK63" i="12" s="1"/>
  <c r="BL63" i="12" s="1"/>
  <c r="AP62" i="12"/>
  <c r="AH62" i="12"/>
  <c r="AC62" i="12"/>
  <c r="V62" i="12"/>
  <c r="AQ62" i="12" s="1"/>
  <c r="M62" i="12"/>
  <c r="F62" i="12"/>
  <c r="AY61" i="12"/>
  <c r="AV61" i="12"/>
  <c r="AU61" i="12"/>
  <c r="AT61" i="12"/>
  <c r="AP61" i="12"/>
  <c r="AY60" i="12"/>
  <c r="AV60" i="12"/>
  <c r="AV64" i="12" s="1"/>
  <c r="AU60" i="12"/>
  <c r="AU64" i="12" s="1"/>
  <c r="AT60" i="12"/>
  <c r="AF60" i="12"/>
  <c r="X60" i="12"/>
  <c r="T60" i="12"/>
  <c r="O60" i="12"/>
  <c r="BH57" i="12"/>
  <c r="BI57" i="12" s="1"/>
  <c r="BJ57" i="12" s="1"/>
  <c r="BK57" i="12" s="1"/>
  <c r="BL57" i="12" s="1"/>
  <c r="BA57" i="12"/>
  <c r="AG57" i="12"/>
  <c r="P57" i="12"/>
  <c r="K57" i="12"/>
  <c r="BE57" i="12" s="1"/>
  <c r="CG56" i="12"/>
  <c r="CF56" i="12"/>
  <c r="BA56" i="12"/>
  <c r="AG56" i="12"/>
  <c r="P56" i="12"/>
  <c r="K56" i="12"/>
  <c r="CF55" i="12"/>
  <c r="CA55" i="12"/>
  <c r="CB55" i="12" s="1"/>
  <c r="CC55" i="12" s="1"/>
  <c r="CD55" i="12" s="1"/>
  <c r="BZ55" i="12"/>
  <c r="BR55" i="12"/>
  <c r="BS55" i="12" s="1"/>
  <c r="BT55" i="12" s="1"/>
  <c r="BU55" i="12" s="1"/>
  <c r="BQ55" i="12"/>
  <c r="BN55" i="12"/>
  <c r="BI55" i="12"/>
  <c r="BJ55" i="12" s="1"/>
  <c r="BK55" i="12" s="1"/>
  <c r="BL55" i="12" s="1"/>
  <c r="BH55" i="12"/>
  <c r="BE55" i="12"/>
  <c r="BB55" i="12"/>
  <c r="BA55" i="12"/>
  <c r="AG55" i="12"/>
  <c r="K55" i="12"/>
  <c r="CF54" i="12"/>
  <c r="CG54" i="12" s="1"/>
  <c r="BQ54" i="12"/>
  <c r="BA54" i="12"/>
  <c r="AG54" i="12"/>
  <c r="Y54" i="12"/>
  <c r="P54" i="12"/>
  <c r="K54" i="12"/>
  <c r="CF53" i="12"/>
  <c r="CG53" i="12" s="1"/>
  <c r="BN53" i="12"/>
  <c r="BE53" i="12"/>
  <c r="BA53" i="12"/>
  <c r="BZ53" i="12" s="1"/>
  <c r="CA53" i="12" s="1"/>
  <c r="CB53" i="12" s="1"/>
  <c r="CC53" i="12" s="1"/>
  <c r="CD53" i="12" s="1"/>
  <c r="AG53" i="12"/>
  <c r="P53" i="12"/>
  <c r="K53" i="12"/>
  <c r="CF52" i="12"/>
  <c r="CG52" i="12" s="1"/>
  <c r="BZ52" i="12"/>
  <c r="CA52" i="12" s="1"/>
  <c r="CB52" i="12" s="1"/>
  <c r="CC52" i="12" s="1"/>
  <c r="CD52" i="12" s="1"/>
  <c r="BU52" i="12"/>
  <c r="BQ52" i="12"/>
  <c r="BR52" i="12" s="1"/>
  <c r="BS52" i="12" s="1"/>
  <c r="BT52" i="12" s="1"/>
  <c r="BL52" i="12"/>
  <c r="BH52" i="12"/>
  <c r="BI52" i="12" s="1"/>
  <c r="BJ52" i="12" s="1"/>
  <c r="BK52" i="12" s="1"/>
  <c r="BA52" i="12"/>
  <c r="AG52" i="12"/>
  <c r="Y52" i="12"/>
  <c r="P52" i="12"/>
  <c r="K52" i="12"/>
  <c r="CF51" i="12"/>
  <c r="CG51" i="12" s="1"/>
  <c r="BN51" i="12"/>
  <c r="BE51" i="12"/>
  <c r="BA51" i="12"/>
  <c r="AG51" i="12"/>
  <c r="Y51" i="12"/>
  <c r="P51" i="12"/>
  <c r="K51" i="12"/>
  <c r="BA50" i="12"/>
  <c r="AG50" i="12"/>
  <c r="K50" i="12"/>
  <c r="CF49" i="12"/>
  <c r="BA49" i="12"/>
  <c r="AG49" i="12"/>
  <c r="Y49" i="12"/>
  <c r="P49" i="12"/>
  <c r="K49" i="12"/>
  <c r="BN49" i="12" s="1"/>
  <c r="BP49" i="12" s="1"/>
  <c r="BZ48" i="12"/>
  <c r="CA48" i="12" s="1"/>
  <c r="CB48" i="12" s="1"/>
  <c r="CC48" i="12" s="1"/>
  <c r="CD48" i="12" s="1"/>
  <c r="BQ48" i="12"/>
  <c r="BI48" i="12"/>
  <c r="BJ48" i="12" s="1"/>
  <c r="BK48" i="12" s="1"/>
  <c r="BL48" i="12" s="1"/>
  <c r="BA48" i="12"/>
  <c r="BH48" i="12" s="1"/>
  <c r="AG48" i="12"/>
  <c r="K48" i="12"/>
  <c r="BZ47" i="12"/>
  <c r="CA47" i="12" s="1"/>
  <c r="CB47" i="12" s="1"/>
  <c r="CC47" i="12" s="1"/>
  <c r="CD47" i="12" s="1"/>
  <c r="BY47" i="12"/>
  <c r="BA47" i="12"/>
  <c r="AG47" i="12"/>
  <c r="K47" i="12"/>
  <c r="CG46" i="12"/>
  <c r="CF46" i="12"/>
  <c r="CA46" i="12"/>
  <c r="CB46" i="12" s="1"/>
  <c r="CC46" i="12" s="1"/>
  <c r="CD46" i="12" s="1"/>
  <c r="BO46" i="12"/>
  <c r="BN46" i="12"/>
  <c r="BP46" i="12" s="1"/>
  <c r="BF46" i="12"/>
  <c r="BE46" i="12"/>
  <c r="BG46" i="12" s="1"/>
  <c r="BA46" i="12"/>
  <c r="BZ46" i="12" s="1"/>
  <c r="AG46" i="12"/>
  <c r="P46" i="12"/>
  <c r="K46" i="12"/>
  <c r="BA45" i="12"/>
  <c r="AG45" i="12"/>
  <c r="K45" i="12"/>
  <c r="CG44" i="12"/>
  <c r="CF44" i="12"/>
  <c r="BO44" i="12"/>
  <c r="BN44" i="12"/>
  <c r="BP44" i="12" s="1"/>
  <c r="BF44" i="12"/>
  <c r="BE44" i="12"/>
  <c r="BA44" i="12"/>
  <c r="BQ44" i="12" s="1"/>
  <c r="AG44" i="12"/>
  <c r="P44" i="12"/>
  <c r="K44" i="12"/>
  <c r="CF43" i="12"/>
  <c r="CC43" i="12"/>
  <c r="CD43" i="12" s="1"/>
  <c r="BZ43" i="12"/>
  <c r="CA43" i="12" s="1"/>
  <c r="CB43" i="12" s="1"/>
  <c r="BQ43" i="12"/>
  <c r="BR43" i="12" s="1"/>
  <c r="BS43" i="12" s="1"/>
  <c r="BT43" i="12" s="1"/>
  <c r="BU43" i="12" s="1"/>
  <c r="BA43" i="12"/>
  <c r="BB43" i="12" s="1"/>
  <c r="AG43" i="12"/>
  <c r="Y43" i="12"/>
  <c r="P43" i="12"/>
  <c r="K43" i="12"/>
  <c r="CF42" i="12"/>
  <c r="CG42" i="12" s="1"/>
  <c r="BA42" i="12"/>
  <c r="AG42" i="12"/>
  <c r="Y42" i="12"/>
  <c r="U42" i="12"/>
  <c r="P42" i="12"/>
  <c r="K42" i="12"/>
  <c r="CF41" i="12"/>
  <c r="BA41" i="12"/>
  <c r="AG41" i="12"/>
  <c r="Y41" i="12"/>
  <c r="P41" i="12"/>
  <c r="K41" i="12"/>
  <c r="BN41" i="12" s="1"/>
  <c r="CC40" i="12"/>
  <c r="CD40" i="12" s="1"/>
  <c r="BZ40" i="12"/>
  <c r="CA40" i="12" s="1"/>
  <c r="CB40" i="12" s="1"/>
  <c r="BQ40" i="12"/>
  <c r="BR40" i="12" s="1"/>
  <c r="BS40" i="12" s="1"/>
  <c r="BT40" i="12" s="1"/>
  <c r="BU40" i="12" s="1"/>
  <c r="BK40" i="12"/>
  <c r="BL40" i="12" s="1"/>
  <c r="BH40" i="12"/>
  <c r="BI40" i="12" s="1"/>
  <c r="BJ40" i="12" s="1"/>
  <c r="BA40" i="12"/>
  <c r="AG40" i="12"/>
  <c r="K40" i="12"/>
  <c r="CF39" i="12"/>
  <c r="BO39" i="12"/>
  <c r="BN39" i="12"/>
  <c r="BP39" i="12" s="1"/>
  <c r="BF39" i="12"/>
  <c r="BE39" i="12"/>
  <c r="BG39" i="12" s="1"/>
  <c r="BA39" i="12"/>
  <c r="BZ39" i="12" s="1"/>
  <c r="CA39" i="12" s="1"/>
  <c r="CB39" i="12" s="1"/>
  <c r="CC39" i="12" s="1"/>
  <c r="CD39" i="12" s="1"/>
  <c r="AG39" i="12"/>
  <c r="K39" i="12"/>
  <c r="CF38" i="12"/>
  <c r="CG38" i="12" s="1"/>
  <c r="CD38" i="12"/>
  <c r="CA38" i="12"/>
  <c r="CB38" i="12" s="1"/>
  <c r="CC38" i="12" s="1"/>
  <c r="BZ38" i="12"/>
  <c r="BU38" i="12"/>
  <c r="BR38" i="12"/>
  <c r="BS38" i="12" s="1"/>
  <c r="BT38" i="12" s="1"/>
  <c r="BQ38" i="12"/>
  <c r="BN38" i="12"/>
  <c r="BL38" i="12"/>
  <c r="BI38" i="12"/>
  <c r="BJ38" i="12" s="1"/>
  <c r="BK38" i="12" s="1"/>
  <c r="BH38" i="12"/>
  <c r="BE38" i="12"/>
  <c r="BB38" i="12"/>
  <c r="BA38" i="12"/>
  <c r="AG38" i="12"/>
  <c r="Y38" i="12"/>
  <c r="P38" i="12"/>
  <c r="K38" i="12"/>
  <c r="CG37" i="12"/>
  <c r="CF37" i="12"/>
  <c r="BA37" i="12"/>
  <c r="AG37" i="12"/>
  <c r="Y37" i="12"/>
  <c r="P37" i="12"/>
  <c r="K37" i="12"/>
  <c r="BN37" i="12" s="1"/>
  <c r="CF36" i="12"/>
  <c r="CG36" i="12" s="1"/>
  <c r="CD36" i="12"/>
  <c r="CA36" i="12"/>
  <c r="CB36" i="12" s="1"/>
  <c r="CC36" i="12" s="1"/>
  <c r="BZ36" i="12"/>
  <c r="BU36" i="12"/>
  <c r="BR36" i="12"/>
  <c r="BS36" i="12" s="1"/>
  <c r="BT36" i="12" s="1"/>
  <c r="BQ36" i="12"/>
  <c r="BN36" i="12"/>
  <c r="BL36" i="12"/>
  <c r="BI36" i="12"/>
  <c r="BJ36" i="12" s="1"/>
  <c r="BK36" i="12" s="1"/>
  <c r="BH36" i="12"/>
  <c r="BE36" i="12"/>
  <c r="BB36" i="12"/>
  <c r="BA36" i="12"/>
  <c r="AG36" i="12"/>
  <c r="Y36" i="12"/>
  <c r="P36" i="12"/>
  <c r="K36" i="12"/>
  <c r="CG35" i="12"/>
  <c r="CF35" i="12"/>
  <c r="BA35" i="12"/>
  <c r="AG35" i="12"/>
  <c r="Y35" i="12"/>
  <c r="P35" i="12"/>
  <c r="K35" i="12"/>
  <c r="BN35" i="12" s="1"/>
  <c r="CF34" i="12"/>
  <c r="CG34" i="12" s="1"/>
  <c r="CD34" i="12"/>
  <c r="CA34" i="12"/>
  <c r="CB34" i="12" s="1"/>
  <c r="CC34" i="12" s="1"/>
  <c r="BZ34" i="12"/>
  <c r="BU34" i="12"/>
  <c r="BR34" i="12"/>
  <c r="BS34" i="12" s="1"/>
  <c r="BT34" i="12" s="1"/>
  <c r="BQ34" i="12"/>
  <c r="BN34" i="12"/>
  <c r="BL34" i="12"/>
  <c r="BI34" i="12"/>
  <c r="BJ34" i="12" s="1"/>
  <c r="BK34" i="12" s="1"/>
  <c r="BH34" i="12"/>
  <c r="BE34" i="12"/>
  <c r="BA34" i="12"/>
  <c r="AG34" i="12"/>
  <c r="Y34" i="12"/>
  <c r="P34" i="12"/>
  <c r="K34" i="12"/>
  <c r="BB34" i="12" s="1"/>
  <c r="CF33" i="12"/>
  <c r="BO33" i="12"/>
  <c r="BN33" i="12"/>
  <c r="BQ33" i="12" s="1"/>
  <c r="BR33" i="12" s="1"/>
  <c r="BS33" i="12" s="1"/>
  <c r="BT33" i="12" s="1"/>
  <c r="BU33" i="12" s="1"/>
  <c r="BE33" i="12"/>
  <c r="BA33" i="12"/>
  <c r="AG33" i="12"/>
  <c r="Y33" i="12"/>
  <c r="P33" i="12"/>
  <c r="K33" i="12"/>
  <c r="BA32" i="12"/>
  <c r="AG32" i="12"/>
  <c r="K32" i="12"/>
  <c r="BH31" i="12"/>
  <c r="BI31" i="12" s="1"/>
  <c r="BJ31" i="12" s="1"/>
  <c r="BK31" i="12" s="1"/>
  <c r="BL31" i="12" s="1"/>
  <c r="BA31" i="12"/>
  <c r="AG31" i="12"/>
  <c r="K31" i="12"/>
  <c r="CG30" i="12"/>
  <c r="CF30" i="12"/>
  <c r="BP30" i="12"/>
  <c r="BA30" i="12"/>
  <c r="AG30" i="12"/>
  <c r="Y30" i="12"/>
  <c r="P30" i="12"/>
  <c r="K30" i="12"/>
  <c r="BN30" i="12" s="1"/>
  <c r="BO30" i="12" s="1"/>
  <c r="BB29" i="12"/>
  <c r="BA29" i="12"/>
  <c r="CF29" i="12" s="1"/>
  <c r="AG29" i="12"/>
  <c r="K29" i="12"/>
  <c r="CG28" i="12"/>
  <c r="CF28" i="12"/>
  <c r="BP28" i="12"/>
  <c r="BA28" i="12"/>
  <c r="AG28" i="12"/>
  <c r="Y28" i="12"/>
  <c r="P28" i="12"/>
  <c r="K28" i="12"/>
  <c r="BN28" i="12" s="1"/>
  <c r="BO28" i="12" s="1"/>
  <c r="BB27" i="12"/>
  <c r="BA27" i="12"/>
  <c r="CF27" i="12" s="1"/>
  <c r="AG27" i="12"/>
  <c r="K27" i="12"/>
  <c r="CF26" i="12"/>
  <c r="BO26" i="12"/>
  <c r="BN26" i="12"/>
  <c r="BP26" i="12" s="1"/>
  <c r="BE26" i="12"/>
  <c r="BG26" i="12" s="1"/>
  <c r="BA26" i="12"/>
  <c r="BZ26" i="12" s="1"/>
  <c r="CA26" i="12" s="1"/>
  <c r="CB26" i="12" s="1"/>
  <c r="CC26" i="12" s="1"/>
  <c r="CD26" i="12" s="1"/>
  <c r="AG26" i="12"/>
  <c r="U26" i="12"/>
  <c r="K26" i="12"/>
  <c r="CF25" i="12"/>
  <c r="CG25" i="12" s="1"/>
  <c r="BZ25" i="12"/>
  <c r="CA25" i="12" s="1"/>
  <c r="CB25" i="12" s="1"/>
  <c r="CC25" i="12" s="1"/>
  <c r="CD25" i="12" s="1"/>
  <c r="BQ25" i="12"/>
  <c r="BH25" i="12"/>
  <c r="BA25" i="12"/>
  <c r="AG25" i="12"/>
  <c r="Y25" i="12"/>
  <c r="U25" i="12"/>
  <c r="P25" i="12"/>
  <c r="K25" i="12"/>
  <c r="CF24" i="12"/>
  <c r="BO24" i="12"/>
  <c r="BN24" i="12"/>
  <c r="BP24" i="12" s="1"/>
  <c r="BH24" i="12"/>
  <c r="BF24" i="12"/>
  <c r="BE24" i="12"/>
  <c r="BG24" i="12" s="1"/>
  <c r="BA24" i="12"/>
  <c r="BZ24" i="12" s="1"/>
  <c r="CA24" i="12" s="1"/>
  <c r="CB24" i="12" s="1"/>
  <c r="CC24" i="12" s="1"/>
  <c r="CD24" i="12" s="1"/>
  <c r="AG24" i="12"/>
  <c r="U24" i="12"/>
  <c r="K24" i="12"/>
  <c r="BB24" i="12" s="1"/>
  <c r="CF23" i="12"/>
  <c r="CG23" i="12" s="1"/>
  <c r="CD23" i="12"/>
  <c r="CA23" i="12"/>
  <c r="CB23" i="12" s="1"/>
  <c r="CC23" i="12" s="1"/>
  <c r="BZ23" i="12"/>
  <c r="BU23" i="12"/>
  <c r="BR23" i="12"/>
  <c r="BS23" i="12" s="1"/>
  <c r="BT23" i="12" s="1"/>
  <c r="BQ23" i="12"/>
  <c r="BN23" i="12"/>
  <c r="BL23" i="12"/>
  <c r="BI23" i="12"/>
  <c r="BJ23" i="12" s="1"/>
  <c r="BK23" i="12" s="1"/>
  <c r="BH23" i="12"/>
  <c r="BE23" i="12"/>
  <c r="BB23" i="12"/>
  <c r="BA23" i="12"/>
  <c r="AG23" i="12"/>
  <c r="Y23" i="12"/>
  <c r="U23" i="12"/>
  <c r="P23" i="12"/>
  <c r="K23" i="12"/>
  <c r="CF22" i="12"/>
  <c r="CB22" i="12"/>
  <c r="CC22" i="12" s="1"/>
  <c r="CD22" i="12" s="1"/>
  <c r="BS22" i="12"/>
  <c r="BT22" i="12" s="1"/>
  <c r="BU22" i="12" s="1"/>
  <c r="BR22" i="12"/>
  <c r="BQ22" i="12"/>
  <c r="BN22" i="12"/>
  <c r="BJ22" i="12"/>
  <c r="BK22" i="12" s="1"/>
  <c r="BL22" i="12" s="1"/>
  <c r="BI22" i="12"/>
  <c r="BH22" i="12"/>
  <c r="BF22" i="12"/>
  <c r="BE22" i="12"/>
  <c r="BG22" i="12" s="1"/>
  <c r="BB22" i="12"/>
  <c r="BA22" i="12"/>
  <c r="BZ22" i="12" s="1"/>
  <c r="CA22" i="12" s="1"/>
  <c r="AG22" i="12"/>
  <c r="U22" i="12"/>
  <c r="K22" i="12"/>
  <c r="CF21" i="12"/>
  <c r="CG21" i="12" s="1"/>
  <c r="CD21" i="12"/>
  <c r="CA21" i="12"/>
  <c r="CB21" i="12" s="1"/>
  <c r="CC21" i="12" s="1"/>
  <c r="BZ21" i="12"/>
  <c r="BU21" i="12"/>
  <c r="BR21" i="12"/>
  <c r="BS21" i="12" s="1"/>
  <c r="BT21" i="12" s="1"/>
  <c r="BQ21" i="12"/>
  <c r="BN21" i="12"/>
  <c r="BL21" i="12"/>
  <c r="BI21" i="12"/>
  <c r="BJ21" i="12" s="1"/>
  <c r="BK21" i="12" s="1"/>
  <c r="BH21" i="12"/>
  <c r="BE21" i="12"/>
  <c r="BB21" i="12"/>
  <c r="BA21" i="12"/>
  <c r="AG21" i="12"/>
  <c r="Y21" i="12"/>
  <c r="U21" i="12"/>
  <c r="P21" i="12"/>
  <c r="K21" i="12"/>
  <c r="CG20" i="12"/>
  <c r="CF20" i="12"/>
  <c r="BP20" i="12"/>
  <c r="BO20" i="12"/>
  <c r="BC20" i="12"/>
  <c r="BB20" i="12"/>
  <c r="BA20" i="12"/>
  <c r="BZ20" i="12" s="1"/>
  <c r="CA20" i="12" s="1"/>
  <c r="CB20" i="12" s="1"/>
  <c r="CC20" i="12" s="1"/>
  <c r="CD20" i="12" s="1"/>
  <c r="AG20" i="12"/>
  <c r="Y20" i="12"/>
  <c r="U20" i="12"/>
  <c r="K20" i="12"/>
  <c r="BN20" i="12" s="1"/>
  <c r="BO19" i="12"/>
  <c r="BA19" i="12"/>
  <c r="BP19" i="12" s="1"/>
  <c r="AG19" i="12"/>
  <c r="K19" i="12"/>
  <c r="CF18" i="12"/>
  <c r="BA18" i="12"/>
  <c r="AG18" i="12"/>
  <c r="Y18" i="12"/>
  <c r="P18" i="12"/>
  <c r="K18" i="12"/>
  <c r="CF17" i="12"/>
  <c r="CG17" i="12" s="1"/>
  <c r="BN17" i="12"/>
  <c r="BF17" i="12"/>
  <c r="BE17" i="12"/>
  <c r="BG17" i="12" s="1"/>
  <c r="BA17" i="12"/>
  <c r="BH17" i="12" s="1"/>
  <c r="AG17" i="12"/>
  <c r="Y17" i="12"/>
  <c r="U17" i="12"/>
  <c r="P17" i="12"/>
  <c r="K17" i="12"/>
  <c r="CF16" i="12"/>
  <c r="BZ16" i="12"/>
  <c r="CA16" i="12" s="1"/>
  <c r="CB16" i="12" s="1"/>
  <c r="CC16" i="12" s="1"/>
  <c r="CD16" i="12" s="1"/>
  <c r="BH16" i="12"/>
  <c r="BI16" i="12" s="1"/>
  <c r="BJ16" i="12" s="1"/>
  <c r="BK16" i="12" s="1"/>
  <c r="BL16" i="12" s="1"/>
  <c r="BA16" i="12"/>
  <c r="AG16" i="12"/>
  <c r="Y16" i="12"/>
  <c r="P16" i="12"/>
  <c r="K16" i="12"/>
  <c r="CG15" i="12"/>
  <c r="CF15" i="12"/>
  <c r="BO15" i="12"/>
  <c r="BN15" i="12"/>
  <c r="BP15" i="12" s="1"/>
  <c r="BE15" i="12"/>
  <c r="BA15" i="12"/>
  <c r="BZ15" i="12" s="1"/>
  <c r="CA15" i="12" s="1"/>
  <c r="CB15" i="12" s="1"/>
  <c r="CC15" i="12" s="1"/>
  <c r="CD15" i="12" s="1"/>
  <c r="AG15" i="12"/>
  <c r="Y15" i="12"/>
  <c r="U15" i="12"/>
  <c r="P15" i="12"/>
  <c r="K15" i="12"/>
  <c r="CF14" i="12"/>
  <c r="CC14" i="12"/>
  <c r="CD14" i="12" s="1"/>
  <c r="BZ14" i="12"/>
  <c r="CA14" i="12" s="1"/>
  <c r="CB14" i="12" s="1"/>
  <c r="BQ14" i="12"/>
  <c r="BR14" i="12" s="1"/>
  <c r="BS14" i="12" s="1"/>
  <c r="BT14" i="12" s="1"/>
  <c r="BU14" i="12" s="1"/>
  <c r="BK14" i="12"/>
  <c r="BL14" i="12" s="1"/>
  <c r="BH14" i="12"/>
  <c r="BI14" i="12" s="1"/>
  <c r="BJ14" i="12" s="1"/>
  <c r="BA14" i="12"/>
  <c r="BB14" i="12" s="1"/>
  <c r="AG14" i="12"/>
  <c r="Y14" i="12"/>
  <c r="P14" i="12"/>
  <c r="K14" i="12"/>
  <c r="CF13" i="12"/>
  <c r="CD13" i="12"/>
  <c r="CA13" i="12"/>
  <c r="CB13" i="12" s="1"/>
  <c r="CC13" i="12" s="1"/>
  <c r="BZ13" i="12"/>
  <c r="BU13" i="12"/>
  <c r="BR13" i="12"/>
  <c r="BS13" i="12" s="1"/>
  <c r="BT13" i="12" s="1"/>
  <c r="BQ13" i="12"/>
  <c r="BN13" i="12"/>
  <c r="BL13" i="12"/>
  <c r="BI13" i="12"/>
  <c r="BJ13" i="12" s="1"/>
  <c r="BK13" i="12" s="1"/>
  <c r="BH13" i="12"/>
  <c r="BE13" i="12"/>
  <c r="BB13" i="12"/>
  <c r="BA13" i="12"/>
  <c r="AG13" i="12"/>
  <c r="K13" i="12"/>
  <c r="CF12" i="12"/>
  <c r="BH12" i="12"/>
  <c r="BA12" i="12"/>
  <c r="AG12" i="12"/>
  <c r="Y12" i="12"/>
  <c r="P12" i="12"/>
  <c r="K12" i="12"/>
  <c r="CF11" i="12"/>
  <c r="CD11" i="12"/>
  <c r="CA11" i="12"/>
  <c r="CB11" i="12" s="1"/>
  <c r="CC11" i="12" s="1"/>
  <c r="BZ11" i="12"/>
  <c r="BU11" i="12"/>
  <c r="BR11" i="12"/>
  <c r="BS11" i="12" s="1"/>
  <c r="BT11" i="12" s="1"/>
  <c r="BQ11" i="12"/>
  <c r="BN11" i="12"/>
  <c r="BL11" i="12"/>
  <c r="BI11" i="12"/>
  <c r="BJ11" i="12" s="1"/>
  <c r="BK11" i="12" s="1"/>
  <c r="BH11" i="12"/>
  <c r="BE11" i="12"/>
  <c r="BB11" i="12"/>
  <c r="BA11" i="12"/>
  <c r="AG11" i="12"/>
  <c r="K11" i="12"/>
  <c r="BA10" i="12"/>
  <c r="AG10" i="12"/>
  <c r="U10" i="12"/>
  <c r="K10" i="12"/>
  <c r="BB9" i="12"/>
  <c r="BA9" i="12"/>
  <c r="BZ9" i="12" s="1"/>
  <c r="CA9" i="12" s="1"/>
  <c r="CB9" i="12" s="1"/>
  <c r="CC9" i="12" s="1"/>
  <c r="CD9" i="12" s="1"/>
  <c r="AG9" i="12"/>
  <c r="U9" i="12"/>
  <c r="K9" i="12"/>
  <c r="CD8" i="12"/>
  <c r="CA8" i="12"/>
  <c r="CB8" i="12" s="1"/>
  <c r="CC8" i="12" s="1"/>
  <c r="BZ8" i="12"/>
  <c r="BU8" i="12"/>
  <c r="BR8" i="12"/>
  <c r="BS8" i="12" s="1"/>
  <c r="BT8" i="12" s="1"/>
  <c r="BQ8" i="12"/>
  <c r="BN8" i="12"/>
  <c r="BL8" i="12"/>
  <c r="BI8" i="12"/>
  <c r="BJ8" i="12" s="1"/>
  <c r="BK8" i="12" s="1"/>
  <c r="BH8" i="12"/>
  <c r="BE8" i="12"/>
  <c r="BB8" i="12"/>
  <c r="BA8" i="12"/>
  <c r="AG8" i="12"/>
  <c r="U8" i="12"/>
  <c r="K8" i="12"/>
  <c r="CF7" i="12"/>
  <c r="CD7" i="12"/>
  <c r="CC7" i="12"/>
  <c r="BZ7" i="12"/>
  <c r="CA7" i="12" s="1"/>
  <c r="CB7" i="12" s="1"/>
  <c r="BB7" i="12"/>
  <c r="BA7" i="12"/>
  <c r="CG7" i="12" s="1"/>
  <c r="AG7" i="12"/>
  <c r="Y7" i="12"/>
  <c r="U7" i="12"/>
  <c r="P7" i="12"/>
  <c r="K7" i="12"/>
  <c r="CG6" i="12"/>
  <c r="CF6" i="12"/>
  <c r="BA6" i="12"/>
  <c r="AG6" i="12"/>
  <c r="Y6" i="12"/>
  <c r="U6" i="12"/>
  <c r="P6" i="12"/>
  <c r="K6" i="12"/>
  <c r="CF5" i="12"/>
  <c r="CG5" i="12" s="1"/>
  <c r="CB5" i="12"/>
  <c r="CC5" i="12" s="1"/>
  <c r="CD5" i="12" s="1"/>
  <c r="CA5" i="12"/>
  <c r="BZ5" i="12"/>
  <c r="BR5" i="12"/>
  <c r="BS5" i="12" s="1"/>
  <c r="BT5" i="12" s="1"/>
  <c r="BU5" i="12" s="1"/>
  <c r="BQ5" i="12"/>
  <c r="BO5" i="12"/>
  <c r="BN5" i="12"/>
  <c r="BP5" i="12" s="1"/>
  <c r="BJ5" i="12"/>
  <c r="BK5" i="12" s="1"/>
  <c r="BL5" i="12" s="1"/>
  <c r="BI5" i="12"/>
  <c r="BH5" i="12"/>
  <c r="BE5" i="12"/>
  <c r="BA5" i="12"/>
  <c r="AG5" i="12"/>
  <c r="Y5" i="12"/>
  <c r="U5" i="12"/>
  <c r="P5" i="12"/>
  <c r="K5" i="12"/>
  <c r="BB5" i="12" s="1"/>
  <c r="CF4" i="12"/>
  <c r="BZ4" i="12"/>
  <c r="BQ4" i="12"/>
  <c r="BH4" i="12"/>
  <c r="BA4" i="12"/>
  <c r="AG4" i="12"/>
  <c r="Y4" i="12"/>
  <c r="U4" i="12"/>
  <c r="P4" i="12"/>
  <c r="K4" i="12"/>
  <c r="BN3" i="12"/>
  <c r="AY69" i="11"/>
  <c r="AV69" i="11"/>
  <c r="AU69" i="11"/>
  <c r="AT69" i="11"/>
  <c r="AF69" i="11"/>
  <c r="T69" i="11"/>
  <c r="AY65" i="11"/>
  <c r="BI63" i="11"/>
  <c r="BJ63" i="11" s="1"/>
  <c r="BK63" i="11" s="1"/>
  <c r="BL63" i="11" s="1"/>
  <c r="BH63" i="11"/>
  <c r="AP62" i="11"/>
  <c r="AH62" i="11"/>
  <c r="AC62" i="11"/>
  <c r="V62" i="11"/>
  <c r="AQ62" i="11" s="1"/>
  <c r="M62" i="11"/>
  <c r="F62" i="11"/>
  <c r="AY61" i="11"/>
  <c r="AV61" i="11"/>
  <c r="AU61" i="11"/>
  <c r="AT61" i="11"/>
  <c r="AP61" i="11"/>
  <c r="AY60" i="11"/>
  <c r="AY64" i="11" s="1"/>
  <c r="AV60" i="11"/>
  <c r="AU60" i="11"/>
  <c r="AU64" i="11" s="1"/>
  <c r="AT60" i="11"/>
  <c r="AF60" i="11"/>
  <c r="X60" i="11"/>
  <c r="T60" i="11"/>
  <c r="O60" i="11"/>
  <c r="P57" i="11" s="1"/>
  <c r="Q57" i="11" s="1"/>
  <c r="BA57" i="11"/>
  <c r="BH57" i="11" s="1"/>
  <c r="BI57" i="11" s="1"/>
  <c r="BJ57" i="11" s="1"/>
  <c r="BK57" i="11" s="1"/>
  <c r="BL57" i="11" s="1"/>
  <c r="Y57" i="11"/>
  <c r="U57" i="11"/>
  <c r="K57" i="11"/>
  <c r="CG56" i="11"/>
  <c r="CF56" i="11"/>
  <c r="BO56" i="11"/>
  <c r="BN56" i="11"/>
  <c r="BP56" i="11" s="1"/>
  <c r="BF56" i="11"/>
  <c r="BE56" i="11"/>
  <c r="BG56" i="11" s="1"/>
  <c r="BA56" i="11"/>
  <c r="BZ56" i="11" s="1"/>
  <c r="CA56" i="11" s="1"/>
  <c r="CB56" i="11" s="1"/>
  <c r="CC56" i="11" s="1"/>
  <c r="CD56" i="11" s="1"/>
  <c r="U56" i="11"/>
  <c r="K56" i="11"/>
  <c r="BA55" i="11"/>
  <c r="U55" i="11"/>
  <c r="K55" i="11"/>
  <c r="CF54" i="11"/>
  <c r="CG54" i="11" s="1"/>
  <c r="BN54" i="11"/>
  <c r="BP54" i="11" s="1"/>
  <c r="BE54" i="11"/>
  <c r="BA54" i="11"/>
  <c r="BQ54" i="11" s="1"/>
  <c r="AG54" i="11"/>
  <c r="U54" i="11"/>
  <c r="K54" i="11"/>
  <c r="CF53" i="11"/>
  <c r="CG53" i="11" s="1"/>
  <c r="CD53" i="11"/>
  <c r="BA53" i="11"/>
  <c r="BZ53" i="11" s="1"/>
  <c r="CA53" i="11" s="1"/>
  <c r="CB53" i="11" s="1"/>
  <c r="CC53" i="11" s="1"/>
  <c r="Y53" i="11"/>
  <c r="U53" i="11"/>
  <c r="K53" i="11"/>
  <c r="CG52" i="11"/>
  <c r="CF52" i="11"/>
  <c r="BO52" i="11"/>
  <c r="BN52" i="11"/>
  <c r="BP52" i="11" s="1"/>
  <c r="BF52" i="11"/>
  <c r="BE52" i="11"/>
  <c r="BG52" i="11" s="1"/>
  <c r="BA52" i="11"/>
  <c r="BZ52" i="11" s="1"/>
  <c r="CA52" i="11" s="1"/>
  <c r="CB52" i="11" s="1"/>
  <c r="CC52" i="11" s="1"/>
  <c r="CD52" i="11" s="1"/>
  <c r="U52" i="11"/>
  <c r="K52" i="11"/>
  <c r="CF51" i="11"/>
  <c r="CG51" i="11" s="1"/>
  <c r="CC51" i="11"/>
  <c r="CD51" i="11" s="1"/>
  <c r="BZ51" i="11"/>
  <c r="CA51" i="11" s="1"/>
  <c r="CB51" i="11" s="1"/>
  <c r="BQ51" i="11"/>
  <c r="BR51" i="11" s="1"/>
  <c r="BS51" i="11" s="1"/>
  <c r="BT51" i="11" s="1"/>
  <c r="BU51" i="11" s="1"/>
  <c r="BK51" i="11"/>
  <c r="BL51" i="11" s="1"/>
  <c r="BH51" i="11"/>
  <c r="BI51" i="11" s="1"/>
  <c r="BJ51" i="11" s="1"/>
  <c r="BB51" i="11"/>
  <c r="BA51" i="11"/>
  <c r="U51" i="11"/>
  <c r="K51" i="11"/>
  <c r="CD50" i="11"/>
  <c r="CA50" i="11"/>
  <c r="CB50" i="11" s="1"/>
  <c r="CC50" i="11" s="1"/>
  <c r="BZ50" i="11"/>
  <c r="BU50" i="11"/>
  <c r="BR50" i="11"/>
  <c r="BS50" i="11" s="1"/>
  <c r="BT50" i="11" s="1"/>
  <c r="BQ50" i="11"/>
  <c r="BN50" i="11"/>
  <c r="BL50" i="11"/>
  <c r="BI50" i="11"/>
  <c r="BJ50" i="11" s="1"/>
  <c r="BK50" i="11" s="1"/>
  <c r="BH50" i="11"/>
  <c r="BE50" i="11"/>
  <c r="BA50" i="11"/>
  <c r="BB50" i="11" s="1"/>
  <c r="AG50" i="11"/>
  <c r="U50" i="11"/>
  <c r="K50" i="11"/>
  <c r="CF49" i="11"/>
  <c r="CG49" i="11" s="1"/>
  <c r="CA49" i="11"/>
  <c r="CB49" i="11" s="1"/>
  <c r="CC49" i="11" s="1"/>
  <c r="CD49" i="11" s="1"/>
  <c r="BZ49" i="11"/>
  <c r="BQ49" i="11"/>
  <c r="BR49" i="11" s="1"/>
  <c r="BS49" i="11" s="1"/>
  <c r="BT49" i="11" s="1"/>
  <c r="BU49" i="11" s="1"/>
  <c r="BI49" i="11"/>
  <c r="BJ49" i="11" s="1"/>
  <c r="BK49" i="11" s="1"/>
  <c r="BL49" i="11" s="1"/>
  <c r="BH49" i="11"/>
  <c r="BA49" i="11"/>
  <c r="AG49" i="11"/>
  <c r="U49" i="11"/>
  <c r="K49" i="11"/>
  <c r="BN49" i="11" s="1"/>
  <c r="BA48" i="11"/>
  <c r="U48" i="11"/>
  <c r="K48" i="11"/>
  <c r="BQ47" i="11"/>
  <c r="BH47" i="11"/>
  <c r="BI47" i="11" s="1"/>
  <c r="BJ47" i="11" s="1"/>
  <c r="BK47" i="11" s="1"/>
  <c r="BL47" i="11" s="1"/>
  <c r="BA47" i="11"/>
  <c r="U47" i="11"/>
  <c r="K47" i="11"/>
  <c r="CF46" i="11"/>
  <c r="BO46" i="11"/>
  <c r="BN46" i="11"/>
  <c r="BG46" i="11"/>
  <c r="BF46" i="11"/>
  <c r="BE46" i="11"/>
  <c r="BA46" i="11"/>
  <c r="Y46" i="11"/>
  <c r="U46" i="11"/>
  <c r="P46" i="11"/>
  <c r="Q46" i="11" s="1"/>
  <c r="K46" i="11"/>
  <c r="BA45" i="11"/>
  <c r="U45" i="11"/>
  <c r="K45" i="11"/>
  <c r="CF44" i="11"/>
  <c r="BN44" i="11"/>
  <c r="BJ44" i="11"/>
  <c r="BK44" i="11" s="1"/>
  <c r="BL44" i="11" s="1"/>
  <c r="BE44" i="11"/>
  <c r="BH44" i="11" s="1"/>
  <c r="BI44" i="11" s="1"/>
  <c r="BA44" i="11"/>
  <c r="Y44" i="11"/>
  <c r="U44" i="11"/>
  <c r="P44" i="11"/>
  <c r="Q44" i="11" s="1"/>
  <c r="K44" i="11"/>
  <c r="CF43" i="11"/>
  <c r="CG43" i="11" s="1"/>
  <c r="BZ43" i="11"/>
  <c r="BQ43" i="11"/>
  <c r="BA43" i="11"/>
  <c r="AG43" i="11"/>
  <c r="Y43" i="11"/>
  <c r="U43" i="11"/>
  <c r="Q43" i="11"/>
  <c r="P43" i="11"/>
  <c r="K43" i="11"/>
  <c r="CF42" i="11"/>
  <c r="BO42" i="11"/>
  <c r="BN42" i="11"/>
  <c r="BG42" i="11"/>
  <c r="BF42" i="11"/>
  <c r="BE42" i="11"/>
  <c r="BA42" i="11"/>
  <c r="Y42" i="11"/>
  <c r="U42" i="11"/>
  <c r="P42" i="11"/>
  <c r="Q42" i="11" s="1"/>
  <c r="K42" i="11"/>
  <c r="CF41" i="11"/>
  <c r="CG41" i="11" s="1"/>
  <c r="BZ41" i="11"/>
  <c r="CA41" i="11" s="1"/>
  <c r="CB41" i="11" s="1"/>
  <c r="CC41" i="11" s="1"/>
  <c r="CD41" i="11" s="1"/>
  <c r="BQ41" i="11"/>
  <c r="BR41" i="11" s="1"/>
  <c r="BS41" i="11" s="1"/>
  <c r="BT41" i="11" s="1"/>
  <c r="BU41" i="11" s="1"/>
  <c r="BN41" i="11"/>
  <c r="BH41" i="11"/>
  <c r="BI41" i="11" s="1"/>
  <c r="BJ41" i="11" s="1"/>
  <c r="BK41" i="11" s="1"/>
  <c r="BL41" i="11" s="1"/>
  <c r="BE41" i="11"/>
  <c r="BB41" i="11"/>
  <c r="BA41" i="11"/>
  <c r="AG41" i="11"/>
  <c r="Y41" i="11"/>
  <c r="U41" i="11"/>
  <c r="Q41" i="11"/>
  <c r="P41" i="11"/>
  <c r="K41" i="11"/>
  <c r="CF40" i="11"/>
  <c r="CB40" i="11"/>
  <c r="CC40" i="11" s="1"/>
  <c r="CD40" i="11" s="1"/>
  <c r="CA40" i="11"/>
  <c r="BZ40" i="11"/>
  <c r="BR40" i="11"/>
  <c r="BS40" i="11" s="1"/>
  <c r="BT40" i="11" s="1"/>
  <c r="BU40" i="11" s="1"/>
  <c r="BQ40" i="11"/>
  <c r="BO40" i="11"/>
  <c r="BN40" i="11"/>
  <c r="BP40" i="11" s="1"/>
  <c r="BI40" i="11"/>
  <c r="BJ40" i="11" s="1"/>
  <c r="BK40" i="11" s="1"/>
  <c r="BL40" i="11" s="1"/>
  <c r="BH40" i="11"/>
  <c r="BE40" i="11"/>
  <c r="BG40" i="11" s="1"/>
  <c r="BB40" i="11"/>
  <c r="BA40" i="11"/>
  <c r="AG40" i="11"/>
  <c r="U40" i="11"/>
  <c r="K40" i="11"/>
  <c r="BZ39" i="11"/>
  <c r="CA39" i="11" s="1"/>
  <c r="CB39" i="11" s="1"/>
  <c r="CC39" i="11" s="1"/>
  <c r="CD39" i="11" s="1"/>
  <c r="BQ39" i="11"/>
  <c r="BR39" i="11" s="1"/>
  <c r="BS39" i="11" s="1"/>
  <c r="BT39" i="11" s="1"/>
  <c r="BU39" i="11" s="1"/>
  <c r="BL39" i="11"/>
  <c r="BH39" i="11"/>
  <c r="BI39" i="11" s="1"/>
  <c r="BJ39" i="11" s="1"/>
  <c r="BK39" i="11" s="1"/>
  <c r="BB39" i="11"/>
  <c r="BA39" i="11"/>
  <c r="CF39" i="11" s="1"/>
  <c r="U39" i="11"/>
  <c r="K39" i="11"/>
  <c r="CG38" i="11"/>
  <c r="CF38" i="11"/>
  <c r="BP38" i="11"/>
  <c r="BN38" i="11"/>
  <c r="BE38" i="11"/>
  <c r="BA38" i="11"/>
  <c r="Y38" i="11"/>
  <c r="U38" i="11"/>
  <c r="P38" i="11"/>
  <c r="Q38" i="11" s="1"/>
  <c r="K38" i="11"/>
  <c r="CF37" i="11"/>
  <c r="CG37" i="11" s="1"/>
  <c r="CA37" i="11"/>
  <c r="CB37" i="11" s="1"/>
  <c r="CC37" i="11" s="1"/>
  <c r="CD37" i="11" s="1"/>
  <c r="BZ37" i="11"/>
  <c r="BR37" i="11"/>
  <c r="BS37" i="11" s="1"/>
  <c r="BT37" i="11" s="1"/>
  <c r="BU37" i="11" s="1"/>
  <c r="BQ37" i="11"/>
  <c r="BI37" i="11"/>
  <c r="BJ37" i="11" s="1"/>
  <c r="BK37" i="11" s="1"/>
  <c r="BL37" i="11" s="1"/>
  <c r="BH37" i="11"/>
  <c r="BB37" i="11"/>
  <c r="BA37" i="11"/>
  <c r="AG37" i="11"/>
  <c r="Y37" i="11"/>
  <c r="U37" i="11"/>
  <c r="Q37" i="11"/>
  <c r="P37" i="11"/>
  <c r="K37" i="11"/>
  <c r="CF36" i="11"/>
  <c r="BO36" i="11"/>
  <c r="BN36" i="11"/>
  <c r="BG36" i="11"/>
  <c r="BF36" i="11"/>
  <c r="BE36" i="11"/>
  <c r="BA36" i="11"/>
  <c r="Y36" i="11"/>
  <c r="U36" i="11"/>
  <c r="P36" i="11"/>
  <c r="Q36" i="11" s="1"/>
  <c r="K36" i="11"/>
  <c r="CF35" i="11"/>
  <c r="CG35" i="11" s="1"/>
  <c r="BZ35" i="11"/>
  <c r="CA35" i="11" s="1"/>
  <c r="CB35" i="11" s="1"/>
  <c r="CC35" i="11" s="1"/>
  <c r="CD35" i="11" s="1"/>
  <c r="BQ35" i="11"/>
  <c r="BN35" i="11"/>
  <c r="BH35" i="11"/>
  <c r="BI35" i="11" s="1"/>
  <c r="BJ35" i="11" s="1"/>
  <c r="BK35" i="11" s="1"/>
  <c r="BL35" i="11" s="1"/>
  <c r="BE35" i="11"/>
  <c r="BA35" i="11"/>
  <c r="AG35" i="11"/>
  <c r="Y35" i="11"/>
  <c r="U35" i="11"/>
  <c r="Q35" i="11"/>
  <c r="P35" i="11"/>
  <c r="K35" i="11"/>
  <c r="BB35" i="11" s="1"/>
  <c r="CG34" i="11"/>
  <c r="CF34" i="11"/>
  <c r="BA34" i="11"/>
  <c r="Y34" i="11"/>
  <c r="U34" i="11"/>
  <c r="P34" i="11"/>
  <c r="Q34" i="11" s="1"/>
  <c r="K34" i="11"/>
  <c r="CF33" i="11"/>
  <c r="CG33" i="11" s="1"/>
  <c r="CA33" i="11"/>
  <c r="CB33" i="11" s="1"/>
  <c r="CC33" i="11" s="1"/>
  <c r="CD33" i="11" s="1"/>
  <c r="BZ33" i="11"/>
  <c r="BO33" i="11"/>
  <c r="BN33" i="11"/>
  <c r="BI33" i="11"/>
  <c r="BJ33" i="11" s="1"/>
  <c r="BK33" i="11" s="1"/>
  <c r="BL33" i="11" s="1"/>
  <c r="BH33" i="11"/>
  <c r="BE33" i="11"/>
  <c r="BG33" i="11" s="1"/>
  <c r="BA33" i="11"/>
  <c r="AG33" i="11"/>
  <c r="Y33" i="11"/>
  <c r="U33" i="11"/>
  <c r="Q33" i="11"/>
  <c r="P33" i="11"/>
  <c r="K33" i="11"/>
  <c r="BB33" i="11" s="1"/>
  <c r="BE32" i="11"/>
  <c r="BA32" i="11"/>
  <c r="U32" i="11"/>
  <c r="K32" i="11"/>
  <c r="BA31" i="11"/>
  <c r="U31" i="11"/>
  <c r="K31" i="11"/>
  <c r="CG30" i="11"/>
  <c r="CF30" i="11"/>
  <c r="BQ30" i="11"/>
  <c r="BN30" i="11"/>
  <c r="BP30" i="11" s="1"/>
  <c r="BH30" i="11"/>
  <c r="BE30" i="11"/>
  <c r="BA30" i="11"/>
  <c r="BZ30" i="11" s="1"/>
  <c r="AG30" i="11"/>
  <c r="Y30" i="11"/>
  <c r="U30" i="11"/>
  <c r="P30" i="11"/>
  <c r="Q30" i="11" s="1"/>
  <c r="K30" i="11"/>
  <c r="BB30" i="11" s="1"/>
  <c r="BA29" i="11"/>
  <c r="U29" i="11"/>
  <c r="K29" i="11"/>
  <c r="CF28" i="11"/>
  <c r="CG28" i="11" s="1"/>
  <c r="CB28" i="11"/>
  <c r="CC28" i="11" s="1"/>
  <c r="CD28" i="11" s="1"/>
  <c r="BN28" i="11"/>
  <c r="BE28" i="11"/>
  <c r="BA28" i="11"/>
  <c r="BZ28" i="11" s="1"/>
  <c r="CA28" i="11" s="1"/>
  <c r="AG28" i="11"/>
  <c r="Y28" i="11"/>
  <c r="U28" i="11"/>
  <c r="P28" i="11"/>
  <c r="Q28" i="11" s="1"/>
  <c r="K28" i="11"/>
  <c r="BA27" i="11"/>
  <c r="U27" i="11"/>
  <c r="K27" i="11"/>
  <c r="CF26" i="11"/>
  <c r="CA26" i="11"/>
  <c r="CB26" i="11" s="1"/>
  <c r="CC26" i="11" s="1"/>
  <c r="CD26" i="11" s="1"/>
  <c r="BZ26" i="11"/>
  <c r="BR26" i="11"/>
  <c r="BS26" i="11" s="1"/>
  <c r="BT26" i="11" s="1"/>
  <c r="BU26" i="11" s="1"/>
  <c r="BQ26" i="11"/>
  <c r="BN26" i="11"/>
  <c r="BI26" i="11"/>
  <c r="BJ26" i="11" s="1"/>
  <c r="BK26" i="11" s="1"/>
  <c r="BL26" i="11" s="1"/>
  <c r="BH26" i="11"/>
  <c r="BE26" i="11"/>
  <c r="BB26" i="11"/>
  <c r="BA26" i="11"/>
  <c r="AG26" i="11"/>
  <c r="U26" i="11"/>
  <c r="K26" i="11"/>
  <c r="CF25" i="11"/>
  <c r="BQ25" i="11"/>
  <c r="BA25" i="11"/>
  <c r="BB25" i="11" s="1"/>
  <c r="Y25" i="11"/>
  <c r="U25" i="11"/>
  <c r="Q25" i="11"/>
  <c r="P25" i="11"/>
  <c r="K25" i="11"/>
  <c r="CF24" i="11"/>
  <c r="CD24" i="11"/>
  <c r="BZ24" i="11"/>
  <c r="CA24" i="11" s="1"/>
  <c r="CB24" i="11" s="1"/>
  <c r="CC24" i="11" s="1"/>
  <c r="BU24" i="11"/>
  <c r="BQ24" i="11"/>
  <c r="BR24" i="11" s="1"/>
  <c r="BS24" i="11" s="1"/>
  <c r="BT24" i="11" s="1"/>
  <c r="BN24" i="11"/>
  <c r="BH24" i="11"/>
  <c r="BI24" i="11" s="1"/>
  <c r="BJ24" i="11" s="1"/>
  <c r="BK24" i="11" s="1"/>
  <c r="BL24" i="11" s="1"/>
  <c r="BE24" i="11"/>
  <c r="BB24" i="11"/>
  <c r="BA24" i="11"/>
  <c r="AG24" i="11"/>
  <c r="U24" i="11"/>
  <c r="K24" i="11"/>
  <c r="CF23" i="11"/>
  <c r="BA23" i="11"/>
  <c r="Y23" i="11"/>
  <c r="U23" i="11"/>
  <c r="Q23" i="11"/>
  <c r="P23" i="11"/>
  <c r="K23" i="11"/>
  <c r="CF22" i="11"/>
  <c r="BZ22" i="11"/>
  <c r="CA22" i="11" s="1"/>
  <c r="CB22" i="11" s="1"/>
  <c r="CC22" i="11" s="1"/>
  <c r="CD22" i="11" s="1"/>
  <c r="BQ22" i="11"/>
  <c r="BR22" i="11" s="1"/>
  <c r="BS22" i="11" s="1"/>
  <c r="BT22" i="11" s="1"/>
  <c r="BU22" i="11" s="1"/>
  <c r="BN22" i="11"/>
  <c r="BH22" i="11"/>
  <c r="BI22" i="11" s="1"/>
  <c r="BJ22" i="11" s="1"/>
  <c r="BK22" i="11" s="1"/>
  <c r="BL22" i="11" s="1"/>
  <c r="BE22" i="11"/>
  <c r="BB22" i="11"/>
  <c r="BA22" i="11"/>
  <c r="AG22" i="11"/>
  <c r="U22" i="11"/>
  <c r="K22" i="11"/>
  <c r="CF21" i="11"/>
  <c r="CD21" i="11"/>
  <c r="BZ21" i="11"/>
  <c r="CA21" i="11" s="1"/>
  <c r="CB21" i="11" s="1"/>
  <c r="CC21" i="11" s="1"/>
  <c r="BQ21" i="11"/>
  <c r="BR21" i="11" s="1"/>
  <c r="BS21" i="11" s="1"/>
  <c r="BT21" i="11" s="1"/>
  <c r="BU21" i="11" s="1"/>
  <c r="BH21" i="11"/>
  <c r="BI21" i="11" s="1"/>
  <c r="BJ21" i="11" s="1"/>
  <c r="BK21" i="11" s="1"/>
  <c r="BL21" i="11" s="1"/>
  <c r="BA21" i="11"/>
  <c r="CG21" i="11" s="1"/>
  <c r="Y21" i="11"/>
  <c r="U21" i="11"/>
  <c r="P21" i="11"/>
  <c r="Q21" i="11" s="1"/>
  <c r="K21" i="11"/>
  <c r="CF20" i="11"/>
  <c r="BN20" i="11"/>
  <c r="BE20" i="11"/>
  <c r="BA20" i="11"/>
  <c r="Y20" i="11"/>
  <c r="U20" i="11"/>
  <c r="K20" i="11"/>
  <c r="BA19" i="11"/>
  <c r="U19" i="11"/>
  <c r="K19" i="11"/>
  <c r="CF18" i="11"/>
  <c r="CG18" i="11" s="1"/>
  <c r="BO18" i="11"/>
  <c r="BN18" i="11"/>
  <c r="BP18" i="11" s="1"/>
  <c r="BE18" i="11"/>
  <c r="BG18" i="11" s="1"/>
  <c r="BA18" i="11"/>
  <c r="Y18" i="11"/>
  <c r="U18" i="11"/>
  <c r="P18" i="11"/>
  <c r="Q18" i="11" s="1"/>
  <c r="K18" i="11"/>
  <c r="CF17" i="11"/>
  <c r="CG17" i="11" s="1"/>
  <c r="BN17" i="11"/>
  <c r="BH17" i="11"/>
  <c r="BE17" i="11"/>
  <c r="BB17" i="11"/>
  <c r="BA17" i="11"/>
  <c r="AG17" i="11"/>
  <c r="Y17" i="11"/>
  <c r="U17" i="11"/>
  <c r="Q17" i="11"/>
  <c r="P17" i="11"/>
  <c r="K17" i="11"/>
  <c r="CG16" i="11"/>
  <c r="CF16" i="11"/>
  <c r="BP16" i="11"/>
  <c r="BA16" i="11"/>
  <c r="Y16" i="11"/>
  <c r="U16" i="11"/>
  <c r="P16" i="11"/>
  <c r="Q16" i="11" s="1"/>
  <c r="K16" i="11"/>
  <c r="BN16" i="11" s="1"/>
  <c r="BO16" i="11" s="1"/>
  <c r="CF15" i="11"/>
  <c r="CG15" i="11" s="1"/>
  <c r="BZ15" i="11"/>
  <c r="CA15" i="11" s="1"/>
  <c r="CB15" i="11" s="1"/>
  <c r="CC15" i="11" s="1"/>
  <c r="CD15" i="11" s="1"/>
  <c r="BQ15" i="11"/>
  <c r="BR15" i="11" s="1"/>
  <c r="BS15" i="11" s="1"/>
  <c r="BT15" i="11" s="1"/>
  <c r="BU15" i="11" s="1"/>
  <c r="BN15" i="11"/>
  <c r="BE15" i="11"/>
  <c r="BB15" i="11"/>
  <c r="BA15" i="11"/>
  <c r="AG15" i="11"/>
  <c r="Y15" i="11"/>
  <c r="U15" i="11"/>
  <c r="Q15" i="11"/>
  <c r="P15" i="11"/>
  <c r="K15" i="11"/>
  <c r="CG14" i="11"/>
  <c r="CF14" i="11"/>
  <c r="BO14" i="11"/>
  <c r="BA14" i="11"/>
  <c r="Y14" i="11"/>
  <c r="U14" i="11"/>
  <c r="P14" i="11"/>
  <c r="Q14" i="11" s="1"/>
  <c r="K14" i="11"/>
  <c r="BN14" i="11" s="1"/>
  <c r="BP14" i="11" s="1"/>
  <c r="BA13" i="11"/>
  <c r="U13" i="11"/>
  <c r="K13" i="11"/>
  <c r="CG12" i="11"/>
  <c r="CF12" i="11"/>
  <c r="BA12" i="11"/>
  <c r="Y12" i="11"/>
  <c r="U12" i="11"/>
  <c r="P12" i="11"/>
  <c r="Q12" i="11" s="1"/>
  <c r="K12" i="11"/>
  <c r="BN12" i="11" s="1"/>
  <c r="BO12" i="11" s="1"/>
  <c r="BA11" i="11"/>
  <c r="U11" i="11"/>
  <c r="K11" i="11"/>
  <c r="CF10" i="11"/>
  <c r="CB10" i="11"/>
  <c r="CC10" i="11" s="1"/>
  <c r="CD10" i="11" s="1"/>
  <c r="BN10" i="11"/>
  <c r="BE10" i="11"/>
  <c r="BA10" i="11"/>
  <c r="BZ10" i="11" s="1"/>
  <c r="CA10" i="11" s="1"/>
  <c r="AG10" i="11"/>
  <c r="U10" i="11"/>
  <c r="K10" i="11"/>
  <c r="BA9" i="11"/>
  <c r="U9" i="11"/>
  <c r="K9" i="11"/>
  <c r="BQ8" i="11"/>
  <c r="BA8" i="11"/>
  <c r="U8" i="11"/>
  <c r="K8" i="11"/>
  <c r="CG7" i="11"/>
  <c r="CF7" i="11"/>
  <c r="CC7" i="11"/>
  <c r="CD7" i="11" s="1"/>
  <c r="BA7" i="11"/>
  <c r="BZ7" i="11" s="1"/>
  <c r="CA7" i="11" s="1"/>
  <c r="CB7" i="11" s="1"/>
  <c r="Y7" i="11"/>
  <c r="U7" i="11"/>
  <c r="P7" i="11"/>
  <c r="Q7" i="11" s="1"/>
  <c r="K7" i="11"/>
  <c r="CF6" i="11"/>
  <c r="BN6" i="11"/>
  <c r="BE6" i="11"/>
  <c r="BA6" i="11"/>
  <c r="Y6" i="11"/>
  <c r="U6" i="11"/>
  <c r="P6" i="11"/>
  <c r="Q6" i="11" s="1"/>
  <c r="K6" i="11"/>
  <c r="CF5" i="11"/>
  <c r="CG5" i="11" s="1"/>
  <c r="BZ5" i="11"/>
  <c r="CA5" i="11" s="1"/>
  <c r="CB5" i="11" s="1"/>
  <c r="CC5" i="11" s="1"/>
  <c r="CD5" i="11" s="1"/>
  <c r="BR5" i="11"/>
  <c r="BS5" i="11" s="1"/>
  <c r="BT5" i="11" s="1"/>
  <c r="BU5" i="11" s="1"/>
  <c r="BQ5" i="11"/>
  <c r="BH5" i="11"/>
  <c r="BI5" i="11" s="1"/>
  <c r="BJ5" i="11" s="1"/>
  <c r="BK5" i="11" s="1"/>
  <c r="BL5" i="11" s="1"/>
  <c r="BA5" i="11"/>
  <c r="AG5" i="11"/>
  <c r="Y5" i="11"/>
  <c r="U5" i="11"/>
  <c r="Q5" i="11"/>
  <c r="P5" i="11"/>
  <c r="K5" i="11"/>
  <c r="CF4" i="11"/>
  <c r="BA4" i="11"/>
  <c r="Y4" i="11"/>
  <c r="U4" i="11"/>
  <c r="P4" i="11"/>
  <c r="Q4" i="11" s="1"/>
  <c r="K4" i="11"/>
  <c r="BN3" i="11"/>
  <c r="AP2" i="11"/>
  <c r="AY69" i="10"/>
  <c r="AV69" i="10"/>
  <c r="AU69" i="10"/>
  <c r="AT69" i="10"/>
  <c r="AF69" i="10"/>
  <c r="T69" i="10"/>
  <c r="AY65" i="10"/>
  <c r="AV64" i="10"/>
  <c r="BI63" i="10"/>
  <c r="BJ63" i="10" s="1"/>
  <c r="BK63" i="10" s="1"/>
  <c r="BL63" i="10" s="1"/>
  <c r="BH63" i="10"/>
  <c r="AP62" i="10"/>
  <c r="AH62" i="10"/>
  <c r="AC62" i="10"/>
  <c r="V62" i="10"/>
  <c r="AQ62" i="10" s="1"/>
  <c r="M62" i="10"/>
  <c r="F62" i="10"/>
  <c r="AY61" i="10"/>
  <c r="AV61" i="10"/>
  <c r="AU61" i="10"/>
  <c r="AT61" i="10"/>
  <c r="AY60" i="10"/>
  <c r="AY64" i="10" s="1"/>
  <c r="AV60" i="10"/>
  <c r="AU60" i="10"/>
  <c r="AT60" i="10"/>
  <c r="AU64" i="10" s="1"/>
  <c r="AF60" i="10"/>
  <c r="X60" i="10"/>
  <c r="T60" i="10"/>
  <c r="O60" i="10"/>
  <c r="BA57" i="10"/>
  <c r="AG57" i="10"/>
  <c r="Y57" i="10"/>
  <c r="U57" i="10"/>
  <c r="K57" i="10"/>
  <c r="BE57" i="10" s="1"/>
  <c r="BG57" i="10" s="1"/>
  <c r="CF56" i="10"/>
  <c r="CG56" i="10" s="1"/>
  <c r="CD56" i="10"/>
  <c r="CA56" i="10"/>
  <c r="CB56" i="10" s="1"/>
  <c r="CC56" i="10" s="1"/>
  <c r="BZ56" i="10"/>
  <c r="BU56" i="10"/>
  <c r="BR56" i="10"/>
  <c r="BS56" i="10" s="1"/>
  <c r="BT56" i="10" s="1"/>
  <c r="BQ56" i="10"/>
  <c r="BN56" i="10"/>
  <c r="BL56" i="10"/>
  <c r="BI56" i="10"/>
  <c r="BJ56" i="10" s="1"/>
  <c r="BK56" i="10" s="1"/>
  <c r="BH56" i="10"/>
  <c r="BE56" i="10"/>
  <c r="BA56" i="10"/>
  <c r="AG56" i="10"/>
  <c r="Y56" i="10"/>
  <c r="U56" i="10"/>
  <c r="K56" i="10"/>
  <c r="BB56" i="10" s="1"/>
  <c r="CF55" i="10"/>
  <c r="CB55" i="10"/>
  <c r="CC55" i="10" s="1"/>
  <c r="CD55" i="10" s="1"/>
  <c r="BO55" i="10"/>
  <c r="BN55" i="10"/>
  <c r="BP55" i="10" s="1"/>
  <c r="BF55" i="10"/>
  <c r="BE55" i="10"/>
  <c r="BG55" i="10" s="1"/>
  <c r="BA55" i="10"/>
  <c r="BZ55" i="10" s="1"/>
  <c r="CA55" i="10" s="1"/>
  <c r="AG55" i="10"/>
  <c r="U55" i="10"/>
  <c r="K55" i="10"/>
  <c r="CF54" i="10"/>
  <c r="CG54" i="10" s="1"/>
  <c r="BQ54" i="10"/>
  <c r="BA54" i="10"/>
  <c r="AG54" i="10"/>
  <c r="Y54" i="10"/>
  <c r="U54" i="10"/>
  <c r="K54" i="10"/>
  <c r="CF53" i="10"/>
  <c r="BA53" i="10"/>
  <c r="AG53" i="10"/>
  <c r="Y53" i="10"/>
  <c r="U53" i="10"/>
  <c r="K53" i="10"/>
  <c r="BN53" i="10" s="1"/>
  <c r="CF52" i="10"/>
  <c r="CG52" i="10" s="1"/>
  <c r="CD52" i="10"/>
  <c r="CA52" i="10"/>
  <c r="CB52" i="10" s="1"/>
  <c r="CC52" i="10" s="1"/>
  <c r="BZ52" i="10"/>
  <c r="BU52" i="10"/>
  <c r="BR52" i="10"/>
  <c r="BS52" i="10" s="1"/>
  <c r="BT52" i="10" s="1"/>
  <c r="BQ52" i="10"/>
  <c r="BN52" i="10"/>
  <c r="BL52" i="10"/>
  <c r="BI52" i="10"/>
  <c r="BJ52" i="10" s="1"/>
  <c r="BK52" i="10" s="1"/>
  <c r="BH52" i="10"/>
  <c r="BE52" i="10"/>
  <c r="BA52" i="10"/>
  <c r="AG52" i="10"/>
  <c r="Y52" i="10"/>
  <c r="U52" i="10"/>
  <c r="K52" i="10"/>
  <c r="BB52" i="10" s="1"/>
  <c r="CF51" i="10"/>
  <c r="BA51" i="10"/>
  <c r="CG51" i="10" s="1"/>
  <c r="AG51" i="10"/>
  <c r="Y51" i="10"/>
  <c r="U51" i="10"/>
  <c r="P51" i="10"/>
  <c r="Q51" i="10" s="1"/>
  <c r="K51" i="10"/>
  <c r="CF50" i="10"/>
  <c r="CA50" i="10"/>
  <c r="CB50" i="10" s="1"/>
  <c r="CC50" i="10" s="1"/>
  <c r="CD50" i="10" s="1"/>
  <c r="BZ50" i="10"/>
  <c r="BU50" i="10"/>
  <c r="BR50" i="10"/>
  <c r="BS50" i="10" s="1"/>
  <c r="BT50" i="10" s="1"/>
  <c r="BQ50" i="10"/>
  <c r="BN50" i="10"/>
  <c r="BL50" i="10"/>
  <c r="BI50" i="10"/>
  <c r="BJ50" i="10" s="1"/>
  <c r="BK50" i="10" s="1"/>
  <c r="BH50" i="10"/>
  <c r="BE50" i="10"/>
  <c r="BC50" i="10"/>
  <c r="BA50" i="10"/>
  <c r="BB50" i="10" s="1"/>
  <c r="AG50" i="10"/>
  <c r="U50" i="10"/>
  <c r="K50" i="10"/>
  <c r="CF49" i="10"/>
  <c r="CG49" i="10" s="1"/>
  <c r="BZ49" i="10"/>
  <c r="CA49" i="10" s="1"/>
  <c r="CB49" i="10" s="1"/>
  <c r="CC49" i="10" s="1"/>
  <c r="CD49" i="10" s="1"/>
  <c r="BQ49" i="10"/>
  <c r="BR49" i="10" s="1"/>
  <c r="BS49" i="10" s="1"/>
  <c r="BT49" i="10" s="1"/>
  <c r="BU49" i="10" s="1"/>
  <c r="BN49" i="10"/>
  <c r="BH49" i="10"/>
  <c r="BI49" i="10" s="1"/>
  <c r="BJ49" i="10" s="1"/>
  <c r="BK49" i="10" s="1"/>
  <c r="BL49" i="10" s="1"/>
  <c r="BE49" i="10"/>
  <c r="BA49" i="10"/>
  <c r="AG49" i="10"/>
  <c r="Y49" i="10"/>
  <c r="U49" i="10"/>
  <c r="K49" i="10"/>
  <c r="BB49" i="10" s="1"/>
  <c r="CF48" i="10"/>
  <c r="BA48" i="10"/>
  <c r="AG48" i="10"/>
  <c r="U48" i="10"/>
  <c r="K48" i="10"/>
  <c r="CF47" i="10"/>
  <c r="CB47" i="10"/>
  <c r="CC47" i="10" s="1"/>
  <c r="CD47" i="10" s="1"/>
  <c r="BY47" i="10"/>
  <c r="BX47" i="10"/>
  <c r="BQ47" i="10"/>
  <c r="BN47" i="10"/>
  <c r="BL47" i="10"/>
  <c r="BI47" i="10"/>
  <c r="BJ47" i="10" s="1"/>
  <c r="BK47" i="10" s="1"/>
  <c r="BH47" i="10"/>
  <c r="BE47" i="10"/>
  <c r="BB47" i="10"/>
  <c r="BA47" i="10"/>
  <c r="BZ47" i="10" s="1"/>
  <c r="CA47" i="10" s="1"/>
  <c r="AG47" i="10"/>
  <c r="U47" i="10"/>
  <c r="K47" i="10"/>
  <c r="CF46" i="10"/>
  <c r="BA46" i="10"/>
  <c r="AG46" i="10"/>
  <c r="Y46" i="10"/>
  <c r="U46" i="10"/>
  <c r="K46" i="10"/>
  <c r="CF45" i="10"/>
  <c r="BZ45" i="10"/>
  <c r="CA45" i="10" s="1"/>
  <c r="CB45" i="10" s="1"/>
  <c r="CC45" i="10" s="1"/>
  <c r="CD45" i="10" s="1"/>
  <c r="BR45" i="10"/>
  <c r="BS45" i="10" s="1"/>
  <c r="BT45" i="10" s="1"/>
  <c r="BU45" i="10" s="1"/>
  <c r="BQ45" i="10"/>
  <c r="BN45" i="10"/>
  <c r="BI45" i="10"/>
  <c r="BJ45" i="10" s="1"/>
  <c r="BK45" i="10" s="1"/>
  <c r="BL45" i="10" s="1"/>
  <c r="BH45" i="10"/>
  <c r="BE45" i="10"/>
  <c r="BB45" i="10"/>
  <c r="BA45" i="10"/>
  <c r="AG45" i="10"/>
  <c r="U45" i="10"/>
  <c r="K45" i="10"/>
  <c r="CF44" i="10"/>
  <c r="CG44" i="10" s="1"/>
  <c r="BQ44" i="10"/>
  <c r="BA44" i="10"/>
  <c r="AG44" i="10"/>
  <c r="Y44" i="10"/>
  <c r="U44" i="10"/>
  <c r="P44" i="10"/>
  <c r="Q44" i="10" s="1"/>
  <c r="K44" i="10"/>
  <c r="CF43" i="10"/>
  <c r="CG43" i="10" s="1"/>
  <c r="BN43" i="10"/>
  <c r="BP43" i="10" s="1"/>
  <c r="BF43" i="10"/>
  <c r="BE43" i="10"/>
  <c r="BA43" i="10"/>
  <c r="BZ43" i="10" s="1"/>
  <c r="CA43" i="10" s="1"/>
  <c r="CB43" i="10" s="1"/>
  <c r="CC43" i="10" s="1"/>
  <c r="CD43" i="10" s="1"/>
  <c r="AG43" i="10"/>
  <c r="Y43" i="10"/>
  <c r="U43" i="10"/>
  <c r="K43" i="10"/>
  <c r="CF42" i="10"/>
  <c r="CG42" i="10" s="1"/>
  <c r="BZ42" i="10"/>
  <c r="CA42" i="10" s="1"/>
  <c r="CB42" i="10" s="1"/>
  <c r="CC42" i="10" s="1"/>
  <c r="CD42" i="10" s="1"/>
  <c r="BQ42" i="10"/>
  <c r="BH42" i="10"/>
  <c r="BI42" i="10" s="1"/>
  <c r="BJ42" i="10" s="1"/>
  <c r="BK42" i="10" s="1"/>
  <c r="BL42" i="10" s="1"/>
  <c r="BA42" i="10"/>
  <c r="AG42" i="10"/>
  <c r="Y42" i="10"/>
  <c r="U42" i="10"/>
  <c r="P42" i="10"/>
  <c r="Q42" i="10" s="1"/>
  <c r="K42" i="10"/>
  <c r="CG41" i="10"/>
  <c r="CF41" i="10"/>
  <c r="BO41" i="10"/>
  <c r="BN41" i="10"/>
  <c r="BP41" i="10" s="1"/>
  <c r="BE41" i="10"/>
  <c r="BA41" i="10"/>
  <c r="BZ41" i="10" s="1"/>
  <c r="CA41" i="10" s="1"/>
  <c r="CB41" i="10" s="1"/>
  <c r="CC41" i="10" s="1"/>
  <c r="CD41" i="10" s="1"/>
  <c r="AG41" i="10"/>
  <c r="Y41" i="10"/>
  <c r="U41" i="10"/>
  <c r="K41" i="10"/>
  <c r="CF40" i="10"/>
  <c r="BA40" i="10"/>
  <c r="AG40" i="10"/>
  <c r="U40" i="10"/>
  <c r="K40" i="10"/>
  <c r="CF39" i="10"/>
  <c r="BZ39" i="10"/>
  <c r="CA39" i="10" s="1"/>
  <c r="CB39" i="10" s="1"/>
  <c r="CC39" i="10" s="1"/>
  <c r="CD39" i="10" s="1"/>
  <c r="BQ39" i="10"/>
  <c r="BR39" i="10" s="1"/>
  <c r="BS39" i="10" s="1"/>
  <c r="BT39" i="10" s="1"/>
  <c r="BU39" i="10" s="1"/>
  <c r="BN39" i="10"/>
  <c r="BH39" i="10"/>
  <c r="BI39" i="10" s="1"/>
  <c r="BJ39" i="10" s="1"/>
  <c r="BK39" i="10" s="1"/>
  <c r="BL39" i="10" s="1"/>
  <c r="BE39" i="10"/>
  <c r="BB39" i="10"/>
  <c r="BA39" i="10"/>
  <c r="AG39" i="10"/>
  <c r="U39" i="10"/>
  <c r="K39" i="10"/>
  <c r="CF38" i="10"/>
  <c r="BB38" i="10"/>
  <c r="BA38" i="10"/>
  <c r="CG38" i="10" s="1"/>
  <c r="AG38" i="10"/>
  <c r="Y38" i="10"/>
  <c r="U38" i="10"/>
  <c r="P38" i="10"/>
  <c r="Q38" i="10" s="1"/>
  <c r="K38" i="10"/>
  <c r="CF37" i="10"/>
  <c r="CG37" i="10" s="1"/>
  <c r="CB37" i="10"/>
  <c r="CC37" i="10" s="1"/>
  <c r="CD37" i="10" s="1"/>
  <c r="BN37" i="10"/>
  <c r="BE37" i="10"/>
  <c r="BA37" i="10"/>
  <c r="BZ37" i="10" s="1"/>
  <c r="CA37" i="10" s="1"/>
  <c r="AG37" i="10"/>
  <c r="Y37" i="10"/>
  <c r="U37" i="10"/>
  <c r="K37" i="10"/>
  <c r="CF36" i="10"/>
  <c r="CG36" i="10" s="1"/>
  <c r="CD36" i="10"/>
  <c r="BA36" i="10"/>
  <c r="BZ36" i="10" s="1"/>
  <c r="CA36" i="10" s="1"/>
  <c r="CB36" i="10" s="1"/>
  <c r="CC36" i="10" s="1"/>
  <c r="AG36" i="10"/>
  <c r="Y36" i="10"/>
  <c r="U36" i="10"/>
  <c r="P36" i="10"/>
  <c r="Q36" i="10" s="1"/>
  <c r="K36" i="10"/>
  <c r="CF35" i="10"/>
  <c r="CG35" i="10" s="1"/>
  <c r="CB35" i="10"/>
  <c r="CC35" i="10" s="1"/>
  <c r="CD35" i="10" s="1"/>
  <c r="BN35" i="10"/>
  <c r="BE35" i="10"/>
  <c r="BA35" i="10"/>
  <c r="BZ35" i="10" s="1"/>
  <c r="CA35" i="10" s="1"/>
  <c r="AG35" i="10"/>
  <c r="Y35" i="10"/>
  <c r="U35" i="10"/>
  <c r="K35" i="10"/>
  <c r="CF34" i="10"/>
  <c r="CG34" i="10" s="1"/>
  <c r="CD34" i="10"/>
  <c r="BZ34" i="10"/>
  <c r="CA34" i="10" s="1"/>
  <c r="CB34" i="10" s="1"/>
  <c r="CC34" i="10" s="1"/>
  <c r="BU34" i="10"/>
  <c r="BQ34" i="10"/>
  <c r="BR34" i="10" s="1"/>
  <c r="BS34" i="10" s="1"/>
  <c r="BT34" i="10" s="1"/>
  <c r="BH34" i="10"/>
  <c r="BI34" i="10" s="1"/>
  <c r="BJ34" i="10" s="1"/>
  <c r="BK34" i="10" s="1"/>
  <c r="BL34" i="10" s="1"/>
  <c r="BA34" i="10"/>
  <c r="AG34" i="10"/>
  <c r="Y34" i="10"/>
  <c r="U34" i="10"/>
  <c r="K34" i="10"/>
  <c r="CG33" i="10"/>
  <c r="CF33" i="10"/>
  <c r="BS33" i="10"/>
  <c r="BT33" i="10" s="1"/>
  <c r="BU33" i="10" s="1"/>
  <c r="BP33" i="10"/>
  <c r="BO33" i="10"/>
  <c r="BA33" i="10"/>
  <c r="AG33" i="10"/>
  <c r="Y33" i="10"/>
  <c r="U33" i="10"/>
  <c r="P33" i="10"/>
  <c r="Q33" i="10" s="1"/>
  <c r="K33" i="10"/>
  <c r="BN33" i="10" s="1"/>
  <c r="BQ33" i="10" s="1"/>
  <c r="BR33" i="10" s="1"/>
  <c r="CF32" i="10"/>
  <c r="BZ32" i="10"/>
  <c r="CA32" i="10" s="1"/>
  <c r="CB32" i="10" s="1"/>
  <c r="CC32" i="10" s="1"/>
  <c r="CD32" i="10" s="1"/>
  <c r="BQ32" i="10"/>
  <c r="BR32" i="10" s="1"/>
  <c r="BS32" i="10" s="1"/>
  <c r="BT32" i="10" s="1"/>
  <c r="BU32" i="10" s="1"/>
  <c r="BP32" i="10"/>
  <c r="BH32" i="10"/>
  <c r="BB32" i="10"/>
  <c r="BC32" i="10" s="1"/>
  <c r="BA32" i="10"/>
  <c r="AG32" i="10"/>
  <c r="U32" i="10"/>
  <c r="K32" i="10"/>
  <c r="BN32" i="10" s="1"/>
  <c r="BO32" i="10" s="1"/>
  <c r="CF31" i="10"/>
  <c r="BQ31" i="10"/>
  <c r="BI31" i="10"/>
  <c r="BJ31" i="10" s="1"/>
  <c r="BK31" i="10" s="1"/>
  <c r="BL31" i="10" s="1"/>
  <c r="BH31" i="10"/>
  <c r="BA31" i="10"/>
  <c r="BZ31" i="10" s="1"/>
  <c r="CA31" i="10" s="1"/>
  <c r="CB31" i="10" s="1"/>
  <c r="CC31" i="10" s="1"/>
  <c r="CD31" i="10" s="1"/>
  <c r="AG31" i="10"/>
  <c r="U31" i="10"/>
  <c r="K31" i="10"/>
  <c r="CF30" i="10"/>
  <c r="BA30" i="10"/>
  <c r="AG30" i="10"/>
  <c r="Y30" i="10"/>
  <c r="U30" i="10"/>
  <c r="K30" i="10"/>
  <c r="CF29" i="10"/>
  <c r="BZ29" i="10"/>
  <c r="CA29" i="10" s="1"/>
  <c r="CB29" i="10" s="1"/>
  <c r="CC29" i="10" s="1"/>
  <c r="CD29" i="10" s="1"/>
  <c r="BQ29" i="10"/>
  <c r="BN29" i="10"/>
  <c r="BI29" i="10"/>
  <c r="BJ29" i="10" s="1"/>
  <c r="BK29" i="10" s="1"/>
  <c r="BL29" i="10" s="1"/>
  <c r="BH29" i="10"/>
  <c r="BE29" i="10"/>
  <c r="BB29" i="10"/>
  <c r="BA29" i="10"/>
  <c r="AG29" i="10"/>
  <c r="U29" i="10"/>
  <c r="K29" i="10"/>
  <c r="CF28" i="10"/>
  <c r="BZ28" i="10"/>
  <c r="CA28" i="10" s="1"/>
  <c r="CB28" i="10" s="1"/>
  <c r="CC28" i="10" s="1"/>
  <c r="CD28" i="10" s="1"/>
  <c r="BQ28" i="10"/>
  <c r="BR28" i="10" s="1"/>
  <c r="BS28" i="10" s="1"/>
  <c r="BT28" i="10" s="1"/>
  <c r="BU28" i="10" s="1"/>
  <c r="BH28" i="10"/>
  <c r="BI28" i="10" s="1"/>
  <c r="BJ28" i="10" s="1"/>
  <c r="BK28" i="10" s="1"/>
  <c r="BL28" i="10" s="1"/>
  <c r="BA28" i="10"/>
  <c r="CG28" i="10" s="1"/>
  <c r="AG28" i="10"/>
  <c r="Y28" i="10"/>
  <c r="U28" i="10"/>
  <c r="P28" i="10"/>
  <c r="Q28" i="10" s="1"/>
  <c r="K28" i="10"/>
  <c r="CF27" i="10"/>
  <c r="BZ27" i="10"/>
  <c r="CA27" i="10" s="1"/>
  <c r="CB27" i="10" s="1"/>
  <c r="CC27" i="10" s="1"/>
  <c r="CD27" i="10" s="1"/>
  <c r="BQ27" i="10"/>
  <c r="BR27" i="10" s="1"/>
  <c r="BS27" i="10" s="1"/>
  <c r="BT27" i="10" s="1"/>
  <c r="BU27" i="10" s="1"/>
  <c r="BN27" i="10"/>
  <c r="BH27" i="10"/>
  <c r="BI27" i="10" s="1"/>
  <c r="BJ27" i="10" s="1"/>
  <c r="BK27" i="10" s="1"/>
  <c r="BL27" i="10" s="1"/>
  <c r="BE27" i="10"/>
  <c r="BB27" i="10"/>
  <c r="BA27" i="10"/>
  <c r="AG27" i="10"/>
  <c r="U27" i="10"/>
  <c r="K27" i="10"/>
  <c r="CF26" i="10"/>
  <c r="BA26" i="10"/>
  <c r="AG26" i="10"/>
  <c r="U26" i="10"/>
  <c r="K26" i="10"/>
  <c r="CF25" i="10"/>
  <c r="CG25" i="10" s="1"/>
  <c r="CB25" i="10"/>
  <c r="CC25" i="10" s="1"/>
  <c r="CD25" i="10" s="1"/>
  <c r="BN25" i="10"/>
  <c r="BE25" i="10"/>
  <c r="BA25" i="10"/>
  <c r="BZ25" i="10" s="1"/>
  <c r="CA25" i="10" s="1"/>
  <c r="AG25" i="10"/>
  <c r="Y25" i="10"/>
  <c r="U25" i="10"/>
  <c r="K25" i="10"/>
  <c r="CF24" i="10"/>
  <c r="BA24" i="10"/>
  <c r="AG24" i="10"/>
  <c r="U24" i="10"/>
  <c r="K24" i="10"/>
  <c r="CF23" i="10"/>
  <c r="CG23" i="10" s="1"/>
  <c r="BN23" i="10"/>
  <c r="BP23" i="10" s="1"/>
  <c r="BE23" i="10"/>
  <c r="BG23" i="10" s="1"/>
  <c r="BA23" i="10"/>
  <c r="AG23" i="10"/>
  <c r="Y23" i="10"/>
  <c r="U23" i="10"/>
  <c r="K23" i="10"/>
  <c r="CF22" i="10"/>
  <c r="BA22" i="10"/>
  <c r="AG22" i="10"/>
  <c r="U22" i="10"/>
  <c r="K22" i="10"/>
  <c r="CF21" i="10"/>
  <c r="CG21" i="10" s="1"/>
  <c r="BN21" i="10"/>
  <c r="BE21" i="10"/>
  <c r="BA21" i="10"/>
  <c r="BZ21" i="10" s="1"/>
  <c r="CA21" i="10" s="1"/>
  <c r="CB21" i="10" s="1"/>
  <c r="CC21" i="10" s="1"/>
  <c r="CD21" i="10" s="1"/>
  <c r="AG21" i="10"/>
  <c r="Y21" i="10"/>
  <c r="U21" i="10"/>
  <c r="K21" i="10"/>
  <c r="CF20" i="10"/>
  <c r="CG20" i="10" s="1"/>
  <c r="CD20" i="10"/>
  <c r="BZ20" i="10"/>
  <c r="CA20" i="10" s="1"/>
  <c r="CB20" i="10" s="1"/>
  <c r="CC20" i="10" s="1"/>
  <c r="BQ20" i="10"/>
  <c r="BR20" i="10" s="1"/>
  <c r="BS20" i="10" s="1"/>
  <c r="BT20" i="10" s="1"/>
  <c r="BU20" i="10" s="1"/>
  <c r="BL20" i="10"/>
  <c r="BH20" i="10"/>
  <c r="BI20" i="10" s="1"/>
  <c r="BJ20" i="10" s="1"/>
  <c r="BK20" i="10" s="1"/>
  <c r="BD20" i="10"/>
  <c r="BA20" i="10"/>
  <c r="AG20" i="10"/>
  <c r="Y20" i="10"/>
  <c r="U20" i="10"/>
  <c r="K20" i="10"/>
  <c r="CF19" i="10"/>
  <c r="BP19" i="10"/>
  <c r="BA19" i="10"/>
  <c r="BO19" i="10" s="1"/>
  <c r="AG19" i="10"/>
  <c r="U19" i="10"/>
  <c r="K19" i="10"/>
  <c r="CF18" i="10"/>
  <c r="CG18" i="10" s="1"/>
  <c r="BZ18" i="10"/>
  <c r="CA18" i="10" s="1"/>
  <c r="CB18" i="10" s="1"/>
  <c r="CC18" i="10" s="1"/>
  <c r="CD18" i="10" s="1"/>
  <c r="BQ18" i="10"/>
  <c r="BR18" i="10" s="1"/>
  <c r="BS18" i="10" s="1"/>
  <c r="BT18" i="10" s="1"/>
  <c r="BU18" i="10" s="1"/>
  <c r="BN18" i="10"/>
  <c r="BH18" i="10"/>
  <c r="BI18" i="10" s="1"/>
  <c r="BJ18" i="10" s="1"/>
  <c r="BK18" i="10" s="1"/>
  <c r="BL18" i="10" s="1"/>
  <c r="BE18" i="10"/>
  <c r="BD18" i="10"/>
  <c r="BA18" i="10"/>
  <c r="BB18" i="10" s="1"/>
  <c r="AG18" i="10"/>
  <c r="Y18" i="10"/>
  <c r="U18" i="10"/>
  <c r="K18" i="10"/>
  <c r="CF17" i="10"/>
  <c r="BA17" i="10"/>
  <c r="AG17" i="10"/>
  <c r="Y17" i="10"/>
  <c r="U17" i="10"/>
  <c r="Q17" i="10"/>
  <c r="P17" i="10"/>
  <c r="K17" i="10"/>
  <c r="CG16" i="10"/>
  <c r="CF16" i="10"/>
  <c r="CA16" i="10"/>
  <c r="CB16" i="10" s="1"/>
  <c r="CC16" i="10" s="1"/>
  <c r="CD16" i="10" s="1"/>
  <c r="BO16" i="10"/>
  <c r="BN16" i="10"/>
  <c r="BP16" i="10" s="1"/>
  <c r="BF16" i="10"/>
  <c r="BE16" i="10"/>
  <c r="BG16" i="10" s="1"/>
  <c r="BA16" i="10"/>
  <c r="BZ16" i="10" s="1"/>
  <c r="AG16" i="10"/>
  <c r="Y16" i="10"/>
  <c r="U16" i="10"/>
  <c r="K16" i="10"/>
  <c r="CF15" i="10"/>
  <c r="BQ15" i="10"/>
  <c r="BA15" i="10"/>
  <c r="AG15" i="10"/>
  <c r="Y15" i="10"/>
  <c r="U15" i="10"/>
  <c r="Q15" i="10"/>
  <c r="P15" i="10"/>
  <c r="K15" i="10"/>
  <c r="CG14" i="10"/>
  <c r="CF14" i="10"/>
  <c r="CA14" i="10"/>
  <c r="CB14" i="10" s="1"/>
  <c r="CC14" i="10" s="1"/>
  <c r="CD14" i="10" s="1"/>
  <c r="BO14" i="10"/>
  <c r="BN14" i="10"/>
  <c r="BP14" i="10" s="1"/>
  <c r="BF14" i="10"/>
  <c r="BE14" i="10"/>
  <c r="BG14" i="10" s="1"/>
  <c r="BA14" i="10"/>
  <c r="BZ14" i="10" s="1"/>
  <c r="AG14" i="10"/>
  <c r="Y14" i="10"/>
  <c r="U14" i="10"/>
  <c r="K14" i="10"/>
  <c r="CF13" i="10"/>
  <c r="BA13" i="10"/>
  <c r="AG13" i="10"/>
  <c r="U13" i="10"/>
  <c r="K13" i="10"/>
  <c r="CF12" i="10"/>
  <c r="CG12" i="10" s="1"/>
  <c r="BN12" i="10"/>
  <c r="BP12" i="10" s="1"/>
  <c r="BE12" i="10"/>
  <c r="BG12" i="10" s="1"/>
  <c r="BA12" i="10"/>
  <c r="BZ12" i="10" s="1"/>
  <c r="CA12" i="10" s="1"/>
  <c r="CB12" i="10" s="1"/>
  <c r="CC12" i="10" s="1"/>
  <c r="CD12" i="10" s="1"/>
  <c r="AG12" i="10"/>
  <c r="Y12" i="10"/>
  <c r="U12" i="10"/>
  <c r="K12" i="10"/>
  <c r="CF11" i="10"/>
  <c r="BA11" i="10"/>
  <c r="AG11" i="10"/>
  <c r="U11" i="10"/>
  <c r="K11" i="10"/>
  <c r="CF10" i="10"/>
  <c r="CA10" i="10"/>
  <c r="CB10" i="10" s="1"/>
  <c r="CC10" i="10" s="1"/>
  <c r="CD10" i="10" s="1"/>
  <c r="BZ10" i="10"/>
  <c r="BR10" i="10"/>
  <c r="BS10" i="10" s="1"/>
  <c r="BT10" i="10" s="1"/>
  <c r="BU10" i="10" s="1"/>
  <c r="BQ10" i="10"/>
  <c r="BN10" i="10"/>
  <c r="BI10" i="10"/>
  <c r="BJ10" i="10" s="1"/>
  <c r="BK10" i="10" s="1"/>
  <c r="BL10" i="10" s="1"/>
  <c r="BH10" i="10"/>
  <c r="BE10" i="10"/>
  <c r="BB10" i="10"/>
  <c r="BA10" i="10"/>
  <c r="AG10" i="10"/>
  <c r="U10" i="10"/>
  <c r="K10" i="10"/>
  <c r="CF9" i="10"/>
  <c r="BA9" i="10"/>
  <c r="AG9" i="10"/>
  <c r="U9" i="10"/>
  <c r="K9" i="10"/>
  <c r="CF8" i="10"/>
  <c r="CA8" i="10"/>
  <c r="CB8" i="10" s="1"/>
  <c r="CC8" i="10" s="1"/>
  <c r="CD8" i="10" s="1"/>
  <c r="BZ8" i="10"/>
  <c r="BQ8" i="10"/>
  <c r="BR8" i="10" s="1"/>
  <c r="BS8" i="10" s="1"/>
  <c r="BT8" i="10" s="1"/>
  <c r="BU8" i="10" s="1"/>
  <c r="BN8" i="10"/>
  <c r="BI8" i="10"/>
  <c r="BJ8" i="10" s="1"/>
  <c r="BK8" i="10" s="1"/>
  <c r="BL8" i="10" s="1"/>
  <c r="BH8" i="10"/>
  <c r="BE8" i="10"/>
  <c r="BB8" i="10"/>
  <c r="BA8" i="10"/>
  <c r="AG8" i="10"/>
  <c r="U8" i="10"/>
  <c r="K8" i="10"/>
  <c r="CF7" i="10"/>
  <c r="CG7" i="10" s="1"/>
  <c r="BZ7" i="10"/>
  <c r="CA7" i="10" s="1"/>
  <c r="CB7" i="10" s="1"/>
  <c r="CC7" i="10" s="1"/>
  <c r="CD7" i="10" s="1"/>
  <c r="BA7" i="10"/>
  <c r="AG7" i="10"/>
  <c r="Y7" i="10"/>
  <c r="U7" i="10"/>
  <c r="K7" i="10"/>
  <c r="CF6" i="10"/>
  <c r="BA6" i="10"/>
  <c r="AG6" i="10"/>
  <c r="Y6" i="10"/>
  <c r="U6" i="10"/>
  <c r="Q6" i="10"/>
  <c r="P6" i="10"/>
  <c r="K6" i="10"/>
  <c r="CG5" i="10"/>
  <c r="CF5" i="10"/>
  <c r="CA5" i="10"/>
  <c r="CB5" i="10" s="1"/>
  <c r="CC5" i="10" s="1"/>
  <c r="CD5" i="10" s="1"/>
  <c r="BO5" i="10"/>
  <c r="BN5" i="10"/>
  <c r="BP5" i="10" s="1"/>
  <c r="BF5" i="10"/>
  <c r="BE5" i="10"/>
  <c r="BG5" i="10" s="1"/>
  <c r="BA5" i="10"/>
  <c r="BZ5" i="10" s="1"/>
  <c r="AG5" i="10"/>
  <c r="Y5" i="10"/>
  <c r="U5" i="10"/>
  <c r="K5" i="10"/>
  <c r="CF4" i="10"/>
  <c r="BA4" i="10"/>
  <c r="AG4" i="10"/>
  <c r="Y4" i="10"/>
  <c r="U4" i="10"/>
  <c r="Q4" i="10"/>
  <c r="P4" i="10"/>
  <c r="K4" i="10"/>
  <c r="BN3" i="10"/>
  <c r="AP2" i="10"/>
  <c r="AY69" i="9"/>
  <c r="AV69" i="9"/>
  <c r="AU69" i="9"/>
  <c r="AT69" i="9"/>
  <c r="AF69" i="9"/>
  <c r="T69" i="9"/>
  <c r="AY64" i="9"/>
  <c r="BJ63" i="9"/>
  <c r="BK63" i="9" s="1"/>
  <c r="BL63" i="9" s="1"/>
  <c r="BH63" i="9"/>
  <c r="BI63" i="9" s="1"/>
  <c r="AP62" i="9"/>
  <c r="AH62" i="9"/>
  <c r="AC62" i="9"/>
  <c r="V62" i="9"/>
  <c r="AQ62" i="9" s="1"/>
  <c r="M62" i="9"/>
  <c r="F62" i="9"/>
  <c r="AY61" i="9"/>
  <c r="AV61" i="9"/>
  <c r="AU61" i="9"/>
  <c r="AT61" i="9"/>
  <c r="AY60" i="9"/>
  <c r="AY65" i="9" s="1"/>
  <c r="AV60" i="9"/>
  <c r="AV64" i="9" s="1"/>
  <c r="AU60" i="9"/>
  <c r="AU64" i="9" s="1"/>
  <c r="AT60" i="9"/>
  <c r="AF60" i="9"/>
  <c r="AG56" i="9" s="1"/>
  <c r="X60" i="9"/>
  <c r="T60" i="9"/>
  <c r="O60" i="9"/>
  <c r="BH57" i="9"/>
  <c r="BI57" i="9" s="1"/>
  <c r="BJ57" i="9" s="1"/>
  <c r="BK57" i="9" s="1"/>
  <c r="BL57" i="9" s="1"/>
  <c r="BA57" i="9"/>
  <c r="Y57" i="9"/>
  <c r="U57" i="9"/>
  <c r="P57" i="9"/>
  <c r="Q57" i="9" s="1"/>
  <c r="K57" i="9"/>
  <c r="CF56" i="9"/>
  <c r="CG56" i="9" s="1"/>
  <c r="CB56" i="9"/>
  <c r="CC56" i="9" s="1"/>
  <c r="CD56" i="9" s="1"/>
  <c r="BN56" i="9"/>
  <c r="BE56" i="9"/>
  <c r="BA56" i="9"/>
  <c r="BZ56" i="9" s="1"/>
  <c r="CA56" i="9" s="1"/>
  <c r="Y56" i="9"/>
  <c r="U56" i="9"/>
  <c r="K56" i="9"/>
  <c r="BA55" i="9"/>
  <c r="U55" i="9"/>
  <c r="K55" i="9"/>
  <c r="CG54" i="9"/>
  <c r="CF54" i="9"/>
  <c r="BO54" i="9"/>
  <c r="BN54" i="9"/>
  <c r="BP54" i="9" s="1"/>
  <c r="BF54" i="9"/>
  <c r="BE54" i="9"/>
  <c r="BA54" i="9"/>
  <c r="BQ54" i="9" s="1"/>
  <c r="AG54" i="9"/>
  <c r="Y54" i="9"/>
  <c r="U54" i="9"/>
  <c r="K54" i="9"/>
  <c r="CF53" i="9"/>
  <c r="BA53" i="9"/>
  <c r="Y53" i="9"/>
  <c r="U53" i="9"/>
  <c r="Q53" i="9"/>
  <c r="P53" i="9"/>
  <c r="K53" i="9"/>
  <c r="CG52" i="9"/>
  <c r="CF52" i="9"/>
  <c r="CA52" i="9"/>
  <c r="CB52" i="9" s="1"/>
  <c r="CC52" i="9" s="1"/>
  <c r="CD52" i="9" s="1"/>
  <c r="BO52" i="9"/>
  <c r="BN52" i="9"/>
  <c r="BP52" i="9" s="1"/>
  <c r="BF52" i="9"/>
  <c r="BE52" i="9"/>
  <c r="BG52" i="9" s="1"/>
  <c r="BA52" i="9"/>
  <c r="BZ52" i="9" s="1"/>
  <c r="AG52" i="9"/>
  <c r="Y52" i="9"/>
  <c r="U52" i="9"/>
  <c r="K52" i="9"/>
  <c r="CF51" i="9"/>
  <c r="CG51" i="9" s="1"/>
  <c r="BZ51" i="9"/>
  <c r="CA51" i="9" s="1"/>
  <c r="CB51" i="9" s="1"/>
  <c r="CC51" i="9" s="1"/>
  <c r="CD51" i="9" s="1"/>
  <c r="BQ51" i="9"/>
  <c r="BR51" i="9" s="1"/>
  <c r="BS51" i="9" s="1"/>
  <c r="BT51" i="9" s="1"/>
  <c r="BU51" i="9" s="1"/>
  <c r="BH51" i="9"/>
  <c r="BI51" i="9" s="1"/>
  <c r="BJ51" i="9" s="1"/>
  <c r="BK51" i="9" s="1"/>
  <c r="BL51" i="9" s="1"/>
  <c r="BA51" i="9"/>
  <c r="AG51" i="9"/>
  <c r="Y51" i="9"/>
  <c r="U51" i="9"/>
  <c r="K51" i="9"/>
  <c r="BB51" i="9" s="1"/>
  <c r="BZ50" i="9"/>
  <c r="CA50" i="9" s="1"/>
  <c r="CB50" i="9" s="1"/>
  <c r="CC50" i="9" s="1"/>
  <c r="CD50" i="9" s="1"/>
  <c r="BQ50" i="9"/>
  <c r="BN50" i="9"/>
  <c r="BH50" i="9"/>
  <c r="BI50" i="9" s="1"/>
  <c r="BJ50" i="9" s="1"/>
  <c r="BK50" i="9" s="1"/>
  <c r="BL50" i="9" s="1"/>
  <c r="BE50" i="9"/>
  <c r="BA50" i="9"/>
  <c r="BB50" i="9" s="1"/>
  <c r="AG50" i="9"/>
  <c r="U50" i="9"/>
  <c r="K50" i="9"/>
  <c r="CF49" i="9"/>
  <c r="CG49" i="9" s="1"/>
  <c r="CA49" i="9"/>
  <c r="CB49" i="9" s="1"/>
  <c r="CC49" i="9" s="1"/>
  <c r="CD49" i="9" s="1"/>
  <c r="BZ49" i="9"/>
  <c r="BU49" i="9"/>
  <c r="BR49" i="9"/>
  <c r="BS49" i="9" s="1"/>
  <c r="BT49" i="9" s="1"/>
  <c r="BQ49" i="9"/>
  <c r="BI49" i="9"/>
  <c r="BJ49" i="9" s="1"/>
  <c r="BK49" i="9" s="1"/>
  <c r="BL49" i="9" s="1"/>
  <c r="BH49" i="9"/>
  <c r="BB49" i="9"/>
  <c r="BC50" i="9" s="1"/>
  <c r="BA49" i="9"/>
  <c r="AG49" i="9"/>
  <c r="Y49" i="9"/>
  <c r="U49" i="9"/>
  <c r="K49" i="9"/>
  <c r="BH48" i="9"/>
  <c r="BI48" i="9" s="1"/>
  <c r="BJ48" i="9" s="1"/>
  <c r="BK48" i="9" s="1"/>
  <c r="BL48" i="9" s="1"/>
  <c r="BA48" i="9"/>
  <c r="U48" i="9"/>
  <c r="K48" i="9"/>
  <c r="CF47" i="9"/>
  <c r="BX47" i="9"/>
  <c r="BQ47" i="9"/>
  <c r="BN47" i="9"/>
  <c r="BL47" i="9"/>
  <c r="BI47" i="9"/>
  <c r="BJ47" i="9" s="1"/>
  <c r="BK47" i="9" s="1"/>
  <c r="BH47" i="9"/>
  <c r="BE47" i="9"/>
  <c r="BB47" i="9"/>
  <c r="BA47" i="9"/>
  <c r="BZ47" i="9" s="1"/>
  <c r="BR47" i="9" s="1"/>
  <c r="BS47" i="9" s="1"/>
  <c r="BT47" i="9" s="1"/>
  <c r="BU47" i="9" s="1"/>
  <c r="AG47" i="9"/>
  <c r="U47" i="9"/>
  <c r="K47" i="9"/>
  <c r="CF46" i="9"/>
  <c r="BA46" i="9"/>
  <c r="Y46" i="9"/>
  <c r="U46" i="9"/>
  <c r="Q46" i="9"/>
  <c r="P46" i="9"/>
  <c r="K46" i="9"/>
  <c r="CF45" i="9"/>
  <c r="BZ45" i="9"/>
  <c r="CA45" i="9" s="1"/>
  <c r="CB45" i="9" s="1"/>
  <c r="CC45" i="9" s="1"/>
  <c r="CD45" i="9" s="1"/>
  <c r="BQ45" i="9"/>
  <c r="BR45" i="9" s="1"/>
  <c r="BS45" i="9" s="1"/>
  <c r="BT45" i="9" s="1"/>
  <c r="BU45" i="9" s="1"/>
  <c r="BN45" i="9"/>
  <c r="BH45" i="9"/>
  <c r="BE45" i="9"/>
  <c r="BB45" i="9"/>
  <c r="BA45" i="9"/>
  <c r="AG45" i="9"/>
  <c r="U45" i="9"/>
  <c r="K45" i="9"/>
  <c r="CF44" i="9"/>
  <c r="CG44" i="9" s="1"/>
  <c r="BA44" i="9"/>
  <c r="BQ44" i="9" s="1"/>
  <c r="Y44" i="9"/>
  <c r="U44" i="9"/>
  <c r="Q44" i="9"/>
  <c r="P44" i="9"/>
  <c r="K44" i="9"/>
  <c r="CG43" i="9"/>
  <c r="CF43" i="9"/>
  <c r="BO43" i="9"/>
  <c r="BN43" i="9"/>
  <c r="BP43" i="9" s="1"/>
  <c r="BF43" i="9"/>
  <c r="BE43" i="9"/>
  <c r="BA43" i="9"/>
  <c r="BZ43" i="9" s="1"/>
  <c r="CA43" i="9" s="1"/>
  <c r="CB43" i="9" s="1"/>
  <c r="CC43" i="9" s="1"/>
  <c r="CD43" i="9" s="1"/>
  <c r="AG43" i="9"/>
  <c r="Y43" i="9"/>
  <c r="U43" i="9"/>
  <c r="K43" i="9"/>
  <c r="CF42" i="9"/>
  <c r="BA42" i="9"/>
  <c r="Y42" i="9"/>
  <c r="U42" i="9"/>
  <c r="Q42" i="9"/>
  <c r="P42" i="9"/>
  <c r="K42" i="9"/>
  <c r="CG41" i="9"/>
  <c r="CF41" i="9"/>
  <c r="CA41" i="9"/>
  <c r="CB41" i="9" s="1"/>
  <c r="CC41" i="9" s="1"/>
  <c r="CD41" i="9" s="1"/>
  <c r="BO41" i="9"/>
  <c r="BN41" i="9"/>
  <c r="BP41" i="9" s="1"/>
  <c r="BF41" i="9"/>
  <c r="BE41" i="9"/>
  <c r="BG41" i="9" s="1"/>
  <c r="BA41" i="9"/>
  <c r="BZ41" i="9" s="1"/>
  <c r="AG41" i="9"/>
  <c r="Y41" i="9"/>
  <c r="U41" i="9"/>
  <c r="K41" i="9"/>
  <c r="BA40" i="9"/>
  <c r="U40" i="9"/>
  <c r="K40" i="9"/>
  <c r="CF39" i="9"/>
  <c r="CD39" i="9"/>
  <c r="CA39" i="9"/>
  <c r="CB39" i="9" s="1"/>
  <c r="CC39" i="9" s="1"/>
  <c r="BZ39" i="9"/>
  <c r="BU39" i="9"/>
  <c r="BR39" i="9"/>
  <c r="BS39" i="9" s="1"/>
  <c r="BT39" i="9" s="1"/>
  <c r="BQ39" i="9"/>
  <c r="BN39" i="9"/>
  <c r="BL39" i="9"/>
  <c r="BI39" i="9"/>
  <c r="BJ39" i="9" s="1"/>
  <c r="BK39" i="9" s="1"/>
  <c r="BH39" i="9"/>
  <c r="BE39" i="9"/>
  <c r="BB39" i="9"/>
  <c r="BA39" i="9"/>
  <c r="AG39" i="9"/>
  <c r="U39" i="9"/>
  <c r="K39" i="9"/>
  <c r="CF38" i="9"/>
  <c r="BB38" i="9"/>
  <c r="BA38" i="9"/>
  <c r="Y38" i="9"/>
  <c r="U38" i="9"/>
  <c r="Q38" i="9"/>
  <c r="P38" i="9"/>
  <c r="K38" i="9"/>
  <c r="CG37" i="9"/>
  <c r="CF37" i="9"/>
  <c r="CA37" i="9"/>
  <c r="CB37" i="9" s="1"/>
  <c r="CC37" i="9" s="1"/>
  <c r="CD37" i="9" s="1"/>
  <c r="BO37" i="9"/>
  <c r="BN37" i="9"/>
  <c r="BP37" i="9" s="1"/>
  <c r="BF37" i="9"/>
  <c r="BE37" i="9"/>
  <c r="BG37" i="9" s="1"/>
  <c r="BA37" i="9"/>
  <c r="BZ37" i="9" s="1"/>
  <c r="AG37" i="9"/>
  <c r="Y37" i="9"/>
  <c r="U37" i="9"/>
  <c r="K37" i="9"/>
  <c r="CF36" i="9"/>
  <c r="BQ36" i="9"/>
  <c r="BA36" i="9"/>
  <c r="BB36" i="9" s="1"/>
  <c r="Y36" i="9"/>
  <c r="U36" i="9"/>
  <c r="P36" i="9"/>
  <c r="Q36" i="9" s="1"/>
  <c r="K36" i="9"/>
  <c r="CG35" i="9"/>
  <c r="CF35" i="9"/>
  <c r="BO35" i="9"/>
  <c r="BN35" i="9"/>
  <c r="BP35" i="9" s="1"/>
  <c r="BF35" i="9"/>
  <c r="BE35" i="9"/>
  <c r="BG35" i="9" s="1"/>
  <c r="BA35" i="9"/>
  <c r="BZ35" i="9" s="1"/>
  <c r="CA35" i="9" s="1"/>
  <c r="CB35" i="9" s="1"/>
  <c r="CC35" i="9" s="1"/>
  <c r="CD35" i="9" s="1"/>
  <c r="AG35" i="9"/>
  <c r="Y35" i="9"/>
  <c r="U35" i="9"/>
  <c r="K35" i="9"/>
  <c r="CF34" i="9"/>
  <c r="CG34" i="9" s="1"/>
  <c r="BZ34" i="9"/>
  <c r="CA34" i="9" s="1"/>
  <c r="CB34" i="9" s="1"/>
  <c r="CC34" i="9" s="1"/>
  <c r="CD34" i="9" s="1"/>
  <c r="BQ34" i="9"/>
  <c r="BR34" i="9" s="1"/>
  <c r="BS34" i="9" s="1"/>
  <c r="BT34" i="9" s="1"/>
  <c r="BU34" i="9" s="1"/>
  <c r="BH34" i="9"/>
  <c r="BI34" i="9" s="1"/>
  <c r="BJ34" i="9" s="1"/>
  <c r="BK34" i="9" s="1"/>
  <c r="BL34" i="9" s="1"/>
  <c r="BA34" i="9"/>
  <c r="AG34" i="9"/>
  <c r="Y34" i="9"/>
  <c r="U34" i="9"/>
  <c r="K34" i="9"/>
  <c r="CG33" i="9"/>
  <c r="CF33" i="9"/>
  <c r="BS33" i="9"/>
  <c r="BT33" i="9" s="1"/>
  <c r="BU33" i="9" s="1"/>
  <c r="BP33" i="9"/>
  <c r="BA33" i="9"/>
  <c r="Y33" i="9"/>
  <c r="U33" i="9"/>
  <c r="P33" i="9"/>
  <c r="Q33" i="9" s="1"/>
  <c r="K33" i="9"/>
  <c r="BN33" i="9" s="1"/>
  <c r="BQ33" i="9" s="1"/>
  <c r="BR33" i="9" s="1"/>
  <c r="BB32" i="9"/>
  <c r="BA32" i="9"/>
  <c r="U32" i="9"/>
  <c r="K32" i="9"/>
  <c r="BA31" i="9"/>
  <c r="U31" i="9"/>
  <c r="K31" i="9"/>
  <c r="CG30" i="9"/>
  <c r="CF30" i="9"/>
  <c r="BP30" i="9"/>
  <c r="BA30" i="9"/>
  <c r="Y30" i="9"/>
  <c r="U30" i="9"/>
  <c r="P30" i="9"/>
  <c r="Q30" i="9" s="1"/>
  <c r="K30" i="9"/>
  <c r="BN30" i="9" s="1"/>
  <c r="BO30" i="9" s="1"/>
  <c r="BA29" i="9"/>
  <c r="U29" i="9"/>
  <c r="K29" i="9"/>
  <c r="CG28" i="9"/>
  <c r="CF28" i="9"/>
  <c r="BA28" i="9"/>
  <c r="Y28" i="9"/>
  <c r="U28" i="9"/>
  <c r="P28" i="9"/>
  <c r="Q28" i="9" s="1"/>
  <c r="K28" i="9"/>
  <c r="BN28" i="9" s="1"/>
  <c r="BP28" i="9" s="1"/>
  <c r="BA27" i="9"/>
  <c r="U27" i="9"/>
  <c r="K27" i="9"/>
  <c r="CF26" i="9"/>
  <c r="BN26" i="9"/>
  <c r="BE26" i="9"/>
  <c r="BA26" i="9"/>
  <c r="BZ26" i="9" s="1"/>
  <c r="CA26" i="9" s="1"/>
  <c r="CB26" i="9" s="1"/>
  <c r="CC26" i="9" s="1"/>
  <c r="CD26" i="9" s="1"/>
  <c r="AG26" i="9"/>
  <c r="U26" i="9"/>
  <c r="K26" i="9"/>
  <c r="CF25" i="9"/>
  <c r="CG25" i="9" s="1"/>
  <c r="BZ25" i="9"/>
  <c r="CA25" i="9" s="1"/>
  <c r="CB25" i="9" s="1"/>
  <c r="CC25" i="9" s="1"/>
  <c r="CD25" i="9" s="1"/>
  <c r="BQ25" i="9"/>
  <c r="BN25" i="9"/>
  <c r="BH25" i="9"/>
  <c r="BE25" i="9"/>
  <c r="BA25" i="9"/>
  <c r="AG25" i="9"/>
  <c r="Y25" i="9"/>
  <c r="U25" i="9"/>
  <c r="K25" i="9"/>
  <c r="BB25" i="9" s="1"/>
  <c r="CF24" i="9"/>
  <c r="BN24" i="9"/>
  <c r="BE24" i="9"/>
  <c r="BA24" i="9"/>
  <c r="BZ24" i="9" s="1"/>
  <c r="CA24" i="9" s="1"/>
  <c r="CB24" i="9" s="1"/>
  <c r="CC24" i="9" s="1"/>
  <c r="CD24" i="9" s="1"/>
  <c r="AG24" i="9"/>
  <c r="U24" i="9"/>
  <c r="K24" i="9"/>
  <c r="CF23" i="9"/>
  <c r="CG23" i="9" s="1"/>
  <c r="BZ23" i="9"/>
  <c r="CA23" i="9" s="1"/>
  <c r="CB23" i="9" s="1"/>
  <c r="CC23" i="9" s="1"/>
  <c r="CD23" i="9" s="1"/>
  <c r="BQ23" i="9"/>
  <c r="BN23" i="9"/>
  <c r="BH23" i="9"/>
  <c r="BI23" i="9" s="1"/>
  <c r="BJ23" i="9" s="1"/>
  <c r="BK23" i="9" s="1"/>
  <c r="BL23" i="9" s="1"/>
  <c r="BE23" i="9"/>
  <c r="BA23" i="9"/>
  <c r="AG23" i="9"/>
  <c r="Y23" i="9"/>
  <c r="U23" i="9"/>
  <c r="K23" i="9"/>
  <c r="BB23" i="9" s="1"/>
  <c r="CF22" i="9"/>
  <c r="BN22" i="9"/>
  <c r="BJ22" i="9"/>
  <c r="BK22" i="9" s="1"/>
  <c r="BL22" i="9" s="1"/>
  <c r="BI22" i="9"/>
  <c r="BH22" i="9"/>
  <c r="BF22" i="9"/>
  <c r="BE22" i="9"/>
  <c r="BG22" i="9" s="1"/>
  <c r="BA22" i="9"/>
  <c r="BZ22" i="9" s="1"/>
  <c r="CA22" i="9" s="1"/>
  <c r="CB22" i="9" s="1"/>
  <c r="CC22" i="9" s="1"/>
  <c r="CD22" i="9" s="1"/>
  <c r="AG22" i="9"/>
  <c r="U22" i="9"/>
  <c r="K22" i="9"/>
  <c r="BB22" i="9" s="1"/>
  <c r="CF21" i="9"/>
  <c r="CG21" i="9" s="1"/>
  <c r="BZ21" i="9"/>
  <c r="CA21" i="9" s="1"/>
  <c r="CB21" i="9" s="1"/>
  <c r="CC21" i="9" s="1"/>
  <c r="CD21" i="9" s="1"/>
  <c r="BQ21" i="9"/>
  <c r="BH21" i="9"/>
  <c r="BA21" i="9"/>
  <c r="AG21" i="9"/>
  <c r="Y21" i="9"/>
  <c r="U21" i="9"/>
  <c r="K21" i="9"/>
  <c r="BN21" i="9" s="1"/>
  <c r="CG20" i="9"/>
  <c r="CF20" i="9"/>
  <c r="CB20" i="9"/>
  <c r="CC20" i="9" s="1"/>
  <c r="CD20" i="9" s="1"/>
  <c r="BP20" i="9"/>
  <c r="BB20" i="9"/>
  <c r="BC20" i="9" s="1"/>
  <c r="BA20" i="9"/>
  <c r="BZ20" i="9" s="1"/>
  <c r="CA20" i="9" s="1"/>
  <c r="AG20" i="9"/>
  <c r="Y20" i="9"/>
  <c r="U20" i="9"/>
  <c r="K20" i="9"/>
  <c r="BN20" i="9" s="1"/>
  <c r="BO20" i="9" s="1"/>
  <c r="BA19" i="9"/>
  <c r="BP19" i="9" s="1"/>
  <c r="U19" i="9"/>
  <c r="K19" i="9"/>
  <c r="CF18" i="9"/>
  <c r="BA18" i="9"/>
  <c r="Y18" i="9"/>
  <c r="U18" i="9"/>
  <c r="Q18" i="9"/>
  <c r="P18" i="9"/>
  <c r="K18" i="9"/>
  <c r="CG17" i="9"/>
  <c r="CF17" i="9"/>
  <c r="BO17" i="9"/>
  <c r="BN17" i="9"/>
  <c r="BF17" i="9"/>
  <c r="BE17" i="9"/>
  <c r="BG17" i="9" s="1"/>
  <c r="BA17" i="9"/>
  <c r="BH17" i="9" s="1"/>
  <c r="AG17" i="9"/>
  <c r="Y17" i="9"/>
  <c r="U17" i="9"/>
  <c r="K17" i="9"/>
  <c r="BB17" i="9" s="1"/>
  <c r="CF16" i="9"/>
  <c r="BZ16" i="9"/>
  <c r="CA16" i="9" s="1"/>
  <c r="CB16" i="9" s="1"/>
  <c r="CC16" i="9" s="1"/>
  <c r="CD16" i="9" s="1"/>
  <c r="BQ16" i="9"/>
  <c r="BH16" i="9"/>
  <c r="BA16" i="9"/>
  <c r="Y16" i="9"/>
  <c r="U16" i="9"/>
  <c r="P16" i="9"/>
  <c r="Q16" i="9" s="1"/>
  <c r="K16" i="9"/>
  <c r="CG15" i="9"/>
  <c r="CF15" i="9"/>
  <c r="CA15" i="9"/>
  <c r="CB15" i="9" s="1"/>
  <c r="CC15" i="9" s="1"/>
  <c r="CD15" i="9" s="1"/>
  <c r="BN15" i="9"/>
  <c r="BE15" i="9"/>
  <c r="BA15" i="9"/>
  <c r="BZ15" i="9" s="1"/>
  <c r="AG15" i="9"/>
  <c r="Y15" i="9"/>
  <c r="U15" i="9"/>
  <c r="K15" i="9"/>
  <c r="CF14" i="9"/>
  <c r="CG14" i="9" s="1"/>
  <c r="BZ14" i="9"/>
  <c r="CA14" i="9" s="1"/>
  <c r="CB14" i="9" s="1"/>
  <c r="CC14" i="9" s="1"/>
  <c r="CD14" i="9" s="1"/>
  <c r="BQ14" i="9"/>
  <c r="BR14" i="9" s="1"/>
  <c r="BS14" i="9" s="1"/>
  <c r="BT14" i="9" s="1"/>
  <c r="BU14" i="9" s="1"/>
  <c r="BH14" i="9"/>
  <c r="BA14" i="9"/>
  <c r="BB14" i="9" s="1"/>
  <c r="Y14" i="9"/>
  <c r="U14" i="9"/>
  <c r="P14" i="9"/>
  <c r="Q14" i="9" s="1"/>
  <c r="K14" i="9"/>
  <c r="CF13" i="9"/>
  <c r="CA13" i="9"/>
  <c r="CB13" i="9" s="1"/>
  <c r="CC13" i="9" s="1"/>
  <c r="CD13" i="9" s="1"/>
  <c r="BZ13" i="9"/>
  <c r="BU13" i="9"/>
  <c r="BR13" i="9"/>
  <c r="BS13" i="9" s="1"/>
  <c r="BT13" i="9" s="1"/>
  <c r="BQ13" i="9"/>
  <c r="BN13" i="9"/>
  <c r="BL13" i="9"/>
  <c r="BI13" i="9"/>
  <c r="BJ13" i="9" s="1"/>
  <c r="BK13" i="9" s="1"/>
  <c r="BH13" i="9"/>
  <c r="BE13" i="9"/>
  <c r="BB13" i="9"/>
  <c r="BA13" i="9"/>
  <c r="AG13" i="9"/>
  <c r="U13" i="9"/>
  <c r="K13" i="9"/>
  <c r="CF12" i="9"/>
  <c r="BZ12" i="9"/>
  <c r="CA12" i="9" s="1"/>
  <c r="CB12" i="9" s="1"/>
  <c r="CC12" i="9" s="1"/>
  <c r="CD12" i="9" s="1"/>
  <c r="BQ12" i="9"/>
  <c r="BR12" i="9" s="1"/>
  <c r="BS12" i="9" s="1"/>
  <c r="BT12" i="9" s="1"/>
  <c r="BU12" i="9" s="1"/>
  <c r="BH12" i="9"/>
  <c r="BI12" i="9" s="1"/>
  <c r="BJ12" i="9" s="1"/>
  <c r="BK12" i="9" s="1"/>
  <c r="BL12" i="9" s="1"/>
  <c r="BA12" i="9"/>
  <c r="Y12" i="9"/>
  <c r="U12" i="9"/>
  <c r="P12" i="9"/>
  <c r="Q12" i="9" s="1"/>
  <c r="K12" i="9"/>
  <c r="CF11" i="9"/>
  <c r="BZ11" i="9"/>
  <c r="CA11" i="9" s="1"/>
  <c r="CB11" i="9" s="1"/>
  <c r="CC11" i="9" s="1"/>
  <c r="CD11" i="9" s="1"/>
  <c r="BU11" i="9"/>
  <c r="BQ11" i="9"/>
  <c r="BR11" i="9" s="1"/>
  <c r="BS11" i="9" s="1"/>
  <c r="BT11" i="9" s="1"/>
  <c r="BN11" i="9"/>
  <c r="BH11" i="9"/>
  <c r="BI11" i="9" s="1"/>
  <c r="BJ11" i="9" s="1"/>
  <c r="BK11" i="9" s="1"/>
  <c r="BL11" i="9" s="1"/>
  <c r="BE11" i="9"/>
  <c r="BB11" i="9"/>
  <c r="BA11" i="9"/>
  <c r="AG11" i="9"/>
  <c r="U11" i="9"/>
  <c r="K11" i="9"/>
  <c r="BA10" i="9"/>
  <c r="U10" i="9"/>
  <c r="K10" i="9"/>
  <c r="BZ9" i="9"/>
  <c r="CA9" i="9" s="1"/>
  <c r="CB9" i="9" s="1"/>
  <c r="CC9" i="9" s="1"/>
  <c r="CD9" i="9" s="1"/>
  <c r="BU9" i="9"/>
  <c r="BQ9" i="9"/>
  <c r="BR9" i="9" s="1"/>
  <c r="BS9" i="9" s="1"/>
  <c r="BT9" i="9" s="1"/>
  <c r="BH9" i="9"/>
  <c r="BI9" i="9" s="1"/>
  <c r="BJ9" i="9" s="1"/>
  <c r="BK9" i="9" s="1"/>
  <c r="BL9" i="9" s="1"/>
  <c r="BB9" i="9"/>
  <c r="BA9" i="9"/>
  <c r="U9" i="9"/>
  <c r="K9" i="9"/>
  <c r="CD8" i="9"/>
  <c r="BZ8" i="9"/>
  <c r="CA8" i="9" s="1"/>
  <c r="CB8" i="9" s="1"/>
  <c r="CC8" i="9" s="1"/>
  <c r="BQ8" i="9"/>
  <c r="BR8" i="9" s="1"/>
  <c r="BS8" i="9" s="1"/>
  <c r="BT8" i="9" s="1"/>
  <c r="BU8" i="9" s="1"/>
  <c r="BN8" i="9"/>
  <c r="BH8" i="9"/>
  <c r="BI8" i="9" s="1"/>
  <c r="BJ8" i="9" s="1"/>
  <c r="BK8" i="9" s="1"/>
  <c r="BL8" i="9" s="1"/>
  <c r="BE8" i="9"/>
  <c r="BB8" i="9"/>
  <c r="BA8" i="9"/>
  <c r="AG8" i="9"/>
  <c r="U8" i="9"/>
  <c r="K8" i="9"/>
  <c r="CF7" i="9"/>
  <c r="CG7" i="9" s="1"/>
  <c r="CD7" i="9"/>
  <c r="CC7" i="9"/>
  <c r="BZ7" i="9"/>
  <c r="CA7" i="9" s="1"/>
  <c r="CB7" i="9" s="1"/>
  <c r="BB7" i="9"/>
  <c r="BA7" i="9"/>
  <c r="AG7" i="9"/>
  <c r="Y7" i="9"/>
  <c r="U7" i="9"/>
  <c r="K7" i="9"/>
  <c r="CG6" i="9"/>
  <c r="CF6" i="9"/>
  <c r="BB6" i="9"/>
  <c r="BA6" i="9"/>
  <c r="Y6" i="9"/>
  <c r="U6" i="9"/>
  <c r="P6" i="9"/>
  <c r="Q6" i="9" s="1"/>
  <c r="K6" i="9"/>
  <c r="CF5" i="9"/>
  <c r="CG5" i="9" s="1"/>
  <c r="BN5" i="9"/>
  <c r="BP5" i="9" s="1"/>
  <c r="BE5" i="9"/>
  <c r="BG5" i="9" s="1"/>
  <c r="BA5" i="9"/>
  <c r="BZ5" i="9" s="1"/>
  <c r="CA5" i="9" s="1"/>
  <c r="CB5" i="9" s="1"/>
  <c r="CC5" i="9" s="1"/>
  <c r="CD5" i="9" s="1"/>
  <c r="AG5" i="9"/>
  <c r="Y5" i="9"/>
  <c r="U5" i="9"/>
  <c r="K5" i="9"/>
  <c r="CF4" i="9"/>
  <c r="BA4" i="9"/>
  <c r="Y4" i="9"/>
  <c r="U4" i="9"/>
  <c r="U60" i="9" s="1"/>
  <c r="Q4" i="9"/>
  <c r="P4" i="9"/>
  <c r="K4" i="9"/>
  <c r="BN3" i="9"/>
  <c r="AP2" i="9"/>
  <c r="AY69" i="8"/>
  <c r="AV69" i="8"/>
  <c r="AU69" i="8"/>
  <c r="AT69" i="8"/>
  <c r="AF69" i="8"/>
  <c r="T69" i="8"/>
  <c r="AY64" i="8"/>
  <c r="BH63" i="8"/>
  <c r="BI63" i="8" s="1"/>
  <c r="BJ63" i="8" s="1"/>
  <c r="BK63" i="8" s="1"/>
  <c r="BL63" i="8" s="1"/>
  <c r="AP62" i="8"/>
  <c r="AH62" i="8"/>
  <c r="AC62" i="8"/>
  <c r="V62" i="8"/>
  <c r="AQ62" i="8" s="1"/>
  <c r="M62" i="8"/>
  <c r="F62" i="8"/>
  <c r="AY61" i="8"/>
  <c r="AV61" i="8"/>
  <c r="AU61" i="8"/>
  <c r="AT61" i="8"/>
  <c r="AY60" i="8"/>
  <c r="AY65" i="8" s="1"/>
  <c r="AV60" i="8"/>
  <c r="AU60" i="8"/>
  <c r="AU64" i="8" s="1"/>
  <c r="AT60" i="8"/>
  <c r="AF60" i="8"/>
  <c r="X60" i="8"/>
  <c r="T60" i="8"/>
  <c r="O60" i="8"/>
  <c r="BH57" i="8"/>
  <c r="BI57" i="8" s="1"/>
  <c r="BJ57" i="8" s="1"/>
  <c r="BK57" i="8" s="1"/>
  <c r="BL57" i="8" s="1"/>
  <c r="BA57" i="8"/>
  <c r="Y57" i="8"/>
  <c r="U57" i="8"/>
  <c r="P57" i="8"/>
  <c r="Q57" i="8" s="1"/>
  <c r="K57" i="8"/>
  <c r="CF56" i="8"/>
  <c r="CG56" i="8" s="1"/>
  <c r="BN56" i="8"/>
  <c r="BE56" i="8"/>
  <c r="BA56" i="8"/>
  <c r="BZ56" i="8" s="1"/>
  <c r="CA56" i="8" s="1"/>
  <c r="CB56" i="8" s="1"/>
  <c r="CC56" i="8" s="1"/>
  <c r="CD56" i="8" s="1"/>
  <c r="AG56" i="8"/>
  <c r="Y56" i="8"/>
  <c r="U56" i="8"/>
  <c r="K56" i="8"/>
  <c r="BA55" i="8"/>
  <c r="U55" i="8"/>
  <c r="K55" i="8"/>
  <c r="CF54" i="8"/>
  <c r="CG54" i="8" s="1"/>
  <c r="BN54" i="8"/>
  <c r="BP54" i="8" s="1"/>
  <c r="BE54" i="8"/>
  <c r="BA54" i="8"/>
  <c r="BQ54" i="8" s="1"/>
  <c r="AG54" i="8"/>
  <c r="Y54" i="8"/>
  <c r="U54" i="8"/>
  <c r="K54" i="8"/>
  <c r="CF53" i="8"/>
  <c r="BB53" i="8"/>
  <c r="BA53" i="8"/>
  <c r="Y53" i="8"/>
  <c r="U53" i="8"/>
  <c r="K53" i="8"/>
  <c r="CG52" i="8"/>
  <c r="CF52" i="8"/>
  <c r="CA52" i="8"/>
  <c r="CB52" i="8" s="1"/>
  <c r="CC52" i="8" s="1"/>
  <c r="CD52" i="8" s="1"/>
  <c r="BO52" i="8"/>
  <c r="BN52" i="8"/>
  <c r="BP52" i="8" s="1"/>
  <c r="BF52" i="8"/>
  <c r="BE52" i="8"/>
  <c r="BG52" i="8" s="1"/>
  <c r="BA52" i="8"/>
  <c r="BZ52" i="8" s="1"/>
  <c r="AG52" i="8"/>
  <c r="Y52" i="8"/>
  <c r="U52" i="8"/>
  <c r="K52" i="8"/>
  <c r="CF51" i="8"/>
  <c r="CG51" i="8" s="1"/>
  <c r="BZ51" i="8"/>
  <c r="CA51" i="8" s="1"/>
  <c r="CB51" i="8" s="1"/>
  <c r="CC51" i="8" s="1"/>
  <c r="CD51" i="8" s="1"/>
  <c r="BQ51" i="8"/>
  <c r="BH51" i="8"/>
  <c r="BA51" i="8"/>
  <c r="AG51" i="8"/>
  <c r="Y51" i="8"/>
  <c r="U51" i="8"/>
  <c r="K51" i="8"/>
  <c r="BZ50" i="8"/>
  <c r="CA50" i="8" s="1"/>
  <c r="CB50" i="8" s="1"/>
  <c r="CC50" i="8" s="1"/>
  <c r="CD50" i="8" s="1"/>
  <c r="BQ50" i="8"/>
  <c r="BR50" i="8" s="1"/>
  <c r="BS50" i="8" s="1"/>
  <c r="BT50" i="8" s="1"/>
  <c r="BU50" i="8" s="1"/>
  <c r="BN50" i="8"/>
  <c r="BH50" i="8"/>
  <c r="BI50" i="8" s="1"/>
  <c r="BJ50" i="8" s="1"/>
  <c r="BK50" i="8" s="1"/>
  <c r="BL50" i="8" s="1"/>
  <c r="BE50" i="8"/>
  <c r="BA50" i="8"/>
  <c r="BB50" i="8" s="1"/>
  <c r="AG50" i="8"/>
  <c r="U50" i="8"/>
  <c r="K50" i="8"/>
  <c r="CF49" i="8"/>
  <c r="CG49" i="8" s="1"/>
  <c r="CA49" i="8"/>
  <c r="CB49" i="8" s="1"/>
  <c r="CC49" i="8" s="1"/>
  <c r="CD49" i="8" s="1"/>
  <c r="BZ49" i="8"/>
  <c r="BU49" i="8"/>
  <c r="BR49" i="8"/>
  <c r="BS49" i="8" s="1"/>
  <c r="BT49" i="8" s="1"/>
  <c r="BQ49" i="8"/>
  <c r="BI49" i="8"/>
  <c r="BJ49" i="8" s="1"/>
  <c r="BK49" i="8" s="1"/>
  <c r="BL49" i="8" s="1"/>
  <c r="BH49" i="8"/>
  <c r="BB49" i="8"/>
  <c r="BC50" i="8" s="1"/>
  <c r="BA49" i="8"/>
  <c r="AG49" i="8"/>
  <c r="Y49" i="8"/>
  <c r="U49" i="8"/>
  <c r="K49" i="8"/>
  <c r="BH48" i="8"/>
  <c r="BI48" i="8" s="1"/>
  <c r="BJ48" i="8" s="1"/>
  <c r="BK48" i="8" s="1"/>
  <c r="BL48" i="8" s="1"/>
  <c r="BA48" i="8"/>
  <c r="U48" i="8"/>
  <c r="K48" i="8"/>
  <c r="CF47" i="8"/>
  <c r="CA47" i="8"/>
  <c r="CB47" i="8" s="1"/>
  <c r="CC47" i="8" s="1"/>
  <c r="CD47" i="8" s="1"/>
  <c r="BX47" i="8"/>
  <c r="BQ47" i="8"/>
  <c r="BR47" i="8" s="1"/>
  <c r="BS47" i="8" s="1"/>
  <c r="BT47" i="8" s="1"/>
  <c r="BU47" i="8" s="1"/>
  <c r="BN47" i="8"/>
  <c r="BL47" i="8"/>
  <c r="BH47" i="8"/>
  <c r="BI47" i="8" s="1"/>
  <c r="BJ47" i="8" s="1"/>
  <c r="BK47" i="8" s="1"/>
  <c r="BE47" i="8"/>
  <c r="BB47" i="8"/>
  <c r="BA47" i="8"/>
  <c r="BZ47" i="8" s="1"/>
  <c r="AG47" i="8"/>
  <c r="U47" i="8"/>
  <c r="K47" i="8"/>
  <c r="CF46" i="8"/>
  <c r="BA46" i="8"/>
  <c r="Y46" i="8"/>
  <c r="U46" i="8"/>
  <c r="Q46" i="8"/>
  <c r="P46" i="8"/>
  <c r="K46" i="8"/>
  <c r="CF45" i="8"/>
  <c r="BZ45" i="8"/>
  <c r="CA45" i="8" s="1"/>
  <c r="CB45" i="8" s="1"/>
  <c r="CC45" i="8" s="1"/>
  <c r="CD45" i="8" s="1"/>
  <c r="BQ45" i="8"/>
  <c r="BR45" i="8" s="1"/>
  <c r="BS45" i="8" s="1"/>
  <c r="BT45" i="8" s="1"/>
  <c r="BU45" i="8" s="1"/>
  <c r="BN45" i="8"/>
  <c r="BH45" i="8"/>
  <c r="BI45" i="8" s="1"/>
  <c r="BJ45" i="8" s="1"/>
  <c r="BK45" i="8" s="1"/>
  <c r="BL45" i="8" s="1"/>
  <c r="BE45" i="8"/>
  <c r="BB45" i="8"/>
  <c r="BA45" i="8"/>
  <c r="AG45" i="8"/>
  <c r="U45" i="8"/>
  <c r="K45" i="8"/>
  <c r="CF44" i="8"/>
  <c r="CG44" i="8" s="1"/>
  <c r="BQ44" i="8"/>
  <c r="BA44" i="8"/>
  <c r="Y44" i="8"/>
  <c r="U44" i="8"/>
  <c r="P44" i="8"/>
  <c r="Q44" i="8" s="1"/>
  <c r="K44" i="8"/>
  <c r="CF43" i="8"/>
  <c r="CG43" i="8" s="1"/>
  <c r="CA43" i="8"/>
  <c r="CB43" i="8" s="1"/>
  <c r="CC43" i="8" s="1"/>
  <c r="CD43" i="8" s="1"/>
  <c r="BN43" i="8"/>
  <c r="BP43" i="8" s="1"/>
  <c r="BE43" i="8"/>
  <c r="BA43" i="8"/>
  <c r="BZ43" i="8" s="1"/>
  <c r="AG43" i="8"/>
  <c r="Y43" i="8"/>
  <c r="U43" i="8"/>
  <c r="K43" i="8"/>
  <c r="CF42" i="8"/>
  <c r="BB42" i="8"/>
  <c r="BA42" i="8"/>
  <c r="Y42" i="8"/>
  <c r="U42" i="8"/>
  <c r="Q42" i="8"/>
  <c r="P42" i="8"/>
  <c r="K42" i="8"/>
  <c r="CG41" i="8"/>
  <c r="CF41" i="8"/>
  <c r="CA41" i="8"/>
  <c r="CB41" i="8" s="1"/>
  <c r="CC41" i="8" s="1"/>
  <c r="CD41" i="8" s="1"/>
  <c r="BO41" i="8"/>
  <c r="BN41" i="8"/>
  <c r="BP41" i="8" s="1"/>
  <c r="BF41" i="8"/>
  <c r="BE41" i="8"/>
  <c r="BG41" i="8" s="1"/>
  <c r="BA41" i="8"/>
  <c r="BZ41" i="8" s="1"/>
  <c r="AG41" i="8"/>
  <c r="Y41" i="8"/>
  <c r="U41" i="8"/>
  <c r="K41" i="8"/>
  <c r="BA40" i="8"/>
  <c r="AG40" i="8"/>
  <c r="U40" i="8"/>
  <c r="K40" i="8"/>
  <c r="CF39" i="8"/>
  <c r="CA39" i="8"/>
  <c r="CB39" i="8" s="1"/>
  <c r="CC39" i="8" s="1"/>
  <c r="CD39" i="8" s="1"/>
  <c r="BN39" i="8"/>
  <c r="BP39" i="8" s="1"/>
  <c r="BE39" i="8"/>
  <c r="BG39" i="8" s="1"/>
  <c r="BA39" i="8"/>
  <c r="BZ39" i="8" s="1"/>
  <c r="AG39" i="8"/>
  <c r="U39" i="8"/>
  <c r="K39" i="8"/>
  <c r="CF38" i="8"/>
  <c r="CG38" i="8" s="1"/>
  <c r="CD38" i="8"/>
  <c r="BZ38" i="8"/>
  <c r="CA38" i="8" s="1"/>
  <c r="CB38" i="8" s="1"/>
  <c r="CC38" i="8" s="1"/>
  <c r="BU38" i="8"/>
  <c r="BQ38" i="8"/>
  <c r="BR38" i="8" s="1"/>
  <c r="BS38" i="8" s="1"/>
  <c r="BT38" i="8" s="1"/>
  <c r="BL38" i="8"/>
  <c r="BH38" i="8"/>
  <c r="BI38" i="8" s="1"/>
  <c r="BJ38" i="8" s="1"/>
  <c r="BK38" i="8" s="1"/>
  <c r="BB38" i="8"/>
  <c r="BA38" i="8"/>
  <c r="AG38" i="8"/>
  <c r="Y38" i="8"/>
  <c r="U38" i="8"/>
  <c r="Q38" i="8"/>
  <c r="P38" i="8"/>
  <c r="K38" i="8"/>
  <c r="BN38" i="8" s="1"/>
  <c r="CF37" i="8"/>
  <c r="BO37" i="8"/>
  <c r="BA37" i="8"/>
  <c r="CG37" i="8" s="1"/>
  <c r="AG37" i="8"/>
  <c r="Y37" i="8"/>
  <c r="U37" i="8"/>
  <c r="P37" i="8"/>
  <c r="Q37" i="8" s="1"/>
  <c r="K37" i="8"/>
  <c r="BN37" i="8" s="1"/>
  <c r="BP37" i="8" s="1"/>
  <c r="CF36" i="8"/>
  <c r="CG36" i="8" s="1"/>
  <c r="CA36" i="8"/>
  <c r="CB36" i="8" s="1"/>
  <c r="CC36" i="8" s="1"/>
  <c r="CD36" i="8" s="1"/>
  <c r="BZ36" i="8"/>
  <c r="BR36" i="8"/>
  <c r="BS36" i="8" s="1"/>
  <c r="BT36" i="8" s="1"/>
  <c r="BU36" i="8" s="1"/>
  <c r="BQ36" i="8"/>
  <c r="BN36" i="8"/>
  <c r="BI36" i="8"/>
  <c r="BJ36" i="8" s="1"/>
  <c r="BK36" i="8" s="1"/>
  <c r="BL36" i="8" s="1"/>
  <c r="BH36" i="8"/>
  <c r="BE36" i="8"/>
  <c r="BA36" i="8"/>
  <c r="AG36" i="8"/>
  <c r="Y36" i="8"/>
  <c r="U36" i="8"/>
  <c r="Q36" i="8"/>
  <c r="P36" i="8"/>
  <c r="K36" i="8"/>
  <c r="BB36" i="8" s="1"/>
  <c r="CG35" i="8"/>
  <c r="CF35" i="8"/>
  <c r="BP35" i="8"/>
  <c r="BA35" i="8"/>
  <c r="AG35" i="8"/>
  <c r="Y35" i="8"/>
  <c r="U35" i="8"/>
  <c r="P35" i="8"/>
  <c r="Q35" i="8" s="1"/>
  <c r="K35" i="8"/>
  <c r="BN35" i="8" s="1"/>
  <c r="BO35" i="8" s="1"/>
  <c r="CF34" i="8"/>
  <c r="CG34" i="8" s="1"/>
  <c r="BZ34" i="8"/>
  <c r="CA34" i="8" s="1"/>
  <c r="CB34" i="8" s="1"/>
  <c r="CC34" i="8" s="1"/>
  <c r="CD34" i="8" s="1"/>
  <c r="BQ34" i="8"/>
  <c r="BR34" i="8" s="1"/>
  <c r="BS34" i="8" s="1"/>
  <c r="BT34" i="8" s="1"/>
  <c r="BU34" i="8" s="1"/>
  <c r="BN34" i="8"/>
  <c r="BH34" i="8"/>
  <c r="BI34" i="8" s="1"/>
  <c r="BJ34" i="8" s="1"/>
  <c r="BK34" i="8" s="1"/>
  <c r="BL34" i="8" s="1"/>
  <c r="BE34" i="8"/>
  <c r="BA34" i="8"/>
  <c r="BB34" i="8" s="1"/>
  <c r="AG34" i="8"/>
  <c r="Y34" i="8"/>
  <c r="U34" i="8"/>
  <c r="P34" i="8"/>
  <c r="Q34" i="8" s="1"/>
  <c r="K34" i="8"/>
  <c r="CF33" i="8"/>
  <c r="BZ33" i="8"/>
  <c r="CA33" i="8" s="1"/>
  <c r="CB33" i="8" s="1"/>
  <c r="CC33" i="8" s="1"/>
  <c r="CD33" i="8" s="1"/>
  <c r="BL33" i="8"/>
  <c r="BH33" i="8"/>
  <c r="BI33" i="8" s="1"/>
  <c r="BJ33" i="8" s="1"/>
  <c r="BK33" i="8" s="1"/>
  <c r="BA33" i="8"/>
  <c r="AG33" i="8"/>
  <c r="Y33" i="8"/>
  <c r="U33" i="8"/>
  <c r="Q33" i="8"/>
  <c r="P33" i="8"/>
  <c r="K33" i="8"/>
  <c r="BZ32" i="8"/>
  <c r="CA32" i="8" s="1"/>
  <c r="CB32" i="8" s="1"/>
  <c r="CC32" i="8" s="1"/>
  <c r="CD32" i="8" s="1"/>
  <c r="BQ32" i="8"/>
  <c r="BR32" i="8" s="1"/>
  <c r="BS32" i="8" s="1"/>
  <c r="BT32" i="8" s="1"/>
  <c r="BU32" i="8" s="1"/>
  <c r="BP32" i="8"/>
  <c r="BN32" i="8"/>
  <c r="BO32" i="8" s="1"/>
  <c r="BH32" i="8"/>
  <c r="BG32" i="8"/>
  <c r="BE32" i="8"/>
  <c r="BF32" i="8" s="1"/>
  <c r="BC32" i="8"/>
  <c r="BB32" i="8"/>
  <c r="BA32" i="8"/>
  <c r="AG32" i="8"/>
  <c r="U32" i="8"/>
  <c r="K32" i="8"/>
  <c r="CB31" i="8"/>
  <c r="CC31" i="8" s="1"/>
  <c r="CD31" i="8" s="1"/>
  <c r="BZ31" i="8"/>
  <c r="CA31" i="8" s="1"/>
  <c r="BQ31" i="8"/>
  <c r="BR31" i="8" s="1"/>
  <c r="BS31" i="8" s="1"/>
  <c r="BT31" i="8" s="1"/>
  <c r="BU31" i="8" s="1"/>
  <c r="BI31" i="8"/>
  <c r="BJ31" i="8" s="1"/>
  <c r="BK31" i="8" s="1"/>
  <c r="BL31" i="8" s="1"/>
  <c r="BH31" i="8"/>
  <c r="BA31" i="8"/>
  <c r="CF31" i="8" s="1"/>
  <c r="AG31" i="8"/>
  <c r="U31" i="8"/>
  <c r="K31" i="8"/>
  <c r="CF30" i="8"/>
  <c r="CG30" i="8" s="1"/>
  <c r="BZ30" i="8"/>
  <c r="CA30" i="8" s="1"/>
  <c r="CB30" i="8" s="1"/>
  <c r="CC30" i="8" s="1"/>
  <c r="CD30" i="8" s="1"/>
  <c r="BQ30" i="8"/>
  <c r="BH30" i="8"/>
  <c r="BA30" i="8"/>
  <c r="AG30" i="8"/>
  <c r="Y30" i="8"/>
  <c r="U30" i="8"/>
  <c r="Q30" i="8"/>
  <c r="P30" i="8"/>
  <c r="K30" i="8"/>
  <c r="CF29" i="8"/>
  <c r="CA29" i="8"/>
  <c r="CB29" i="8" s="1"/>
  <c r="CC29" i="8" s="1"/>
  <c r="CD29" i="8" s="1"/>
  <c r="BZ29" i="8"/>
  <c r="BR29" i="8"/>
  <c r="BS29" i="8" s="1"/>
  <c r="BT29" i="8" s="1"/>
  <c r="BU29" i="8" s="1"/>
  <c r="BQ29" i="8"/>
  <c r="BN29" i="8"/>
  <c r="BI29" i="8"/>
  <c r="BJ29" i="8" s="1"/>
  <c r="BK29" i="8" s="1"/>
  <c r="BL29" i="8" s="1"/>
  <c r="BH29" i="8"/>
  <c r="BE29" i="8"/>
  <c r="BB29" i="8"/>
  <c r="BA29" i="8"/>
  <c r="AG29" i="8"/>
  <c r="U29" i="8"/>
  <c r="K29" i="8"/>
  <c r="CF28" i="8"/>
  <c r="BZ28" i="8"/>
  <c r="CA28" i="8" s="1"/>
  <c r="CB28" i="8" s="1"/>
  <c r="CC28" i="8" s="1"/>
  <c r="CD28" i="8" s="1"/>
  <c r="BQ28" i="8"/>
  <c r="BR28" i="8" s="1"/>
  <c r="BS28" i="8" s="1"/>
  <c r="BT28" i="8" s="1"/>
  <c r="BU28" i="8" s="1"/>
  <c r="BH28" i="8"/>
  <c r="BI28" i="8" s="1"/>
  <c r="BJ28" i="8" s="1"/>
  <c r="BK28" i="8" s="1"/>
  <c r="BL28" i="8" s="1"/>
  <c r="BA28" i="8"/>
  <c r="AG28" i="8"/>
  <c r="Y28" i="8"/>
  <c r="U28" i="8"/>
  <c r="Q28" i="8"/>
  <c r="P28" i="8"/>
  <c r="K28" i="8"/>
  <c r="CF27" i="8"/>
  <c r="CA27" i="8"/>
  <c r="CB27" i="8" s="1"/>
  <c r="CC27" i="8" s="1"/>
  <c r="CD27" i="8" s="1"/>
  <c r="BZ27" i="8"/>
  <c r="BR27" i="8"/>
  <c r="BS27" i="8" s="1"/>
  <c r="BT27" i="8" s="1"/>
  <c r="BU27" i="8" s="1"/>
  <c r="BQ27" i="8"/>
  <c r="BN27" i="8"/>
  <c r="BI27" i="8"/>
  <c r="BJ27" i="8" s="1"/>
  <c r="BK27" i="8" s="1"/>
  <c r="BL27" i="8" s="1"/>
  <c r="BH27" i="8"/>
  <c r="BE27" i="8"/>
  <c r="BB27" i="8"/>
  <c r="BA27" i="8"/>
  <c r="AG27" i="8"/>
  <c r="U27" i="8"/>
  <c r="K27" i="8"/>
  <c r="BA26" i="8"/>
  <c r="AG26" i="8"/>
  <c r="U26" i="8"/>
  <c r="K26" i="8"/>
  <c r="CG25" i="8"/>
  <c r="CF25" i="8"/>
  <c r="BO25" i="8"/>
  <c r="BN25" i="8"/>
  <c r="BP25" i="8" s="1"/>
  <c r="BF25" i="8"/>
  <c r="BE25" i="8"/>
  <c r="BG25" i="8" s="1"/>
  <c r="BA25" i="8"/>
  <c r="BZ25" i="8" s="1"/>
  <c r="CA25" i="8" s="1"/>
  <c r="CB25" i="8" s="1"/>
  <c r="CC25" i="8" s="1"/>
  <c r="CD25" i="8" s="1"/>
  <c r="AG25" i="8"/>
  <c r="Y25" i="8"/>
  <c r="U25" i="8"/>
  <c r="P25" i="8"/>
  <c r="Q25" i="8" s="1"/>
  <c r="K25" i="8"/>
  <c r="BA24" i="8"/>
  <c r="AG24" i="8"/>
  <c r="U24" i="8"/>
  <c r="K24" i="8"/>
  <c r="CF23" i="8"/>
  <c r="CG23" i="8" s="1"/>
  <c r="CA23" i="8"/>
  <c r="CB23" i="8" s="1"/>
  <c r="CC23" i="8" s="1"/>
  <c r="CD23" i="8" s="1"/>
  <c r="BN23" i="8"/>
  <c r="BP23" i="8" s="1"/>
  <c r="BE23" i="8"/>
  <c r="BG23" i="8" s="1"/>
  <c r="BA23" i="8"/>
  <c r="BZ23" i="8" s="1"/>
  <c r="AG23" i="8"/>
  <c r="Y23" i="8"/>
  <c r="U23" i="8"/>
  <c r="P23" i="8"/>
  <c r="Q23" i="8" s="1"/>
  <c r="K23" i="8"/>
  <c r="BA22" i="8"/>
  <c r="AG22" i="8"/>
  <c r="U22" i="8"/>
  <c r="K22" i="8"/>
  <c r="CG21" i="8"/>
  <c r="CF21" i="8"/>
  <c r="CB21" i="8"/>
  <c r="CC21" i="8" s="1"/>
  <c r="CD21" i="8" s="1"/>
  <c r="CA21" i="8"/>
  <c r="BZ21" i="8"/>
  <c r="BR21" i="8"/>
  <c r="BS21" i="8" s="1"/>
  <c r="BT21" i="8" s="1"/>
  <c r="BU21" i="8" s="1"/>
  <c r="BQ21" i="8"/>
  <c r="BO21" i="8"/>
  <c r="BN21" i="8"/>
  <c r="BP21" i="8" s="1"/>
  <c r="BJ21" i="8"/>
  <c r="BK21" i="8" s="1"/>
  <c r="BL21" i="8" s="1"/>
  <c r="BI21" i="8"/>
  <c r="BH21" i="8"/>
  <c r="BE21" i="8"/>
  <c r="BG21" i="8" s="1"/>
  <c r="BA21" i="8"/>
  <c r="AG21" i="8"/>
  <c r="Y21" i="8"/>
  <c r="U21" i="8"/>
  <c r="Q21" i="8"/>
  <c r="P21" i="8"/>
  <c r="K21" i="8"/>
  <c r="BB21" i="8" s="1"/>
  <c r="CG20" i="8"/>
  <c r="CF20" i="8"/>
  <c r="BZ20" i="8"/>
  <c r="CA20" i="8" s="1"/>
  <c r="CB20" i="8" s="1"/>
  <c r="CC20" i="8" s="1"/>
  <c r="CD20" i="8" s="1"/>
  <c r="BQ20" i="8"/>
  <c r="BR20" i="8" s="1"/>
  <c r="BS20" i="8" s="1"/>
  <c r="BT20" i="8" s="1"/>
  <c r="BU20" i="8" s="1"/>
  <c r="BH20" i="8"/>
  <c r="BI20" i="8" s="1"/>
  <c r="BJ20" i="8" s="1"/>
  <c r="BK20" i="8" s="1"/>
  <c r="BL20" i="8" s="1"/>
  <c r="BD20" i="8"/>
  <c r="BA20" i="8"/>
  <c r="AG20" i="8"/>
  <c r="Y20" i="8"/>
  <c r="U20" i="8"/>
  <c r="K20" i="8"/>
  <c r="BP19" i="8"/>
  <c r="BO19" i="8"/>
  <c r="BA19" i="8"/>
  <c r="AG19" i="8"/>
  <c r="U19" i="8"/>
  <c r="K19" i="8"/>
  <c r="CF18" i="8"/>
  <c r="BZ18" i="8"/>
  <c r="CA18" i="8" s="1"/>
  <c r="CB18" i="8" s="1"/>
  <c r="CC18" i="8" s="1"/>
  <c r="CD18" i="8" s="1"/>
  <c r="BQ18" i="8"/>
  <c r="BR18" i="8" s="1"/>
  <c r="BS18" i="8" s="1"/>
  <c r="BT18" i="8" s="1"/>
  <c r="BU18" i="8" s="1"/>
  <c r="BH18" i="8"/>
  <c r="BI18" i="8" s="1"/>
  <c r="BJ18" i="8" s="1"/>
  <c r="BK18" i="8" s="1"/>
  <c r="BL18" i="8" s="1"/>
  <c r="BD18" i="8"/>
  <c r="BA18" i="8"/>
  <c r="CG18" i="8" s="1"/>
  <c r="AG18" i="8"/>
  <c r="Y18" i="8"/>
  <c r="U18" i="8"/>
  <c r="Q18" i="8"/>
  <c r="P18" i="8"/>
  <c r="K18" i="8"/>
  <c r="CF17" i="8"/>
  <c r="BN17" i="8"/>
  <c r="BQ17" i="8" s="1"/>
  <c r="BR17" i="8" s="1"/>
  <c r="BS17" i="8" s="1"/>
  <c r="BT17" i="8" s="1"/>
  <c r="BU17" i="8" s="1"/>
  <c r="BE17" i="8"/>
  <c r="BA17" i="8"/>
  <c r="CG17" i="8" s="1"/>
  <c r="AG17" i="8"/>
  <c r="Y17" i="8"/>
  <c r="U17" i="8"/>
  <c r="P17" i="8"/>
  <c r="Q17" i="8" s="1"/>
  <c r="K17" i="8"/>
  <c r="CF16" i="8"/>
  <c r="CG16" i="8" s="1"/>
  <c r="BZ16" i="8"/>
  <c r="CA16" i="8" s="1"/>
  <c r="CB16" i="8" s="1"/>
  <c r="CC16" i="8" s="1"/>
  <c r="CD16" i="8" s="1"/>
  <c r="BQ16" i="8"/>
  <c r="BR16" i="8" s="1"/>
  <c r="BS16" i="8" s="1"/>
  <c r="BT16" i="8" s="1"/>
  <c r="BU16" i="8" s="1"/>
  <c r="BH16" i="8"/>
  <c r="BI16" i="8" s="1"/>
  <c r="BJ16" i="8" s="1"/>
  <c r="BK16" i="8" s="1"/>
  <c r="BL16" i="8" s="1"/>
  <c r="BB16" i="8"/>
  <c r="BA16" i="8"/>
  <c r="AG16" i="8"/>
  <c r="Y16" i="8"/>
  <c r="U16" i="8"/>
  <c r="Q16" i="8"/>
  <c r="P16" i="8"/>
  <c r="K16" i="8"/>
  <c r="BN16" i="8" s="1"/>
  <c r="CF15" i="8"/>
  <c r="BO15" i="8"/>
  <c r="BA15" i="8"/>
  <c r="CG15" i="8" s="1"/>
  <c r="AG15" i="8"/>
  <c r="Y15" i="8"/>
  <c r="U15" i="8"/>
  <c r="P15" i="8"/>
  <c r="Q15" i="8" s="1"/>
  <c r="K15" i="8"/>
  <c r="BN15" i="8" s="1"/>
  <c r="BP15" i="8" s="1"/>
  <c r="CF14" i="8"/>
  <c r="CG14" i="8" s="1"/>
  <c r="CA14" i="8"/>
  <c r="CB14" i="8" s="1"/>
  <c r="CC14" i="8" s="1"/>
  <c r="CD14" i="8" s="1"/>
  <c r="BZ14" i="8"/>
  <c r="BR14" i="8"/>
  <c r="BS14" i="8" s="1"/>
  <c r="BT14" i="8" s="1"/>
  <c r="BU14" i="8" s="1"/>
  <c r="BQ14" i="8"/>
  <c r="BI14" i="8"/>
  <c r="BJ14" i="8" s="1"/>
  <c r="BK14" i="8" s="1"/>
  <c r="BL14" i="8" s="1"/>
  <c r="BH14" i="8"/>
  <c r="BE14" i="8"/>
  <c r="BA14" i="8"/>
  <c r="AG14" i="8"/>
  <c r="Y14" i="8"/>
  <c r="U14" i="8"/>
  <c r="Q14" i="8"/>
  <c r="P14" i="8"/>
  <c r="K14" i="8"/>
  <c r="CF13" i="8"/>
  <c r="BN13" i="8"/>
  <c r="BI13" i="8"/>
  <c r="BJ13" i="8" s="1"/>
  <c r="BK13" i="8" s="1"/>
  <c r="BL13" i="8" s="1"/>
  <c r="BH13" i="8"/>
  <c r="BF13" i="8"/>
  <c r="BE13" i="8"/>
  <c r="BG13" i="8" s="1"/>
  <c r="BA13" i="8"/>
  <c r="BZ13" i="8" s="1"/>
  <c r="CA13" i="8" s="1"/>
  <c r="CB13" i="8" s="1"/>
  <c r="CC13" i="8" s="1"/>
  <c r="CD13" i="8" s="1"/>
  <c r="AG13" i="8"/>
  <c r="U13" i="8"/>
  <c r="K13" i="8"/>
  <c r="BB13" i="8" s="1"/>
  <c r="CF12" i="8"/>
  <c r="CG12" i="8" s="1"/>
  <c r="CA12" i="8"/>
  <c r="CB12" i="8" s="1"/>
  <c r="CC12" i="8" s="1"/>
  <c r="CD12" i="8" s="1"/>
  <c r="BZ12" i="8"/>
  <c r="BR12" i="8"/>
  <c r="BS12" i="8" s="1"/>
  <c r="BT12" i="8" s="1"/>
  <c r="BU12" i="8" s="1"/>
  <c r="BQ12" i="8"/>
  <c r="BN12" i="8"/>
  <c r="BI12" i="8"/>
  <c r="BJ12" i="8" s="1"/>
  <c r="BK12" i="8" s="1"/>
  <c r="BL12" i="8" s="1"/>
  <c r="BH12" i="8"/>
  <c r="BA12" i="8"/>
  <c r="AG12" i="8"/>
  <c r="Y12" i="8"/>
  <c r="U12" i="8"/>
  <c r="Q12" i="8"/>
  <c r="P12" i="8"/>
  <c r="K12" i="8"/>
  <c r="CF11" i="8"/>
  <c r="CA11" i="8"/>
  <c r="CB11" i="8" s="1"/>
  <c r="CC11" i="8" s="1"/>
  <c r="CD11" i="8" s="1"/>
  <c r="BZ11" i="8"/>
  <c r="BS11" i="8"/>
  <c r="BT11" i="8" s="1"/>
  <c r="BU11" i="8" s="1"/>
  <c r="BR11" i="8"/>
  <c r="BQ11" i="8"/>
  <c r="BN11" i="8"/>
  <c r="BI11" i="8"/>
  <c r="BJ11" i="8" s="1"/>
  <c r="BK11" i="8" s="1"/>
  <c r="BL11" i="8" s="1"/>
  <c r="BH11" i="8"/>
  <c r="BF11" i="8"/>
  <c r="BE11" i="8"/>
  <c r="BG11" i="8" s="1"/>
  <c r="BB11" i="8"/>
  <c r="BA11" i="8"/>
  <c r="AG11" i="8"/>
  <c r="U11" i="8"/>
  <c r="K11" i="8"/>
  <c r="BA10" i="8"/>
  <c r="AG10" i="8"/>
  <c r="U10" i="8"/>
  <c r="K10" i="8"/>
  <c r="CD9" i="8"/>
  <c r="BZ9" i="8"/>
  <c r="CA9" i="8" s="1"/>
  <c r="CB9" i="8" s="1"/>
  <c r="CC9" i="8" s="1"/>
  <c r="BU9" i="8"/>
  <c r="BQ9" i="8"/>
  <c r="BR9" i="8" s="1"/>
  <c r="BS9" i="8" s="1"/>
  <c r="BT9" i="8" s="1"/>
  <c r="BN9" i="8"/>
  <c r="BH9" i="8"/>
  <c r="BI9" i="8" s="1"/>
  <c r="BJ9" i="8" s="1"/>
  <c r="BK9" i="8" s="1"/>
  <c r="BL9" i="8" s="1"/>
  <c r="BE9" i="8"/>
  <c r="BB9" i="8"/>
  <c r="BA9" i="8"/>
  <c r="AG9" i="8"/>
  <c r="U9" i="8"/>
  <c r="K9" i="8"/>
  <c r="CB8" i="8"/>
  <c r="CC8" i="8" s="1"/>
  <c r="CD8" i="8" s="1"/>
  <c r="CA8" i="8"/>
  <c r="BZ8" i="8"/>
  <c r="BR8" i="8"/>
  <c r="BS8" i="8" s="1"/>
  <c r="BT8" i="8" s="1"/>
  <c r="BU8" i="8" s="1"/>
  <c r="BQ8" i="8"/>
  <c r="BO8" i="8"/>
  <c r="BN8" i="8"/>
  <c r="BP8" i="8" s="1"/>
  <c r="BJ8" i="8"/>
  <c r="BK8" i="8" s="1"/>
  <c r="BL8" i="8" s="1"/>
  <c r="BI8" i="8"/>
  <c r="BH8" i="8"/>
  <c r="BE8" i="8"/>
  <c r="BB8" i="8"/>
  <c r="BA8" i="8"/>
  <c r="AG8" i="8"/>
  <c r="U8" i="8"/>
  <c r="K8" i="8"/>
  <c r="CF7" i="8"/>
  <c r="CG7" i="8" s="1"/>
  <c r="CA7" i="8"/>
  <c r="CB7" i="8" s="1"/>
  <c r="CC7" i="8" s="1"/>
  <c r="CD7" i="8" s="1"/>
  <c r="BZ7" i="8"/>
  <c r="BN7" i="8"/>
  <c r="BE7" i="8"/>
  <c r="BA7" i="8"/>
  <c r="AG7" i="8"/>
  <c r="Y7" i="8"/>
  <c r="U7" i="8"/>
  <c r="Q7" i="8"/>
  <c r="P7" i="8"/>
  <c r="K7" i="8"/>
  <c r="BB7" i="8" s="1"/>
  <c r="CF6" i="8"/>
  <c r="BZ6" i="8"/>
  <c r="CA6" i="8" s="1"/>
  <c r="CB6" i="8" s="1"/>
  <c r="CC6" i="8" s="1"/>
  <c r="CD6" i="8" s="1"/>
  <c r="BQ6" i="8"/>
  <c r="BR6" i="8" s="1"/>
  <c r="BS6" i="8" s="1"/>
  <c r="BT6" i="8" s="1"/>
  <c r="BU6" i="8" s="1"/>
  <c r="BH6" i="8"/>
  <c r="BI6" i="8" s="1"/>
  <c r="BJ6" i="8" s="1"/>
  <c r="BK6" i="8" s="1"/>
  <c r="BL6" i="8" s="1"/>
  <c r="BA6" i="8"/>
  <c r="CG6" i="8" s="1"/>
  <c r="AG6" i="8"/>
  <c r="Y6" i="8"/>
  <c r="U6" i="8"/>
  <c r="Q6" i="8"/>
  <c r="P6" i="8"/>
  <c r="K6" i="8"/>
  <c r="CF5" i="8"/>
  <c r="BA5" i="8"/>
  <c r="AG5" i="8"/>
  <c r="Y5" i="8"/>
  <c r="U5" i="8"/>
  <c r="P5" i="8"/>
  <c r="Q5" i="8" s="1"/>
  <c r="K5" i="8"/>
  <c r="BN5" i="8" s="1"/>
  <c r="BO5" i="8" s="1"/>
  <c r="CF4" i="8"/>
  <c r="BZ4" i="8"/>
  <c r="BQ4" i="8"/>
  <c r="BH4" i="8"/>
  <c r="BB4" i="8"/>
  <c r="BA4" i="8"/>
  <c r="AG4" i="8"/>
  <c r="Y4" i="8"/>
  <c r="U4" i="8"/>
  <c r="Q4" i="8"/>
  <c r="P4" i="8"/>
  <c r="K4" i="8"/>
  <c r="BN4" i="8" s="1"/>
  <c r="BN3" i="8"/>
  <c r="AP2" i="8"/>
  <c r="AY69" i="7"/>
  <c r="AV69" i="7"/>
  <c r="AU69" i="7"/>
  <c r="AT69" i="7"/>
  <c r="AF69" i="7"/>
  <c r="T69" i="7"/>
  <c r="BH63" i="7"/>
  <c r="BI63" i="7" s="1"/>
  <c r="BJ63" i="7" s="1"/>
  <c r="BK63" i="7" s="1"/>
  <c r="BL63" i="7" s="1"/>
  <c r="AP62" i="7"/>
  <c r="AH62" i="7"/>
  <c r="AC62" i="7"/>
  <c r="V62" i="7"/>
  <c r="AQ62" i="7" s="1"/>
  <c r="M62" i="7"/>
  <c r="F62" i="7"/>
  <c r="AY61" i="7"/>
  <c r="AV61" i="7"/>
  <c r="AU61" i="7"/>
  <c r="AT61" i="7"/>
  <c r="AY60" i="7"/>
  <c r="AV60" i="7"/>
  <c r="AV64" i="7" s="1"/>
  <c r="AU60" i="7"/>
  <c r="AU64" i="7" s="1"/>
  <c r="AT60" i="7"/>
  <c r="AF60" i="7"/>
  <c r="X60" i="7"/>
  <c r="T60" i="7"/>
  <c r="O60" i="7"/>
  <c r="BI57" i="7"/>
  <c r="BJ57" i="7" s="1"/>
  <c r="BK57" i="7" s="1"/>
  <c r="BL57" i="7" s="1"/>
  <c r="BH57" i="7"/>
  <c r="BA57" i="7"/>
  <c r="AG57" i="7"/>
  <c r="Y57" i="7"/>
  <c r="U57" i="7"/>
  <c r="Q57" i="7"/>
  <c r="P57" i="7"/>
  <c r="K57" i="7"/>
  <c r="BE57" i="7" s="1"/>
  <c r="CF56" i="7"/>
  <c r="BA56" i="7"/>
  <c r="BP56" i="7" s="1"/>
  <c r="AG56" i="7"/>
  <c r="Y56" i="7"/>
  <c r="P56" i="7"/>
  <c r="Q56" i="7" s="1"/>
  <c r="K56" i="7"/>
  <c r="BN56" i="7" s="1"/>
  <c r="BO56" i="7" s="1"/>
  <c r="CD55" i="7"/>
  <c r="BZ55" i="7"/>
  <c r="CA55" i="7" s="1"/>
  <c r="CB55" i="7" s="1"/>
  <c r="CC55" i="7" s="1"/>
  <c r="BQ55" i="7"/>
  <c r="BL55" i="7"/>
  <c r="BH55" i="7"/>
  <c r="BI55" i="7" s="1"/>
  <c r="BJ55" i="7" s="1"/>
  <c r="BK55" i="7" s="1"/>
  <c r="BA55" i="7"/>
  <c r="CF55" i="7" s="1"/>
  <c r="AG55" i="7"/>
  <c r="K55" i="7"/>
  <c r="CF54" i="7"/>
  <c r="BP54" i="7"/>
  <c r="BA54" i="7"/>
  <c r="AG54" i="7"/>
  <c r="Y54" i="7"/>
  <c r="P54" i="7"/>
  <c r="Q54" i="7" s="1"/>
  <c r="K54" i="7"/>
  <c r="BN54" i="7" s="1"/>
  <c r="BO54" i="7" s="1"/>
  <c r="CF53" i="7"/>
  <c r="CG53" i="7" s="1"/>
  <c r="CA53" i="7"/>
  <c r="CB53" i="7" s="1"/>
  <c r="CC53" i="7" s="1"/>
  <c r="CD53" i="7" s="1"/>
  <c r="BZ53" i="7"/>
  <c r="BQ53" i="7"/>
  <c r="BR53" i="7" s="1"/>
  <c r="BS53" i="7" s="1"/>
  <c r="BT53" i="7" s="1"/>
  <c r="BU53" i="7" s="1"/>
  <c r="BN53" i="7"/>
  <c r="BI53" i="7"/>
  <c r="BJ53" i="7" s="1"/>
  <c r="BK53" i="7" s="1"/>
  <c r="BL53" i="7" s="1"/>
  <c r="BH53" i="7"/>
  <c r="BE53" i="7"/>
  <c r="BA53" i="7"/>
  <c r="AG53" i="7"/>
  <c r="Y53" i="7"/>
  <c r="U53" i="7"/>
  <c r="Q53" i="7"/>
  <c r="P53" i="7"/>
  <c r="K53" i="7"/>
  <c r="CF52" i="7"/>
  <c r="BP52" i="7"/>
  <c r="BA52" i="7"/>
  <c r="AG52" i="7"/>
  <c r="Y52" i="7"/>
  <c r="P52" i="7"/>
  <c r="Q52" i="7" s="1"/>
  <c r="K52" i="7"/>
  <c r="BN52" i="7" s="1"/>
  <c r="CF51" i="7"/>
  <c r="CG51" i="7" s="1"/>
  <c r="CA51" i="7"/>
  <c r="CB51" i="7" s="1"/>
  <c r="CC51" i="7" s="1"/>
  <c r="CD51" i="7" s="1"/>
  <c r="BZ51" i="7"/>
  <c r="BQ51" i="7"/>
  <c r="BR51" i="7" s="1"/>
  <c r="BS51" i="7" s="1"/>
  <c r="BT51" i="7" s="1"/>
  <c r="BU51" i="7" s="1"/>
  <c r="BN51" i="7"/>
  <c r="BI51" i="7"/>
  <c r="BJ51" i="7" s="1"/>
  <c r="BK51" i="7" s="1"/>
  <c r="BL51" i="7" s="1"/>
  <c r="BH51" i="7"/>
  <c r="BE51" i="7"/>
  <c r="BA51" i="7"/>
  <c r="BB51" i="7" s="1"/>
  <c r="AG51" i="7"/>
  <c r="Y51" i="7"/>
  <c r="U51" i="7"/>
  <c r="P51" i="7"/>
  <c r="Q51" i="7" s="1"/>
  <c r="K51" i="7"/>
  <c r="BO50" i="7"/>
  <c r="BN50" i="7"/>
  <c r="BF50" i="7"/>
  <c r="BE50" i="7"/>
  <c r="BA50" i="7"/>
  <c r="AG50" i="7"/>
  <c r="U50" i="7"/>
  <c r="K50" i="7"/>
  <c r="CF49" i="7"/>
  <c r="CG49" i="7" s="1"/>
  <c r="BN49" i="7"/>
  <c r="BP49" i="7" s="1"/>
  <c r="BH49" i="7"/>
  <c r="BF49" i="7"/>
  <c r="BE49" i="7"/>
  <c r="BG49" i="7" s="1"/>
  <c r="BA49" i="7"/>
  <c r="BZ49" i="7" s="1"/>
  <c r="CA49" i="7" s="1"/>
  <c r="CB49" i="7" s="1"/>
  <c r="CC49" i="7" s="1"/>
  <c r="CD49" i="7" s="1"/>
  <c r="AG49" i="7"/>
  <c r="Y49" i="7"/>
  <c r="U49" i="7"/>
  <c r="Q49" i="7"/>
  <c r="P49" i="7"/>
  <c r="K49" i="7"/>
  <c r="BB49" i="7" s="1"/>
  <c r="BQ48" i="7"/>
  <c r="BH48" i="7"/>
  <c r="BI48" i="7" s="1"/>
  <c r="BJ48" i="7" s="1"/>
  <c r="BK48" i="7" s="1"/>
  <c r="BL48" i="7" s="1"/>
  <c r="BA48" i="7"/>
  <c r="CF48" i="7" s="1"/>
  <c r="AG48" i="7"/>
  <c r="K48" i="7"/>
  <c r="BY47" i="7"/>
  <c r="BX47" i="7"/>
  <c r="BQ47" i="7"/>
  <c r="BO47" i="7"/>
  <c r="BN47" i="7"/>
  <c r="BP47" i="7" s="1"/>
  <c r="BJ47" i="7"/>
  <c r="BK47" i="7" s="1"/>
  <c r="BL47" i="7" s="1"/>
  <c r="BI47" i="7"/>
  <c r="BH47" i="7"/>
  <c r="BE47" i="7"/>
  <c r="BG47" i="7" s="1"/>
  <c r="BB47" i="7"/>
  <c r="BA47" i="7"/>
  <c r="CF47" i="7" s="1"/>
  <c r="AG47" i="7"/>
  <c r="U47" i="7"/>
  <c r="K47" i="7"/>
  <c r="CF46" i="7"/>
  <c r="CG46" i="7" s="1"/>
  <c r="CA46" i="7"/>
  <c r="CB46" i="7" s="1"/>
  <c r="CC46" i="7" s="1"/>
  <c r="CD46" i="7" s="1"/>
  <c r="BZ46" i="7"/>
  <c r="BR46" i="7"/>
  <c r="BS46" i="7" s="1"/>
  <c r="BT46" i="7" s="1"/>
  <c r="BU46" i="7" s="1"/>
  <c r="BQ46" i="7"/>
  <c r="BN46" i="7"/>
  <c r="BI46" i="7"/>
  <c r="BJ46" i="7" s="1"/>
  <c r="BK46" i="7" s="1"/>
  <c r="BL46" i="7" s="1"/>
  <c r="BH46" i="7"/>
  <c r="BE46" i="7"/>
  <c r="BA46" i="7"/>
  <c r="AG46" i="7"/>
  <c r="Y46" i="7"/>
  <c r="U46" i="7"/>
  <c r="Q46" i="7"/>
  <c r="P46" i="7"/>
  <c r="K46" i="7"/>
  <c r="BB46" i="7" s="1"/>
  <c r="CF45" i="7"/>
  <c r="CA45" i="7"/>
  <c r="CB45" i="7" s="1"/>
  <c r="CC45" i="7" s="1"/>
  <c r="CD45" i="7" s="1"/>
  <c r="BZ45" i="7"/>
  <c r="BS45" i="7"/>
  <c r="BT45" i="7" s="1"/>
  <c r="BU45" i="7" s="1"/>
  <c r="BR45" i="7"/>
  <c r="BQ45" i="7"/>
  <c r="BN45" i="7"/>
  <c r="BP45" i="7" s="1"/>
  <c r="BI45" i="7"/>
  <c r="BJ45" i="7" s="1"/>
  <c r="BK45" i="7" s="1"/>
  <c r="BL45" i="7" s="1"/>
  <c r="BH45" i="7"/>
  <c r="BF45" i="7"/>
  <c r="BE45" i="7"/>
  <c r="BG45" i="7" s="1"/>
  <c r="BB45" i="7"/>
  <c r="BA45" i="7"/>
  <c r="AG45" i="7"/>
  <c r="U45" i="7"/>
  <c r="K45" i="7"/>
  <c r="CF44" i="7"/>
  <c r="CG44" i="7" s="1"/>
  <c r="BQ44" i="7"/>
  <c r="BN44" i="7"/>
  <c r="BH44" i="7"/>
  <c r="BI44" i="7" s="1"/>
  <c r="BJ44" i="7" s="1"/>
  <c r="BK44" i="7" s="1"/>
  <c r="BL44" i="7" s="1"/>
  <c r="BE44" i="7"/>
  <c r="BB44" i="7"/>
  <c r="BA44" i="7"/>
  <c r="AG44" i="7"/>
  <c r="Y44" i="7"/>
  <c r="U44" i="7"/>
  <c r="Q44" i="7"/>
  <c r="P44" i="7"/>
  <c r="K44" i="7"/>
  <c r="CF43" i="7"/>
  <c r="BO43" i="7"/>
  <c r="BN43" i="7"/>
  <c r="BG43" i="7"/>
  <c r="BE43" i="7"/>
  <c r="BH43" i="7" s="1"/>
  <c r="BI43" i="7" s="1"/>
  <c r="BJ43" i="7" s="1"/>
  <c r="BK43" i="7" s="1"/>
  <c r="BL43" i="7" s="1"/>
  <c r="BA43" i="7"/>
  <c r="BF43" i="7" s="1"/>
  <c r="AG43" i="7"/>
  <c r="Y43" i="7"/>
  <c r="P43" i="7"/>
  <c r="Q43" i="7" s="1"/>
  <c r="K43" i="7"/>
  <c r="CF42" i="7"/>
  <c r="CG42" i="7" s="1"/>
  <c r="BZ42" i="7"/>
  <c r="CA42" i="7" s="1"/>
  <c r="CB42" i="7" s="1"/>
  <c r="CC42" i="7" s="1"/>
  <c r="CD42" i="7" s="1"/>
  <c r="BQ42" i="7"/>
  <c r="BR42" i="7" s="1"/>
  <c r="BS42" i="7" s="1"/>
  <c r="BT42" i="7" s="1"/>
  <c r="BU42" i="7" s="1"/>
  <c r="BH42" i="7"/>
  <c r="BI42" i="7" s="1"/>
  <c r="BJ42" i="7" s="1"/>
  <c r="BK42" i="7" s="1"/>
  <c r="BL42" i="7" s="1"/>
  <c r="BB42" i="7"/>
  <c r="BA42" i="7"/>
  <c r="AG42" i="7"/>
  <c r="Y42" i="7"/>
  <c r="U42" i="7"/>
  <c r="Q42" i="7"/>
  <c r="P42" i="7"/>
  <c r="K42" i="7"/>
  <c r="BN42" i="7" s="1"/>
  <c r="CF41" i="7"/>
  <c r="BO41" i="7"/>
  <c r="BN41" i="7"/>
  <c r="BG41" i="7"/>
  <c r="BF41" i="7"/>
  <c r="BE41" i="7"/>
  <c r="BA41" i="7"/>
  <c r="AG41" i="7"/>
  <c r="Y41" i="7"/>
  <c r="P41" i="7"/>
  <c r="Q41" i="7" s="1"/>
  <c r="K41" i="7"/>
  <c r="BA40" i="7"/>
  <c r="CF40" i="7" s="1"/>
  <c r="AG40" i="7"/>
  <c r="K40" i="7"/>
  <c r="CF39" i="7"/>
  <c r="CB39" i="7"/>
  <c r="CC39" i="7" s="1"/>
  <c r="CD39" i="7" s="1"/>
  <c r="CA39" i="7"/>
  <c r="BZ39" i="7"/>
  <c r="BR39" i="7"/>
  <c r="BS39" i="7" s="1"/>
  <c r="BT39" i="7" s="1"/>
  <c r="BU39" i="7" s="1"/>
  <c r="BQ39" i="7"/>
  <c r="BO39" i="7"/>
  <c r="BN39" i="7"/>
  <c r="BP39" i="7" s="1"/>
  <c r="BJ39" i="7"/>
  <c r="BK39" i="7" s="1"/>
  <c r="BL39" i="7" s="1"/>
  <c r="BI39" i="7"/>
  <c r="BH39" i="7"/>
  <c r="BE39" i="7"/>
  <c r="BB39" i="7"/>
  <c r="BA39" i="7"/>
  <c r="AG39" i="7"/>
  <c r="U39" i="7"/>
  <c r="K39" i="7"/>
  <c r="CF38" i="7"/>
  <c r="CG38" i="7" s="1"/>
  <c r="CA38" i="7"/>
  <c r="CB38" i="7" s="1"/>
  <c r="CC38" i="7" s="1"/>
  <c r="CD38" i="7" s="1"/>
  <c r="BZ38" i="7"/>
  <c r="BR38" i="7"/>
  <c r="BS38" i="7" s="1"/>
  <c r="BT38" i="7" s="1"/>
  <c r="BU38" i="7" s="1"/>
  <c r="BQ38" i="7"/>
  <c r="BI38" i="7"/>
  <c r="BJ38" i="7" s="1"/>
  <c r="BK38" i="7" s="1"/>
  <c r="BL38" i="7" s="1"/>
  <c r="BH38" i="7"/>
  <c r="BA38" i="7"/>
  <c r="AG38" i="7"/>
  <c r="Y38" i="7"/>
  <c r="U38" i="7"/>
  <c r="Q38" i="7"/>
  <c r="P38" i="7"/>
  <c r="K38" i="7"/>
  <c r="CF37" i="7"/>
  <c r="BN37" i="7"/>
  <c r="BF37" i="7"/>
  <c r="BE37" i="7"/>
  <c r="BA37" i="7"/>
  <c r="BO37" i="7" s="1"/>
  <c r="AG37" i="7"/>
  <c r="Y37" i="7"/>
  <c r="P37" i="7"/>
  <c r="Q37" i="7" s="1"/>
  <c r="K37" i="7"/>
  <c r="CF36" i="7"/>
  <c r="CG36" i="7" s="1"/>
  <c r="CA36" i="7"/>
  <c r="CB36" i="7" s="1"/>
  <c r="CC36" i="7" s="1"/>
  <c r="CD36" i="7" s="1"/>
  <c r="BZ36" i="7"/>
  <c r="BR36" i="7"/>
  <c r="BS36" i="7" s="1"/>
  <c r="BT36" i="7" s="1"/>
  <c r="BU36" i="7" s="1"/>
  <c r="BQ36" i="7"/>
  <c r="BN36" i="7"/>
  <c r="BI36" i="7"/>
  <c r="BJ36" i="7" s="1"/>
  <c r="BK36" i="7" s="1"/>
  <c r="BL36" i="7" s="1"/>
  <c r="BH36" i="7"/>
  <c r="BE36" i="7"/>
  <c r="BA36" i="7"/>
  <c r="AG36" i="7"/>
  <c r="Y36" i="7"/>
  <c r="U36" i="7"/>
  <c r="Q36" i="7"/>
  <c r="P36" i="7"/>
  <c r="K36" i="7"/>
  <c r="BB36" i="7" s="1"/>
  <c r="CF35" i="7"/>
  <c r="BN35" i="7"/>
  <c r="BE35" i="7"/>
  <c r="BA35" i="7"/>
  <c r="CG35" i="7" s="1"/>
  <c r="AG35" i="7"/>
  <c r="Y35" i="7"/>
  <c r="P35" i="7"/>
  <c r="Q35" i="7" s="1"/>
  <c r="K35" i="7"/>
  <c r="CF34" i="7"/>
  <c r="CG34" i="7" s="1"/>
  <c r="CA34" i="7"/>
  <c r="CB34" i="7" s="1"/>
  <c r="CC34" i="7" s="1"/>
  <c r="CD34" i="7" s="1"/>
  <c r="BZ34" i="7"/>
  <c r="BR34" i="7"/>
  <c r="BS34" i="7" s="1"/>
  <c r="BT34" i="7" s="1"/>
  <c r="BU34" i="7" s="1"/>
  <c r="BQ34" i="7"/>
  <c r="BN34" i="7"/>
  <c r="BI34" i="7"/>
  <c r="BJ34" i="7" s="1"/>
  <c r="BK34" i="7" s="1"/>
  <c r="BL34" i="7" s="1"/>
  <c r="BH34" i="7"/>
  <c r="BE34" i="7"/>
  <c r="BA34" i="7"/>
  <c r="AG34" i="7"/>
  <c r="Y34" i="7"/>
  <c r="U34" i="7"/>
  <c r="Q34" i="7"/>
  <c r="P34" i="7"/>
  <c r="K34" i="7"/>
  <c r="BB34" i="7" s="1"/>
  <c r="CF33" i="7"/>
  <c r="BZ33" i="7"/>
  <c r="CA33" i="7" s="1"/>
  <c r="CB33" i="7" s="1"/>
  <c r="CC33" i="7" s="1"/>
  <c r="CD33" i="7" s="1"/>
  <c r="BH33" i="7"/>
  <c r="BI33" i="7" s="1"/>
  <c r="BJ33" i="7" s="1"/>
  <c r="BK33" i="7" s="1"/>
  <c r="BL33" i="7" s="1"/>
  <c r="BA33" i="7"/>
  <c r="CG33" i="7" s="1"/>
  <c r="AG33" i="7"/>
  <c r="Y33" i="7"/>
  <c r="P33" i="7"/>
  <c r="Q33" i="7" s="1"/>
  <c r="K33" i="7"/>
  <c r="CC32" i="7"/>
  <c r="CD32" i="7" s="1"/>
  <c r="BZ32" i="7"/>
  <c r="CA32" i="7" s="1"/>
  <c r="CB32" i="7" s="1"/>
  <c r="BQ32" i="7"/>
  <c r="BR32" i="7" s="1"/>
  <c r="BS32" i="7" s="1"/>
  <c r="BT32" i="7" s="1"/>
  <c r="BU32" i="7" s="1"/>
  <c r="BK32" i="7"/>
  <c r="BL32" i="7" s="1"/>
  <c r="BH32" i="7"/>
  <c r="BI32" i="7" s="1"/>
  <c r="BJ32" i="7" s="1"/>
  <c r="BB32" i="7"/>
  <c r="BC32" i="7" s="1"/>
  <c r="BA32" i="7"/>
  <c r="AG32" i="7"/>
  <c r="K32" i="7"/>
  <c r="BA31" i="7"/>
  <c r="BZ31" i="7" s="1"/>
  <c r="CA31" i="7" s="1"/>
  <c r="CB31" i="7" s="1"/>
  <c r="CC31" i="7" s="1"/>
  <c r="CD31" i="7" s="1"/>
  <c r="AG31" i="7"/>
  <c r="K31" i="7"/>
  <c r="CF30" i="7"/>
  <c r="BQ30" i="7"/>
  <c r="BA30" i="7"/>
  <c r="CG30" i="7" s="1"/>
  <c r="AG30" i="7"/>
  <c r="Y30" i="7"/>
  <c r="Q30" i="7"/>
  <c r="P30" i="7"/>
  <c r="K30" i="7"/>
  <c r="CF29" i="7"/>
  <c r="BN29" i="7"/>
  <c r="BH29" i="7"/>
  <c r="BI29" i="7" s="1"/>
  <c r="BJ29" i="7" s="1"/>
  <c r="BK29" i="7" s="1"/>
  <c r="BL29" i="7" s="1"/>
  <c r="BA29" i="7"/>
  <c r="AG29" i="7"/>
  <c r="K29" i="7"/>
  <c r="CF28" i="7"/>
  <c r="BH28" i="7"/>
  <c r="BA28" i="7"/>
  <c r="AG28" i="7"/>
  <c r="Y28" i="7"/>
  <c r="Q28" i="7"/>
  <c r="P28" i="7"/>
  <c r="K28" i="7"/>
  <c r="BQ27" i="7"/>
  <c r="BE27" i="7"/>
  <c r="BA27" i="7"/>
  <c r="BB27" i="7" s="1"/>
  <c r="AG27" i="7"/>
  <c r="K27" i="7"/>
  <c r="BA26" i="7"/>
  <c r="AG26" i="7"/>
  <c r="U26" i="7"/>
  <c r="K26" i="7"/>
  <c r="CF25" i="7"/>
  <c r="CG25" i="7" s="1"/>
  <c r="BZ25" i="7"/>
  <c r="CA25" i="7" s="1"/>
  <c r="CB25" i="7" s="1"/>
  <c r="CC25" i="7" s="1"/>
  <c r="CD25" i="7" s="1"/>
  <c r="BS25" i="7"/>
  <c r="BT25" i="7" s="1"/>
  <c r="BU25" i="7" s="1"/>
  <c r="BQ25" i="7"/>
  <c r="BR25" i="7" s="1"/>
  <c r="BO25" i="7"/>
  <c r="BH25" i="7"/>
  <c r="BI25" i="7" s="1"/>
  <c r="BJ25" i="7" s="1"/>
  <c r="BK25" i="7" s="1"/>
  <c r="BL25" i="7" s="1"/>
  <c r="BA25" i="7"/>
  <c r="AG25" i="7"/>
  <c r="Y25" i="7"/>
  <c r="U25" i="7"/>
  <c r="Q25" i="7"/>
  <c r="P25" i="7"/>
  <c r="K25" i="7"/>
  <c r="BN25" i="7" s="1"/>
  <c r="BP25" i="7" s="1"/>
  <c r="BA24" i="7"/>
  <c r="AG24" i="7"/>
  <c r="U24" i="7"/>
  <c r="K24" i="7"/>
  <c r="CG23" i="7"/>
  <c r="CF23" i="7"/>
  <c r="CB23" i="7"/>
  <c r="CC23" i="7" s="1"/>
  <c r="CD23" i="7" s="1"/>
  <c r="BZ23" i="7"/>
  <c r="CA23" i="7" s="1"/>
  <c r="BQ23" i="7"/>
  <c r="BR23" i="7" s="1"/>
  <c r="BS23" i="7" s="1"/>
  <c r="BT23" i="7" s="1"/>
  <c r="BU23" i="7" s="1"/>
  <c r="BJ23" i="7"/>
  <c r="BK23" i="7" s="1"/>
  <c r="BL23" i="7" s="1"/>
  <c r="BH23" i="7"/>
  <c r="BI23" i="7" s="1"/>
  <c r="BA23" i="7"/>
  <c r="AG23" i="7"/>
  <c r="Y23" i="7"/>
  <c r="U23" i="7"/>
  <c r="Q23" i="7"/>
  <c r="P23" i="7"/>
  <c r="K23" i="7"/>
  <c r="BN23" i="7" s="1"/>
  <c r="BP23" i="7" s="1"/>
  <c r="BA22" i="7"/>
  <c r="AG22" i="7"/>
  <c r="U22" i="7"/>
  <c r="K22" i="7"/>
  <c r="CG21" i="7"/>
  <c r="CF21" i="7"/>
  <c r="BZ21" i="7"/>
  <c r="CA21" i="7" s="1"/>
  <c r="CB21" i="7" s="1"/>
  <c r="CC21" i="7" s="1"/>
  <c r="CD21" i="7" s="1"/>
  <c r="BS21" i="7"/>
  <c r="BT21" i="7" s="1"/>
  <c r="BU21" i="7" s="1"/>
  <c r="BQ21" i="7"/>
  <c r="BR21" i="7" s="1"/>
  <c r="BO21" i="7"/>
  <c r="BH21" i="7"/>
  <c r="BI21" i="7" s="1"/>
  <c r="BJ21" i="7" s="1"/>
  <c r="BK21" i="7" s="1"/>
  <c r="BL21" i="7" s="1"/>
  <c r="BA21" i="7"/>
  <c r="AG21" i="7"/>
  <c r="Y21" i="7"/>
  <c r="U21" i="7"/>
  <c r="Q21" i="7"/>
  <c r="P21" i="7"/>
  <c r="K21" i="7"/>
  <c r="BN21" i="7" s="1"/>
  <c r="BP21" i="7" s="1"/>
  <c r="CG20" i="7"/>
  <c r="CF20" i="7"/>
  <c r="BZ20" i="7"/>
  <c r="CA20" i="7" s="1"/>
  <c r="CB20" i="7" s="1"/>
  <c r="CC20" i="7" s="1"/>
  <c r="CD20" i="7" s="1"/>
  <c r="BQ20" i="7"/>
  <c r="BR20" i="7" s="1"/>
  <c r="BS20" i="7" s="1"/>
  <c r="BT20" i="7" s="1"/>
  <c r="BU20" i="7" s="1"/>
  <c r="BH20" i="7"/>
  <c r="BI20" i="7" s="1"/>
  <c r="BJ20" i="7" s="1"/>
  <c r="BK20" i="7" s="1"/>
  <c r="BL20" i="7" s="1"/>
  <c r="BD20" i="7"/>
  <c r="BA20" i="7"/>
  <c r="AG20" i="7"/>
  <c r="Y20" i="7"/>
  <c r="U20" i="7"/>
  <c r="K20" i="7"/>
  <c r="BP19" i="7"/>
  <c r="BA19" i="7"/>
  <c r="BO19" i="7" s="1"/>
  <c r="AG19" i="7"/>
  <c r="U19" i="7"/>
  <c r="K19" i="7"/>
  <c r="CF18" i="7"/>
  <c r="BZ18" i="7"/>
  <c r="CA18" i="7" s="1"/>
  <c r="CB18" i="7" s="1"/>
  <c r="CC18" i="7" s="1"/>
  <c r="CD18" i="7" s="1"/>
  <c r="BQ18" i="7"/>
  <c r="BR18" i="7" s="1"/>
  <c r="BS18" i="7" s="1"/>
  <c r="BT18" i="7" s="1"/>
  <c r="BU18" i="7" s="1"/>
  <c r="BH18" i="7"/>
  <c r="BI18" i="7" s="1"/>
  <c r="BJ18" i="7" s="1"/>
  <c r="BK18" i="7" s="1"/>
  <c r="BL18" i="7" s="1"/>
  <c r="BD18" i="7"/>
  <c r="BA18" i="7"/>
  <c r="BB18" i="7" s="1"/>
  <c r="AG18" i="7"/>
  <c r="Y18" i="7"/>
  <c r="U18" i="7"/>
  <c r="P18" i="7"/>
  <c r="Q18" i="7" s="1"/>
  <c r="K18" i="7"/>
  <c r="BN18" i="7" s="1"/>
  <c r="CF17" i="7"/>
  <c r="CG17" i="7" s="1"/>
  <c r="BP17" i="7"/>
  <c r="BN17" i="7"/>
  <c r="BG17" i="7"/>
  <c r="BE17" i="7"/>
  <c r="BF17" i="7" s="1"/>
  <c r="BA17" i="7"/>
  <c r="AG17" i="7"/>
  <c r="Y17" i="7"/>
  <c r="U17" i="7"/>
  <c r="P17" i="7"/>
  <c r="Q17" i="7" s="1"/>
  <c r="K17" i="7"/>
  <c r="CF16" i="7"/>
  <c r="CG16" i="7" s="1"/>
  <c r="CA16" i="7"/>
  <c r="CB16" i="7" s="1"/>
  <c r="CC16" i="7" s="1"/>
  <c r="CD16" i="7" s="1"/>
  <c r="BN16" i="7"/>
  <c r="BE16" i="7"/>
  <c r="BA16" i="7"/>
  <c r="BZ16" i="7" s="1"/>
  <c r="AG16" i="7"/>
  <c r="Y16" i="7"/>
  <c r="U16" i="7"/>
  <c r="P16" i="7"/>
  <c r="Q16" i="7" s="1"/>
  <c r="K16" i="7"/>
  <c r="CF15" i="7"/>
  <c r="BN15" i="7"/>
  <c r="BG15" i="7"/>
  <c r="BE15" i="7"/>
  <c r="BA15" i="7"/>
  <c r="AG15" i="7"/>
  <c r="Y15" i="7"/>
  <c r="U15" i="7"/>
  <c r="P15" i="7"/>
  <c r="Q15" i="7" s="1"/>
  <c r="K15" i="7"/>
  <c r="CF14" i="7"/>
  <c r="CG14" i="7" s="1"/>
  <c r="CA14" i="7"/>
  <c r="CB14" i="7" s="1"/>
  <c r="CC14" i="7" s="1"/>
  <c r="CD14" i="7" s="1"/>
  <c r="BN14" i="7"/>
  <c r="BE14" i="7"/>
  <c r="BA14" i="7"/>
  <c r="BZ14" i="7" s="1"/>
  <c r="AG14" i="7"/>
  <c r="Y14" i="7"/>
  <c r="U14" i="7"/>
  <c r="P14" i="7"/>
  <c r="Q14" i="7" s="1"/>
  <c r="K14" i="7"/>
  <c r="CB13" i="7"/>
  <c r="CC13" i="7" s="1"/>
  <c r="CD13" i="7" s="1"/>
  <c r="BZ13" i="7"/>
  <c r="CA13" i="7" s="1"/>
  <c r="BQ13" i="7"/>
  <c r="BR13" i="7" s="1"/>
  <c r="BS13" i="7" s="1"/>
  <c r="BT13" i="7" s="1"/>
  <c r="BU13" i="7" s="1"/>
  <c r="BJ13" i="7"/>
  <c r="BK13" i="7" s="1"/>
  <c r="BL13" i="7" s="1"/>
  <c r="BH13" i="7"/>
  <c r="BI13" i="7" s="1"/>
  <c r="BB13" i="7"/>
  <c r="BA13" i="7"/>
  <c r="CF13" i="7" s="1"/>
  <c r="AG13" i="7"/>
  <c r="U13" i="7"/>
  <c r="K13" i="7"/>
  <c r="BN13" i="7" s="1"/>
  <c r="BP13" i="7" s="1"/>
  <c r="CF12" i="7"/>
  <c r="CG12" i="7" s="1"/>
  <c r="BN12" i="7"/>
  <c r="BE12" i="7"/>
  <c r="BA12" i="7"/>
  <c r="BZ12" i="7" s="1"/>
  <c r="CA12" i="7" s="1"/>
  <c r="CB12" i="7" s="1"/>
  <c r="CC12" i="7" s="1"/>
  <c r="CD12" i="7" s="1"/>
  <c r="AG12" i="7"/>
  <c r="Y12" i="7"/>
  <c r="U12" i="7"/>
  <c r="P12" i="7"/>
  <c r="Q12" i="7" s="1"/>
  <c r="K12" i="7"/>
  <c r="BZ11" i="7"/>
  <c r="CA11" i="7" s="1"/>
  <c r="CB11" i="7" s="1"/>
  <c r="CC11" i="7" s="1"/>
  <c r="CD11" i="7" s="1"/>
  <c r="BS11" i="7"/>
  <c r="BT11" i="7" s="1"/>
  <c r="BU11" i="7" s="1"/>
  <c r="BQ11" i="7"/>
  <c r="BR11" i="7" s="1"/>
  <c r="BO11" i="7"/>
  <c r="BH11" i="7"/>
  <c r="BI11" i="7" s="1"/>
  <c r="BJ11" i="7" s="1"/>
  <c r="BK11" i="7" s="1"/>
  <c r="BL11" i="7" s="1"/>
  <c r="BB11" i="7"/>
  <c r="BA11" i="7"/>
  <c r="CF11" i="7" s="1"/>
  <c r="AG11" i="7"/>
  <c r="U11" i="7"/>
  <c r="K11" i="7"/>
  <c r="BN11" i="7" s="1"/>
  <c r="BP11" i="7" s="1"/>
  <c r="BZ10" i="7"/>
  <c r="CA10" i="7" s="1"/>
  <c r="CB10" i="7" s="1"/>
  <c r="CC10" i="7" s="1"/>
  <c r="CD10" i="7" s="1"/>
  <c r="BQ10" i="7"/>
  <c r="BR10" i="7" s="1"/>
  <c r="BS10" i="7" s="1"/>
  <c r="BT10" i="7" s="1"/>
  <c r="BU10" i="7" s="1"/>
  <c r="BH10" i="7"/>
  <c r="BI10" i="7" s="1"/>
  <c r="BJ10" i="7" s="1"/>
  <c r="BK10" i="7" s="1"/>
  <c r="BL10" i="7" s="1"/>
  <c r="BB10" i="7"/>
  <c r="BA10" i="7"/>
  <c r="CF10" i="7" s="1"/>
  <c r="AG10" i="7"/>
  <c r="U10" i="7"/>
  <c r="K10" i="7"/>
  <c r="BN10" i="7" s="1"/>
  <c r="CA9" i="7"/>
  <c r="CB9" i="7" s="1"/>
  <c r="CC9" i="7" s="1"/>
  <c r="CD9" i="7" s="1"/>
  <c r="BN9" i="7"/>
  <c r="BE9" i="7"/>
  <c r="BA9" i="7"/>
  <c r="BZ9" i="7" s="1"/>
  <c r="AG9" i="7"/>
  <c r="U9" i="7"/>
  <c r="K9" i="7"/>
  <c r="BZ8" i="7"/>
  <c r="CA8" i="7" s="1"/>
  <c r="CB8" i="7" s="1"/>
  <c r="CC8" i="7" s="1"/>
  <c r="CD8" i="7" s="1"/>
  <c r="BS8" i="7"/>
  <c r="BT8" i="7" s="1"/>
  <c r="BU8" i="7" s="1"/>
  <c r="BQ8" i="7"/>
  <c r="BR8" i="7" s="1"/>
  <c r="BO8" i="7"/>
  <c r="BH8" i="7"/>
  <c r="BI8" i="7" s="1"/>
  <c r="BJ8" i="7" s="1"/>
  <c r="BK8" i="7" s="1"/>
  <c r="BL8" i="7" s="1"/>
  <c r="BB8" i="7"/>
  <c r="BA8" i="7"/>
  <c r="AG8" i="7"/>
  <c r="U8" i="7"/>
  <c r="K8" i="7"/>
  <c r="BN8" i="7" s="1"/>
  <c r="BP8" i="7" s="1"/>
  <c r="CF7" i="7"/>
  <c r="CG7" i="7" s="1"/>
  <c r="BN7" i="7"/>
  <c r="BE7" i="7"/>
  <c r="BA7" i="7"/>
  <c r="BZ7" i="7" s="1"/>
  <c r="CA7" i="7" s="1"/>
  <c r="CB7" i="7" s="1"/>
  <c r="CC7" i="7" s="1"/>
  <c r="CD7" i="7" s="1"/>
  <c r="AG7" i="7"/>
  <c r="Y7" i="7"/>
  <c r="U7" i="7"/>
  <c r="Q7" i="7"/>
  <c r="P7" i="7"/>
  <c r="K7" i="7"/>
  <c r="CF6" i="7"/>
  <c r="CD6" i="7"/>
  <c r="BZ6" i="7"/>
  <c r="CA6" i="7" s="1"/>
  <c r="CB6" i="7" s="1"/>
  <c r="CC6" i="7" s="1"/>
  <c r="BU6" i="7"/>
  <c r="BQ6" i="7"/>
  <c r="BR6" i="7" s="1"/>
  <c r="BS6" i="7" s="1"/>
  <c r="BT6" i="7" s="1"/>
  <c r="BL6" i="7"/>
  <c r="BH6" i="7"/>
  <c r="BI6" i="7" s="1"/>
  <c r="BJ6" i="7" s="1"/>
  <c r="BK6" i="7" s="1"/>
  <c r="BA6" i="7"/>
  <c r="BB6" i="7" s="1"/>
  <c r="AG6" i="7"/>
  <c r="Y6" i="7"/>
  <c r="U6" i="7"/>
  <c r="P6" i="7"/>
  <c r="Q6" i="7" s="1"/>
  <c r="K6" i="7"/>
  <c r="BN6" i="7" s="1"/>
  <c r="CF5" i="7"/>
  <c r="BN5" i="7"/>
  <c r="BE5" i="7"/>
  <c r="BA5" i="7"/>
  <c r="AG5" i="7"/>
  <c r="Y5" i="7"/>
  <c r="U5" i="7"/>
  <c r="P5" i="7"/>
  <c r="Q5" i="7" s="1"/>
  <c r="K5" i="7"/>
  <c r="CF4" i="7"/>
  <c r="BN4" i="7"/>
  <c r="BE4" i="7"/>
  <c r="BA4" i="7"/>
  <c r="AG4" i="7"/>
  <c r="Y4" i="7"/>
  <c r="U4" i="7"/>
  <c r="P4" i="7"/>
  <c r="Q4" i="7" s="1"/>
  <c r="K4" i="7"/>
  <c r="BN3" i="7"/>
  <c r="AY69" i="6"/>
  <c r="AV69" i="6"/>
  <c r="AU69" i="6"/>
  <c r="AT69" i="6"/>
  <c r="AF69" i="6"/>
  <c r="T69" i="6"/>
  <c r="AY65" i="6"/>
  <c r="AY64" i="6"/>
  <c r="BI63" i="6"/>
  <c r="BJ63" i="6" s="1"/>
  <c r="BK63" i="6" s="1"/>
  <c r="BL63" i="6" s="1"/>
  <c r="BH63" i="6"/>
  <c r="AP62" i="6"/>
  <c r="AH62" i="6"/>
  <c r="AC62" i="6"/>
  <c r="V62" i="6"/>
  <c r="AQ62" i="6" s="1"/>
  <c r="M62" i="6"/>
  <c r="F62" i="6"/>
  <c r="AY61" i="6"/>
  <c r="AV61" i="6"/>
  <c r="AU61" i="6"/>
  <c r="AT61" i="6"/>
  <c r="AP61" i="6"/>
  <c r="AY60" i="6"/>
  <c r="AV60" i="6"/>
  <c r="AV64" i="6" s="1"/>
  <c r="AU60" i="6"/>
  <c r="AT60" i="6"/>
  <c r="AU64" i="6" s="1"/>
  <c r="AF60" i="6"/>
  <c r="X60" i="6"/>
  <c r="T60" i="6"/>
  <c r="O60" i="6"/>
  <c r="BH57" i="6"/>
  <c r="BI57" i="6" s="1"/>
  <c r="BJ57" i="6" s="1"/>
  <c r="BK57" i="6" s="1"/>
  <c r="BL57" i="6" s="1"/>
  <c r="BA57" i="6"/>
  <c r="AG57" i="6"/>
  <c r="Y57" i="6"/>
  <c r="U57" i="6"/>
  <c r="P57" i="6"/>
  <c r="K57" i="6"/>
  <c r="BE57" i="6" s="1"/>
  <c r="BG57" i="6" s="1"/>
  <c r="CG56" i="6"/>
  <c r="CF56" i="6"/>
  <c r="CD56" i="6"/>
  <c r="BZ56" i="6"/>
  <c r="CA56" i="6" s="1"/>
  <c r="CB56" i="6" s="1"/>
  <c r="CC56" i="6" s="1"/>
  <c r="BQ56" i="6"/>
  <c r="BL56" i="6"/>
  <c r="BH56" i="6"/>
  <c r="BI56" i="6" s="1"/>
  <c r="BJ56" i="6" s="1"/>
  <c r="BK56" i="6" s="1"/>
  <c r="BA56" i="6"/>
  <c r="AG56" i="6"/>
  <c r="Y56" i="6"/>
  <c r="U56" i="6"/>
  <c r="P56" i="6"/>
  <c r="K56" i="6"/>
  <c r="CF55" i="6"/>
  <c r="BN55" i="6"/>
  <c r="BE55" i="6"/>
  <c r="BA55" i="6"/>
  <c r="BZ55" i="6" s="1"/>
  <c r="CA55" i="6" s="1"/>
  <c r="CB55" i="6" s="1"/>
  <c r="CC55" i="6" s="1"/>
  <c r="CD55" i="6" s="1"/>
  <c r="AG55" i="6"/>
  <c r="U55" i="6"/>
  <c r="K55" i="6"/>
  <c r="CG54" i="6"/>
  <c r="CF54" i="6"/>
  <c r="BQ54" i="6"/>
  <c r="BA54" i="6"/>
  <c r="AG54" i="6"/>
  <c r="Y54" i="6"/>
  <c r="U54" i="6"/>
  <c r="P54" i="6"/>
  <c r="K54" i="6"/>
  <c r="BB54" i="6" s="1"/>
  <c r="CG53" i="6"/>
  <c r="CF53" i="6"/>
  <c r="BZ53" i="6"/>
  <c r="CA53" i="6" s="1"/>
  <c r="CB53" i="6" s="1"/>
  <c r="CC53" i="6" s="1"/>
  <c r="CD53" i="6" s="1"/>
  <c r="BQ53" i="6"/>
  <c r="BR53" i="6" s="1"/>
  <c r="BS53" i="6" s="1"/>
  <c r="BT53" i="6" s="1"/>
  <c r="BU53" i="6" s="1"/>
  <c r="BH53" i="6"/>
  <c r="BI53" i="6" s="1"/>
  <c r="BJ53" i="6" s="1"/>
  <c r="BK53" i="6" s="1"/>
  <c r="BL53" i="6" s="1"/>
  <c r="BB53" i="6"/>
  <c r="BA53" i="6"/>
  <c r="AG53" i="6"/>
  <c r="Y53" i="6"/>
  <c r="U53" i="6"/>
  <c r="P53" i="6"/>
  <c r="K53" i="6"/>
  <c r="CG52" i="6"/>
  <c r="CF52" i="6"/>
  <c r="CB52" i="6"/>
  <c r="CC52" i="6" s="1"/>
  <c r="CD52" i="6" s="1"/>
  <c r="BZ52" i="6"/>
  <c r="CA52" i="6" s="1"/>
  <c r="BS52" i="6"/>
  <c r="BT52" i="6" s="1"/>
  <c r="BU52" i="6" s="1"/>
  <c r="BQ52" i="6"/>
  <c r="BR52" i="6" s="1"/>
  <c r="BJ52" i="6"/>
  <c r="BK52" i="6" s="1"/>
  <c r="BL52" i="6" s="1"/>
  <c r="BH52" i="6"/>
  <c r="BI52" i="6" s="1"/>
  <c r="BA52" i="6"/>
  <c r="AG52" i="6"/>
  <c r="Y52" i="6"/>
  <c r="U52" i="6"/>
  <c r="P52" i="6"/>
  <c r="K52" i="6"/>
  <c r="CG51" i="6"/>
  <c r="CF51" i="6"/>
  <c r="BZ51" i="6"/>
  <c r="CA51" i="6" s="1"/>
  <c r="CB51" i="6" s="1"/>
  <c r="CC51" i="6" s="1"/>
  <c r="CD51" i="6" s="1"/>
  <c r="BQ51" i="6"/>
  <c r="BR51" i="6" s="1"/>
  <c r="BS51" i="6" s="1"/>
  <c r="BT51" i="6" s="1"/>
  <c r="BU51" i="6" s="1"/>
  <c r="BH51" i="6"/>
  <c r="BI51" i="6" s="1"/>
  <c r="BJ51" i="6" s="1"/>
  <c r="BK51" i="6" s="1"/>
  <c r="BL51" i="6" s="1"/>
  <c r="BA51" i="6"/>
  <c r="BB51" i="6" s="1"/>
  <c r="AG51" i="6"/>
  <c r="Y51" i="6"/>
  <c r="U51" i="6"/>
  <c r="P51" i="6"/>
  <c r="K51" i="6"/>
  <c r="BN51" i="6" s="1"/>
  <c r="BP50" i="6"/>
  <c r="BN50" i="6"/>
  <c r="BO50" i="6" s="1"/>
  <c r="BG50" i="6"/>
  <c r="BE50" i="6"/>
  <c r="BF50" i="6" s="1"/>
  <c r="BB50" i="6"/>
  <c r="BA50" i="6"/>
  <c r="BZ50" i="6" s="1"/>
  <c r="CA50" i="6" s="1"/>
  <c r="CB50" i="6" s="1"/>
  <c r="CC50" i="6" s="1"/>
  <c r="CD50" i="6" s="1"/>
  <c r="AG50" i="6"/>
  <c r="U50" i="6"/>
  <c r="K50" i="6"/>
  <c r="CF49" i="6"/>
  <c r="CG49" i="6" s="1"/>
  <c r="BN49" i="6"/>
  <c r="BO49" i="6" s="1"/>
  <c r="BE49" i="6"/>
  <c r="BF49" i="6" s="1"/>
  <c r="BA49" i="6"/>
  <c r="AG49" i="6"/>
  <c r="Y49" i="6"/>
  <c r="U49" i="6"/>
  <c r="P49" i="6"/>
  <c r="K49" i="6"/>
  <c r="BZ48" i="6"/>
  <c r="CA48" i="6" s="1"/>
  <c r="CB48" i="6" s="1"/>
  <c r="CC48" i="6" s="1"/>
  <c r="CD48" i="6" s="1"/>
  <c r="BJ48" i="6"/>
  <c r="BK48" i="6" s="1"/>
  <c r="BL48" i="6" s="1"/>
  <c r="BH48" i="6"/>
  <c r="BI48" i="6" s="1"/>
  <c r="BA48" i="6"/>
  <c r="BQ48" i="6" s="1"/>
  <c r="BR48" i="6" s="1"/>
  <c r="BS48" i="6" s="1"/>
  <c r="BT48" i="6" s="1"/>
  <c r="BU48" i="6" s="1"/>
  <c r="AG48" i="6"/>
  <c r="U48" i="6"/>
  <c r="K48" i="6"/>
  <c r="CB47" i="6"/>
  <c r="CC47" i="6" s="1"/>
  <c r="CD47" i="6" s="1"/>
  <c r="BZ47" i="6"/>
  <c r="CA47" i="6" s="1"/>
  <c r="BX47" i="6"/>
  <c r="BA47" i="6"/>
  <c r="AG47" i="6"/>
  <c r="U47" i="6"/>
  <c r="K47" i="6"/>
  <c r="CG46" i="6"/>
  <c r="CF46" i="6"/>
  <c r="BZ46" i="6"/>
  <c r="CA46" i="6" s="1"/>
  <c r="CB46" i="6" s="1"/>
  <c r="CC46" i="6" s="1"/>
  <c r="CD46" i="6" s="1"/>
  <c r="BQ46" i="6"/>
  <c r="BR46" i="6" s="1"/>
  <c r="BS46" i="6" s="1"/>
  <c r="BT46" i="6" s="1"/>
  <c r="BU46" i="6" s="1"/>
  <c r="BH46" i="6"/>
  <c r="BI46" i="6" s="1"/>
  <c r="BJ46" i="6" s="1"/>
  <c r="BK46" i="6" s="1"/>
  <c r="BL46" i="6" s="1"/>
  <c r="BB46" i="6"/>
  <c r="BA46" i="6"/>
  <c r="AG46" i="6"/>
  <c r="Y46" i="6"/>
  <c r="U46" i="6"/>
  <c r="P46" i="6"/>
  <c r="K46" i="6"/>
  <c r="BP45" i="6"/>
  <c r="BN45" i="6"/>
  <c r="BG45" i="6"/>
  <c r="BE45" i="6"/>
  <c r="BA45" i="6"/>
  <c r="AG45" i="6"/>
  <c r="U45" i="6"/>
  <c r="K45" i="6"/>
  <c r="CG44" i="6"/>
  <c r="CF44" i="6"/>
  <c r="BQ44" i="6"/>
  <c r="BA44" i="6"/>
  <c r="AG44" i="6"/>
  <c r="Y44" i="6"/>
  <c r="U44" i="6"/>
  <c r="P44" i="6"/>
  <c r="K44" i="6"/>
  <c r="BB44" i="6" s="1"/>
  <c r="CG43" i="6"/>
  <c r="CF43" i="6"/>
  <c r="BZ43" i="6"/>
  <c r="CA43" i="6" s="1"/>
  <c r="CB43" i="6" s="1"/>
  <c r="CC43" i="6" s="1"/>
  <c r="CD43" i="6" s="1"/>
  <c r="BQ43" i="6"/>
  <c r="BR43" i="6" s="1"/>
  <c r="BS43" i="6" s="1"/>
  <c r="BT43" i="6" s="1"/>
  <c r="BU43" i="6" s="1"/>
  <c r="BB43" i="6"/>
  <c r="BA43" i="6"/>
  <c r="AG43" i="6"/>
  <c r="Y43" i="6"/>
  <c r="U43" i="6"/>
  <c r="P43" i="6"/>
  <c r="K43" i="6"/>
  <c r="CG42" i="6"/>
  <c r="CF42" i="6"/>
  <c r="CB42" i="6"/>
  <c r="CC42" i="6" s="1"/>
  <c r="CD42" i="6" s="1"/>
  <c r="BZ42" i="6"/>
  <c r="CA42" i="6" s="1"/>
  <c r="BS42" i="6"/>
  <c r="BT42" i="6" s="1"/>
  <c r="BU42" i="6" s="1"/>
  <c r="BQ42" i="6"/>
  <c r="BR42" i="6" s="1"/>
  <c r="BJ42" i="6"/>
  <c r="BK42" i="6" s="1"/>
  <c r="BL42" i="6" s="1"/>
  <c r="BH42" i="6"/>
  <c r="BI42" i="6" s="1"/>
  <c r="BA42" i="6"/>
  <c r="AG42" i="6"/>
  <c r="Y42" i="6"/>
  <c r="U42" i="6"/>
  <c r="P42" i="6"/>
  <c r="K42" i="6"/>
  <c r="CG41" i="6"/>
  <c r="CF41" i="6"/>
  <c r="CD41" i="6"/>
  <c r="BZ41" i="6"/>
  <c r="CA41" i="6" s="1"/>
  <c r="CB41" i="6" s="1"/>
  <c r="CC41" i="6" s="1"/>
  <c r="BU41" i="6"/>
  <c r="BQ41" i="6"/>
  <c r="BR41" i="6" s="1"/>
  <c r="BS41" i="6" s="1"/>
  <c r="BT41" i="6" s="1"/>
  <c r="BL41" i="6"/>
  <c r="BH41" i="6"/>
  <c r="BI41" i="6" s="1"/>
  <c r="BJ41" i="6" s="1"/>
  <c r="BK41" i="6" s="1"/>
  <c r="BB41" i="6"/>
  <c r="BA41" i="6"/>
  <c r="AG41" i="6"/>
  <c r="Y41" i="6"/>
  <c r="U41" i="6"/>
  <c r="P41" i="6"/>
  <c r="K41" i="6"/>
  <c r="BA40" i="6"/>
  <c r="AG40" i="6"/>
  <c r="U40" i="6"/>
  <c r="K40" i="6"/>
  <c r="BN39" i="6"/>
  <c r="BE39" i="6"/>
  <c r="BA39" i="6"/>
  <c r="CF39" i="6" s="1"/>
  <c r="AG39" i="6"/>
  <c r="U39" i="6"/>
  <c r="K39" i="6"/>
  <c r="CG38" i="6"/>
  <c r="CF38" i="6"/>
  <c r="BZ38" i="6"/>
  <c r="CA38" i="6" s="1"/>
  <c r="CB38" i="6" s="1"/>
  <c r="CC38" i="6" s="1"/>
  <c r="CD38" i="6" s="1"/>
  <c r="BQ38" i="6"/>
  <c r="BH38" i="6"/>
  <c r="BI38" i="6" s="1"/>
  <c r="BJ38" i="6" s="1"/>
  <c r="BK38" i="6" s="1"/>
  <c r="BL38" i="6" s="1"/>
  <c r="BB38" i="6"/>
  <c r="BA38" i="6"/>
  <c r="AG38" i="6"/>
  <c r="Y38" i="6"/>
  <c r="U38" i="6"/>
  <c r="P38" i="6"/>
  <c r="K38" i="6"/>
  <c r="CG37" i="6"/>
  <c r="CF37" i="6"/>
  <c r="CB37" i="6"/>
  <c r="CC37" i="6" s="1"/>
  <c r="CD37" i="6" s="1"/>
  <c r="BZ37" i="6"/>
  <c r="CA37" i="6" s="1"/>
  <c r="BQ37" i="6"/>
  <c r="BR37" i="6" s="1"/>
  <c r="BS37" i="6" s="1"/>
  <c r="BT37" i="6" s="1"/>
  <c r="BU37" i="6" s="1"/>
  <c r="BJ37" i="6"/>
  <c r="BK37" i="6" s="1"/>
  <c r="BL37" i="6" s="1"/>
  <c r="BH37" i="6"/>
  <c r="BI37" i="6" s="1"/>
  <c r="BA37" i="6"/>
  <c r="AG37" i="6"/>
  <c r="Y37" i="6"/>
  <c r="U37" i="6"/>
  <c r="P37" i="6"/>
  <c r="K37" i="6"/>
  <c r="BN37" i="6" s="1"/>
  <c r="BP37" i="6" s="1"/>
  <c r="CG36" i="6"/>
  <c r="CF36" i="6"/>
  <c r="BZ36" i="6"/>
  <c r="CA36" i="6" s="1"/>
  <c r="CB36" i="6" s="1"/>
  <c r="CC36" i="6" s="1"/>
  <c r="CD36" i="6" s="1"/>
  <c r="BQ36" i="6"/>
  <c r="BR36" i="6" s="1"/>
  <c r="BS36" i="6" s="1"/>
  <c r="BT36" i="6" s="1"/>
  <c r="BU36" i="6" s="1"/>
  <c r="BH36" i="6"/>
  <c r="BI36" i="6" s="1"/>
  <c r="BJ36" i="6" s="1"/>
  <c r="BK36" i="6" s="1"/>
  <c r="BL36" i="6" s="1"/>
  <c r="BA36" i="6"/>
  <c r="AG36" i="6"/>
  <c r="Y36" i="6"/>
  <c r="U36" i="6"/>
  <c r="P36" i="6"/>
  <c r="K36" i="6"/>
  <c r="BB36" i="6" s="1"/>
  <c r="CG35" i="6"/>
  <c r="CF35" i="6"/>
  <c r="CB35" i="6"/>
  <c r="CC35" i="6" s="1"/>
  <c r="CD35" i="6" s="1"/>
  <c r="BZ35" i="6"/>
  <c r="CA35" i="6" s="1"/>
  <c r="BQ35" i="6"/>
  <c r="BR35" i="6" s="1"/>
  <c r="BS35" i="6" s="1"/>
  <c r="BT35" i="6" s="1"/>
  <c r="BU35" i="6" s="1"/>
  <c r="BO35" i="6"/>
  <c r="BJ35" i="6"/>
  <c r="BK35" i="6" s="1"/>
  <c r="BL35" i="6" s="1"/>
  <c r="BH35" i="6"/>
  <c r="BI35" i="6" s="1"/>
  <c r="BA35" i="6"/>
  <c r="AG35" i="6"/>
  <c r="Y35" i="6"/>
  <c r="U35" i="6"/>
  <c r="P35" i="6"/>
  <c r="K35" i="6"/>
  <c r="BN35" i="6" s="1"/>
  <c r="BP35" i="6" s="1"/>
  <c r="CF34" i="6"/>
  <c r="CD34" i="6"/>
  <c r="BZ34" i="6"/>
  <c r="CA34" i="6" s="1"/>
  <c r="CB34" i="6" s="1"/>
  <c r="CC34" i="6" s="1"/>
  <c r="BU34" i="6"/>
  <c r="BQ34" i="6"/>
  <c r="BR34" i="6" s="1"/>
  <c r="BS34" i="6" s="1"/>
  <c r="BT34" i="6" s="1"/>
  <c r="BL34" i="6"/>
  <c r="BH34" i="6"/>
  <c r="BI34" i="6" s="1"/>
  <c r="BJ34" i="6" s="1"/>
  <c r="BK34" i="6" s="1"/>
  <c r="BA34" i="6"/>
  <c r="BB34" i="6" s="1"/>
  <c r="AG34" i="6"/>
  <c r="Y34" i="6"/>
  <c r="U34" i="6"/>
  <c r="P34" i="6"/>
  <c r="K34" i="6"/>
  <c r="BN34" i="6" s="1"/>
  <c r="CF33" i="6"/>
  <c r="BN33" i="6"/>
  <c r="BE33" i="6"/>
  <c r="BA33" i="6"/>
  <c r="AG33" i="6"/>
  <c r="Y33" i="6"/>
  <c r="U33" i="6"/>
  <c r="P33" i="6"/>
  <c r="K33" i="6"/>
  <c r="BP32" i="6"/>
  <c r="BN32" i="6"/>
  <c r="BO32" i="6" s="1"/>
  <c r="BH32" i="6"/>
  <c r="BG32" i="6"/>
  <c r="BE32" i="6"/>
  <c r="BF32" i="6" s="1"/>
  <c r="BB32" i="6"/>
  <c r="BC32" i="6" s="1"/>
  <c r="BA32" i="6"/>
  <c r="BZ32" i="6" s="1"/>
  <c r="AG32" i="6"/>
  <c r="U32" i="6"/>
  <c r="K32" i="6"/>
  <c r="CB31" i="6"/>
  <c r="CC31" i="6" s="1"/>
  <c r="CD31" i="6" s="1"/>
  <c r="BZ31" i="6"/>
  <c r="CA31" i="6" s="1"/>
  <c r="BT31" i="6"/>
  <c r="BU31" i="6" s="1"/>
  <c r="BR31" i="6"/>
  <c r="BS31" i="6" s="1"/>
  <c r="BQ31" i="6"/>
  <c r="BH31" i="6"/>
  <c r="BI31" i="6" s="1"/>
  <c r="BJ31" i="6" s="1"/>
  <c r="BK31" i="6" s="1"/>
  <c r="BL31" i="6" s="1"/>
  <c r="BA31" i="6"/>
  <c r="CF31" i="6" s="1"/>
  <c r="AG31" i="6"/>
  <c r="U31" i="6"/>
  <c r="K31" i="6"/>
  <c r="CF30" i="6"/>
  <c r="CG30" i="6" s="1"/>
  <c r="BP30" i="6"/>
  <c r="BN30" i="6"/>
  <c r="BE30" i="6"/>
  <c r="BF30" i="6" s="1"/>
  <c r="BA30" i="6"/>
  <c r="BG30" i="6" s="1"/>
  <c r="AG30" i="6"/>
  <c r="Y30" i="6"/>
  <c r="U30" i="6"/>
  <c r="P30" i="6"/>
  <c r="K30" i="6"/>
  <c r="CD29" i="6"/>
  <c r="BZ29" i="6"/>
  <c r="CA29" i="6" s="1"/>
  <c r="CB29" i="6" s="1"/>
  <c r="CC29" i="6" s="1"/>
  <c r="BU29" i="6"/>
  <c r="BQ29" i="6"/>
  <c r="BR29" i="6" s="1"/>
  <c r="BS29" i="6" s="1"/>
  <c r="BT29" i="6" s="1"/>
  <c r="BL29" i="6"/>
  <c r="BH29" i="6"/>
  <c r="BI29" i="6" s="1"/>
  <c r="BJ29" i="6" s="1"/>
  <c r="BK29" i="6" s="1"/>
  <c r="BB29" i="6"/>
  <c r="BA29" i="6"/>
  <c r="CF29" i="6" s="1"/>
  <c r="AG29" i="6"/>
  <c r="U29" i="6"/>
  <c r="K29" i="6"/>
  <c r="BN29" i="6" s="1"/>
  <c r="CF28" i="6"/>
  <c r="CG28" i="6" s="1"/>
  <c r="BP28" i="6"/>
  <c r="BN28" i="6"/>
  <c r="BG28" i="6"/>
  <c r="BE28" i="6"/>
  <c r="BF28" i="6" s="1"/>
  <c r="BA28" i="6"/>
  <c r="AG28" i="6"/>
  <c r="Y28" i="6"/>
  <c r="U28" i="6"/>
  <c r="P28" i="6"/>
  <c r="K28" i="6"/>
  <c r="CD27" i="6"/>
  <c r="BZ27" i="6"/>
  <c r="CA27" i="6" s="1"/>
  <c r="CB27" i="6" s="1"/>
  <c r="CC27" i="6" s="1"/>
  <c r="BQ27" i="6"/>
  <c r="BL27" i="6"/>
  <c r="BH27" i="6"/>
  <c r="BI27" i="6" s="1"/>
  <c r="BJ27" i="6" s="1"/>
  <c r="BK27" i="6" s="1"/>
  <c r="BB27" i="6"/>
  <c r="BA27" i="6"/>
  <c r="CF27" i="6" s="1"/>
  <c r="AG27" i="6"/>
  <c r="U27" i="6"/>
  <c r="K27" i="6"/>
  <c r="BN27" i="6" s="1"/>
  <c r="CB26" i="6"/>
  <c r="CC26" i="6" s="1"/>
  <c r="CD26" i="6" s="1"/>
  <c r="BZ26" i="6"/>
  <c r="CA26" i="6" s="1"/>
  <c r="BQ26" i="6"/>
  <c r="BR26" i="6" s="1"/>
  <c r="BS26" i="6" s="1"/>
  <c r="BT26" i="6" s="1"/>
  <c r="BU26" i="6" s="1"/>
  <c r="BJ26" i="6"/>
  <c r="BK26" i="6" s="1"/>
  <c r="BL26" i="6" s="1"/>
  <c r="BH26" i="6"/>
  <c r="BI26" i="6" s="1"/>
  <c r="BB26" i="6"/>
  <c r="BA26" i="6"/>
  <c r="CF26" i="6" s="1"/>
  <c r="AG26" i="6"/>
  <c r="U26" i="6"/>
  <c r="K26" i="6"/>
  <c r="BN26" i="6" s="1"/>
  <c r="BP26" i="6" s="1"/>
  <c r="CF25" i="6"/>
  <c r="CG25" i="6" s="1"/>
  <c r="BN25" i="6"/>
  <c r="BE25" i="6"/>
  <c r="BA25" i="6"/>
  <c r="BZ25" i="6" s="1"/>
  <c r="CA25" i="6" s="1"/>
  <c r="CB25" i="6" s="1"/>
  <c r="CC25" i="6" s="1"/>
  <c r="CD25" i="6" s="1"/>
  <c r="AG25" i="6"/>
  <c r="Y25" i="6"/>
  <c r="U25" i="6"/>
  <c r="P25" i="6"/>
  <c r="K25" i="6"/>
  <c r="BZ24" i="6"/>
  <c r="CA24" i="6" s="1"/>
  <c r="CB24" i="6" s="1"/>
  <c r="CC24" i="6" s="1"/>
  <c r="CD24" i="6" s="1"/>
  <c r="BS24" i="6"/>
  <c r="BT24" i="6" s="1"/>
  <c r="BU24" i="6" s="1"/>
  <c r="BQ24" i="6"/>
  <c r="BR24" i="6" s="1"/>
  <c r="BO24" i="6"/>
  <c r="BH24" i="6"/>
  <c r="BI24" i="6" s="1"/>
  <c r="BJ24" i="6" s="1"/>
  <c r="BK24" i="6" s="1"/>
  <c r="BL24" i="6" s="1"/>
  <c r="BB24" i="6"/>
  <c r="BA24" i="6"/>
  <c r="CF24" i="6" s="1"/>
  <c r="AG24" i="6"/>
  <c r="U24" i="6"/>
  <c r="K24" i="6"/>
  <c r="BN24" i="6" s="1"/>
  <c r="BP24" i="6" s="1"/>
  <c r="CF23" i="6"/>
  <c r="CG23" i="6" s="1"/>
  <c r="BN23" i="6"/>
  <c r="BE23" i="6"/>
  <c r="BA23" i="6"/>
  <c r="BZ23" i="6" s="1"/>
  <c r="CA23" i="6" s="1"/>
  <c r="CB23" i="6" s="1"/>
  <c r="CC23" i="6" s="1"/>
  <c r="CD23" i="6" s="1"/>
  <c r="AG23" i="6"/>
  <c r="Y23" i="6"/>
  <c r="U23" i="6"/>
  <c r="P23" i="6"/>
  <c r="K23" i="6"/>
  <c r="CB22" i="6"/>
  <c r="CC22" i="6" s="1"/>
  <c r="CD22" i="6" s="1"/>
  <c r="BZ22" i="6"/>
  <c r="CA22" i="6" s="1"/>
  <c r="BQ22" i="6"/>
  <c r="BR22" i="6" s="1"/>
  <c r="BS22" i="6" s="1"/>
  <c r="BT22" i="6" s="1"/>
  <c r="BU22" i="6" s="1"/>
  <c r="BJ22" i="6"/>
  <c r="BK22" i="6" s="1"/>
  <c r="BL22" i="6" s="1"/>
  <c r="BH22" i="6"/>
  <c r="BI22" i="6" s="1"/>
  <c r="BB22" i="6"/>
  <c r="BA22" i="6"/>
  <c r="CF22" i="6" s="1"/>
  <c r="AG22" i="6"/>
  <c r="U22" i="6"/>
  <c r="K22" i="6"/>
  <c r="BN22" i="6" s="1"/>
  <c r="BP22" i="6" s="1"/>
  <c r="CF21" i="6"/>
  <c r="CG21" i="6" s="1"/>
  <c r="CA21" i="6"/>
  <c r="CB21" i="6" s="1"/>
  <c r="CC21" i="6" s="1"/>
  <c r="CD21" i="6" s="1"/>
  <c r="BN21" i="6"/>
  <c r="BE21" i="6"/>
  <c r="BA21" i="6"/>
  <c r="BZ21" i="6" s="1"/>
  <c r="AG21" i="6"/>
  <c r="Y21" i="6"/>
  <c r="U21" i="6"/>
  <c r="P21" i="6"/>
  <c r="K21" i="6"/>
  <c r="CF20" i="6"/>
  <c r="CG20" i="6" s="1"/>
  <c r="BP20" i="6"/>
  <c r="BN20" i="6"/>
  <c r="BO20" i="6" s="1"/>
  <c r="BG20" i="6"/>
  <c r="BE20" i="6"/>
  <c r="BF20" i="6" s="1"/>
  <c r="BC20" i="6"/>
  <c r="BA20" i="6"/>
  <c r="BB20" i="6" s="1"/>
  <c r="AG20" i="6"/>
  <c r="Y20" i="6"/>
  <c r="U20" i="6"/>
  <c r="K20" i="6"/>
  <c r="BO19" i="6"/>
  <c r="BA19" i="6"/>
  <c r="BP19" i="6" s="1"/>
  <c r="AG19" i="6"/>
  <c r="U19" i="6"/>
  <c r="K19" i="6"/>
  <c r="CF18" i="6"/>
  <c r="CG18" i="6" s="1"/>
  <c r="BB18" i="6"/>
  <c r="BA18" i="6"/>
  <c r="BZ18" i="6" s="1"/>
  <c r="CA18" i="6" s="1"/>
  <c r="CB18" i="6" s="1"/>
  <c r="CC18" i="6" s="1"/>
  <c r="CD18" i="6" s="1"/>
  <c r="AG18" i="6"/>
  <c r="Y18" i="6"/>
  <c r="U18" i="6"/>
  <c r="P18" i="6"/>
  <c r="K18" i="6"/>
  <c r="CG17" i="6"/>
  <c r="CF17" i="6"/>
  <c r="BO17" i="6"/>
  <c r="BH17" i="6"/>
  <c r="BA17" i="6"/>
  <c r="AG17" i="6"/>
  <c r="Y17" i="6"/>
  <c r="U17" i="6"/>
  <c r="P17" i="6"/>
  <c r="K17" i="6"/>
  <c r="BN17" i="6" s="1"/>
  <c r="CG16" i="6"/>
  <c r="CF16" i="6"/>
  <c r="CD16" i="6"/>
  <c r="BZ16" i="6"/>
  <c r="CA16" i="6" s="1"/>
  <c r="CB16" i="6" s="1"/>
  <c r="CC16" i="6" s="1"/>
  <c r="BU16" i="6"/>
  <c r="BQ16" i="6"/>
  <c r="BR16" i="6" s="1"/>
  <c r="BS16" i="6" s="1"/>
  <c r="BT16" i="6" s="1"/>
  <c r="BL16" i="6"/>
  <c r="BH16" i="6"/>
  <c r="BI16" i="6" s="1"/>
  <c r="BJ16" i="6" s="1"/>
  <c r="BK16" i="6" s="1"/>
  <c r="BB16" i="6"/>
  <c r="BA16" i="6"/>
  <c r="AG16" i="6"/>
  <c r="Y16" i="6"/>
  <c r="U16" i="6"/>
  <c r="P16" i="6"/>
  <c r="K16" i="6"/>
  <c r="CG15" i="6"/>
  <c r="CF15" i="6"/>
  <c r="CB15" i="6"/>
  <c r="CC15" i="6" s="1"/>
  <c r="CD15" i="6" s="1"/>
  <c r="BZ15" i="6"/>
  <c r="CA15" i="6" s="1"/>
  <c r="BS15" i="6"/>
  <c r="BT15" i="6" s="1"/>
  <c r="BU15" i="6" s="1"/>
  <c r="BQ15" i="6"/>
  <c r="BR15" i="6" s="1"/>
  <c r="BO15" i="6"/>
  <c r="BA15" i="6"/>
  <c r="AG15" i="6"/>
  <c r="Y15" i="6"/>
  <c r="U15" i="6"/>
  <c r="P15" i="6"/>
  <c r="K15" i="6"/>
  <c r="BN15" i="6" s="1"/>
  <c r="BP15" i="6" s="1"/>
  <c r="CG14" i="6"/>
  <c r="CF14" i="6"/>
  <c r="BZ14" i="6"/>
  <c r="CA14" i="6" s="1"/>
  <c r="CB14" i="6" s="1"/>
  <c r="CC14" i="6" s="1"/>
  <c r="CD14" i="6" s="1"/>
  <c r="BQ14" i="6"/>
  <c r="BH14" i="6"/>
  <c r="BI14" i="6" s="1"/>
  <c r="BJ14" i="6" s="1"/>
  <c r="BK14" i="6" s="1"/>
  <c r="BL14" i="6" s="1"/>
  <c r="BB14" i="6"/>
  <c r="BA14" i="6"/>
  <c r="AG14" i="6"/>
  <c r="Y14" i="6"/>
  <c r="U14" i="6"/>
  <c r="P14" i="6"/>
  <c r="K14" i="6"/>
  <c r="CF13" i="6"/>
  <c r="CA13" i="6"/>
  <c r="CB13" i="6" s="1"/>
  <c r="CC13" i="6" s="1"/>
  <c r="CD13" i="6" s="1"/>
  <c r="BN13" i="6"/>
  <c r="BE13" i="6"/>
  <c r="BA13" i="6"/>
  <c r="BZ13" i="6" s="1"/>
  <c r="AG13" i="6"/>
  <c r="U13" i="6"/>
  <c r="K13" i="6"/>
  <c r="CG12" i="6"/>
  <c r="CF12" i="6"/>
  <c r="BZ12" i="6"/>
  <c r="CA12" i="6" s="1"/>
  <c r="CB12" i="6" s="1"/>
  <c r="CC12" i="6" s="1"/>
  <c r="CD12" i="6" s="1"/>
  <c r="BQ12" i="6"/>
  <c r="BR12" i="6" s="1"/>
  <c r="BS12" i="6" s="1"/>
  <c r="BT12" i="6" s="1"/>
  <c r="BU12" i="6" s="1"/>
  <c r="BH12" i="6"/>
  <c r="BI12" i="6" s="1"/>
  <c r="BJ12" i="6" s="1"/>
  <c r="BK12" i="6" s="1"/>
  <c r="BL12" i="6" s="1"/>
  <c r="BA12" i="6"/>
  <c r="AG12" i="6"/>
  <c r="Y12" i="6"/>
  <c r="U12" i="6"/>
  <c r="P12" i="6"/>
  <c r="K12" i="6"/>
  <c r="BB12" i="6" s="1"/>
  <c r="CF11" i="6"/>
  <c r="BN11" i="6"/>
  <c r="BE11" i="6"/>
  <c r="BA11" i="6"/>
  <c r="BZ11" i="6" s="1"/>
  <c r="CA11" i="6" s="1"/>
  <c r="CB11" i="6" s="1"/>
  <c r="CC11" i="6" s="1"/>
  <c r="CD11" i="6" s="1"/>
  <c r="AG11" i="6"/>
  <c r="U11" i="6"/>
  <c r="K11" i="6"/>
  <c r="BA10" i="6"/>
  <c r="AG10" i="6"/>
  <c r="U10" i="6"/>
  <c r="K10" i="6"/>
  <c r="CD9" i="6"/>
  <c r="BZ9" i="6"/>
  <c r="CA9" i="6" s="1"/>
  <c r="CB9" i="6" s="1"/>
  <c r="CC9" i="6" s="1"/>
  <c r="BU9" i="6"/>
  <c r="BQ9" i="6"/>
  <c r="BR9" i="6" s="1"/>
  <c r="BS9" i="6" s="1"/>
  <c r="BT9" i="6" s="1"/>
  <c r="BL9" i="6"/>
  <c r="BH9" i="6"/>
  <c r="BI9" i="6" s="1"/>
  <c r="BJ9" i="6" s="1"/>
  <c r="BK9" i="6" s="1"/>
  <c r="BB9" i="6"/>
  <c r="BA9" i="6"/>
  <c r="AG9" i="6"/>
  <c r="U9" i="6"/>
  <c r="K9" i="6"/>
  <c r="BN9" i="6" s="1"/>
  <c r="BN8" i="6"/>
  <c r="BE8" i="6"/>
  <c r="BA8" i="6"/>
  <c r="BZ8" i="6" s="1"/>
  <c r="CA8" i="6" s="1"/>
  <c r="CB8" i="6" s="1"/>
  <c r="CC8" i="6" s="1"/>
  <c r="CD8" i="6" s="1"/>
  <c r="AG8" i="6"/>
  <c r="U8" i="6"/>
  <c r="K8" i="6"/>
  <c r="CF7" i="6"/>
  <c r="BZ7" i="6"/>
  <c r="CA7" i="6" s="1"/>
  <c r="CB7" i="6" s="1"/>
  <c r="CC7" i="6" s="1"/>
  <c r="CD7" i="6" s="1"/>
  <c r="BA7" i="6"/>
  <c r="BB7" i="6" s="1"/>
  <c r="AG7" i="6"/>
  <c r="Y7" i="6"/>
  <c r="U7" i="6"/>
  <c r="P7" i="6"/>
  <c r="K7" i="6"/>
  <c r="BN7" i="6" s="1"/>
  <c r="CF6" i="6"/>
  <c r="CG6" i="6" s="1"/>
  <c r="BI6" i="6"/>
  <c r="BJ6" i="6" s="1"/>
  <c r="BK6" i="6" s="1"/>
  <c r="BL6" i="6" s="1"/>
  <c r="BH6" i="6"/>
  <c r="BB6" i="6"/>
  <c r="BA6" i="6"/>
  <c r="BZ6" i="6" s="1"/>
  <c r="CA6" i="6" s="1"/>
  <c r="CB6" i="6" s="1"/>
  <c r="CC6" i="6" s="1"/>
  <c r="CD6" i="6" s="1"/>
  <c r="AG6" i="6"/>
  <c r="Y6" i="6"/>
  <c r="U6" i="6"/>
  <c r="P6" i="6"/>
  <c r="K6" i="6"/>
  <c r="CG5" i="6"/>
  <c r="CF5" i="6"/>
  <c r="CB5" i="6"/>
  <c r="CC5" i="6" s="1"/>
  <c r="CD5" i="6" s="1"/>
  <c r="BZ5" i="6"/>
  <c r="CA5" i="6" s="1"/>
  <c r="BQ5" i="6"/>
  <c r="BR5" i="6" s="1"/>
  <c r="BS5" i="6" s="1"/>
  <c r="BT5" i="6" s="1"/>
  <c r="BU5" i="6" s="1"/>
  <c r="BH5" i="6"/>
  <c r="BI5" i="6" s="1"/>
  <c r="BJ5" i="6" s="1"/>
  <c r="BK5" i="6" s="1"/>
  <c r="BL5" i="6" s="1"/>
  <c r="BA5" i="6"/>
  <c r="AG5" i="6"/>
  <c r="Y5" i="6"/>
  <c r="U5" i="6"/>
  <c r="P5" i="6"/>
  <c r="K5" i="6"/>
  <c r="BN5" i="6" s="1"/>
  <c r="BP5" i="6" s="1"/>
  <c r="CG4" i="6"/>
  <c r="CF4" i="6"/>
  <c r="BZ4" i="6"/>
  <c r="BQ4" i="6"/>
  <c r="BH4" i="6"/>
  <c r="BA4" i="6"/>
  <c r="AG4" i="6"/>
  <c r="Y4" i="6"/>
  <c r="U4" i="6"/>
  <c r="U60" i="6" s="1"/>
  <c r="P4" i="6"/>
  <c r="K4" i="6"/>
  <c r="BN3" i="6"/>
  <c r="AP2" i="6"/>
  <c r="G37" i="5"/>
  <c r="G38" i="5" s="1"/>
  <c r="G36" i="5"/>
  <c r="G35" i="5"/>
  <c r="E35" i="5"/>
  <c r="D35" i="5"/>
  <c r="C35" i="5"/>
  <c r="B35" i="5"/>
  <c r="G34" i="5"/>
  <c r="E34" i="5"/>
  <c r="D34" i="5"/>
  <c r="C34" i="5"/>
  <c r="B34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L71" i="4"/>
  <c r="K71" i="4"/>
  <c r="J71" i="4"/>
  <c r="C71" i="4"/>
  <c r="E56" i="4"/>
  <c r="U55" i="4"/>
  <c r="T55" i="4"/>
  <c r="N55" i="4"/>
  <c r="H55" i="4"/>
  <c r="U54" i="4"/>
  <c r="T54" i="4"/>
  <c r="N54" i="4"/>
  <c r="H54" i="4"/>
  <c r="U53" i="4"/>
  <c r="T53" i="4"/>
  <c r="U52" i="4"/>
  <c r="T52" i="4"/>
  <c r="N52" i="4"/>
  <c r="H52" i="4"/>
  <c r="U51" i="4"/>
  <c r="T51" i="4"/>
  <c r="N51" i="4"/>
  <c r="H51" i="4"/>
  <c r="U50" i="4"/>
  <c r="T50" i="4"/>
  <c r="N50" i="4"/>
  <c r="H50" i="4"/>
  <c r="U49" i="4"/>
  <c r="T49" i="4"/>
  <c r="N49" i="4"/>
  <c r="H49" i="4"/>
  <c r="U48" i="4"/>
  <c r="T48" i="4"/>
  <c r="U47" i="4"/>
  <c r="T47" i="4"/>
  <c r="N47" i="4"/>
  <c r="H47" i="4"/>
  <c r="G47" i="4"/>
  <c r="F47" i="4"/>
  <c r="E47" i="4"/>
  <c r="E71" i="4" s="1"/>
  <c r="D47" i="4"/>
  <c r="D56" i="4" s="1"/>
  <c r="C47" i="4"/>
  <c r="C56" i="4" s="1"/>
  <c r="U46" i="4"/>
  <c r="T46" i="4"/>
  <c r="U45" i="4"/>
  <c r="T45" i="4"/>
  <c r="U44" i="4"/>
  <c r="T44" i="4"/>
  <c r="N44" i="4"/>
  <c r="H44" i="4"/>
  <c r="U43" i="4"/>
  <c r="T43" i="4"/>
  <c r="U42" i="4"/>
  <c r="T42" i="4"/>
  <c r="N42" i="4"/>
  <c r="H42" i="4"/>
  <c r="U41" i="4"/>
  <c r="T41" i="4"/>
  <c r="N41" i="4"/>
  <c r="H41" i="4"/>
  <c r="U40" i="4"/>
  <c r="T40" i="4"/>
  <c r="N40" i="4"/>
  <c r="H40" i="4"/>
  <c r="U39" i="4"/>
  <c r="T39" i="4"/>
  <c r="N39" i="4"/>
  <c r="H39" i="4"/>
  <c r="U38" i="4"/>
  <c r="T38" i="4"/>
  <c r="U37" i="4"/>
  <c r="T37" i="4"/>
  <c r="U36" i="4"/>
  <c r="T36" i="4"/>
  <c r="N36" i="4"/>
  <c r="H36" i="4"/>
  <c r="U35" i="4"/>
  <c r="T35" i="4"/>
  <c r="N35" i="4"/>
  <c r="H35" i="4"/>
  <c r="U34" i="4"/>
  <c r="T34" i="4"/>
  <c r="N34" i="4"/>
  <c r="H34" i="4"/>
  <c r="U33" i="4"/>
  <c r="T33" i="4"/>
  <c r="N33" i="4"/>
  <c r="H33" i="4"/>
  <c r="U32" i="4"/>
  <c r="T32" i="4"/>
  <c r="N32" i="4"/>
  <c r="H32" i="4"/>
  <c r="U31" i="4"/>
  <c r="T31" i="4"/>
  <c r="AK33" i="6" s="1"/>
  <c r="N31" i="4"/>
  <c r="H31" i="4"/>
  <c r="U30" i="4"/>
  <c r="T30" i="4"/>
  <c r="U29" i="4"/>
  <c r="T29" i="4"/>
  <c r="U28" i="4"/>
  <c r="T28" i="4"/>
  <c r="N28" i="4"/>
  <c r="H28" i="4"/>
  <c r="U27" i="4"/>
  <c r="AL29" i="6" s="1"/>
  <c r="T27" i="4"/>
  <c r="U26" i="4"/>
  <c r="T26" i="4"/>
  <c r="N26" i="4"/>
  <c r="H26" i="4"/>
  <c r="U25" i="4"/>
  <c r="T25" i="4"/>
  <c r="U24" i="4"/>
  <c r="T24" i="4"/>
  <c r="U23" i="4"/>
  <c r="T23" i="4"/>
  <c r="N23" i="4"/>
  <c r="H23" i="4"/>
  <c r="U22" i="4"/>
  <c r="T22" i="4"/>
  <c r="U21" i="4"/>
  <c r="T21" i="4"/>
  <c r="N21" i="4"/>
  <c r="H21" i="4"/>
  <c r="U20" i="4"/>
  <c r="T20" i="4"/>
  <c r="U19" i="4"/>
  <c r="T19" i="4"/>
  <c r="N19" i="4"/>
  <c r="H19" i="4"/>
  <c r="D21" i="6" s="1"/>
  <c r="U18" i="4"/>
  <c r="T18" i="4"/>
  <c r="N18" i="4"/>
  <c r="H18" i="4"/>
  <c r="U17" i="4"/>
  <c r="T17" i="4"/>
  <c r="U16" i="4"/>
  <c r="T16" i="4"/>
  <c r="N16" i="4"/>
  <c r="H16" i="4"/>
  <c r="U15" i="4"/>
  <c r="T15" i="4"/>
  <c r="N15" i="4"/>
  <c r="H15" i="4"/>
  <c r="U14" i="4"/>
  <c r="T14" i="4"/>
  <c r="N14" i="4"/>
  <c r="H14" i="4"/>
  <c r="U13" i="4"/>
  <c r="T13" i="4"/>
  <c r="N13" i="4"/>
  <c r="H13" i="4"/>
  <c r="U12" i="4"/>
  <c r="T12" i="4"/>
  <c r="N12" i="4"/>
  <c r="H12" i="4"/>
  <c r="U11" i="4"/>
  <c r="T11" i="4"/>
  <c r="U10" i="4"/>
  <c r="AL12" i="6" s="1"/>
  <c r="T10" i="4"/>
  <c r="N10" i="4"/>
  <c r="H10" i="4"/>
  <c r="U9" i="4"/>
  <c r="T9" i="4"/>
  <c r="U8" i="4"/>
  <c r="T8" i="4"/>
  <c r="U7" i="4"/>
  <c r="T7" i="4"/>
  <c r="U6" i="4"/>
  <c r="T6" i="4"/>
  <c r="U5" i="4"/>
  <c r="T5" i="4"/>
  <c r="N5" i="4"/>
  <c r="H5" i="4"/>
  <c r="U4" i="4"/>
  <c r="AL6" i="6" s="1"/>
  <c r="T4" i="4"/>
  <c r="N4" i="4"/>
  <c r="H4" i="4"/>
  <c r="U3" i="4"/>
  <c r="T3" i="4"/>
  <c r="N3" i="4"/>
  <c r="H3" i="4"/>
  <c r="U2" i="4"/>
  <c r="AL4" i="6" s="1"/>
  <c r="T2" i="4"/>
  <c r="N2" i="4"/>
  <c r="H2" i="4"/>
  <c r="I90" i="3"/>
  <c r="AB89" i="3"/>
  <c r="I89" i="3"/>
  <c r="F89" i="3"/>
  <c r="F90" i="3" s="1"/>
  <c r="D89" i="3"/>
  <c r="D90" i="3" s="1"/>
  <c r="I88" i="3"/>
  <c r="F88" i="3"/>
  <c r="D88" i="3"/>
  <c r="I84" i="3"/>
  <c r="F84" i="3"/>
  <c r="D84" i="3"/>
  <c r="AD82" i="3"/>
  <c r="S82" i="3"/>
  <c r="AD81" i="3"/>
  <c r="AB81" i="3"/>
  <c r="Z81" i="3"/>
  <c r="X81" i="3"/>
  <c r="Y81" i="3" s="1"/>
  <c r="V81" i="3"/>
  <c r="U81" i="3"/>
  <c r="T81" i="3"/>
  <c r="S81" i="3"/>
  <c r="L81" i="3"/>
  <c r="AD80" i="3"/>
  <c r="AB80" i="3"/>
  <c r="Z80" i="3"/>
  <c r="X80" i="3"/>
  <c r="S80" i="3"/>
  <c r="Y80" i="3" s="1"/>
  <c r="P80" i="3"/>
  <c r="L80" i="3"/>
  <c r="AD79" i="3"/>
  <c r="AB79" i="3"/>
  <c r="AB82" i="3" s="1"/>
  <c r="S79" i="3"/>
  <c r="L79" i="3"/>
  <c r="L82" i="3" s="1"/>
  <c r="F75" i="3"/>
  <c r="Z73" i="3"/>
  <c r="Y73" i="3"/>
  <c r="V73" i="3"/>
  <c r="T73" i="3"/>
  <c r="U73" i="3" s="1"/>
  <c r="I73" i="3"/>
  <c r="I75" i="3" s="1"/>
  <c r="F73" i="3"/>
  <c r="D73" i="3"/>
  <c r="D75" i="3" s="1"/>
  <c r="Z72" i="3"/>
  <c r="X72" i="3"/>
  <c r="X79" i="3" s="1"/>
  <c r="V72" i="3"/>
  <c r="U72" i="3"/>
  <c r="T72" i="3"/>
  <c r="Z71" i="3"/>
  <c r="Y71" i="3"/>
  <c r="V71" i="3"/>
  <c r="T71" i="3"/>
  <c r="U71" i="3" s="1"/>
  <c r="I69" i="3"/>
  <c r="F69" i="3"/>
  <c r="D69" i="3"/>
  <c r="L67" i="3"/>
  <c r="Z66" i="3"/>
  <c r="Y66" i="3"/>
  <c r="V66" i="3"/>
  <c r="U66" i="3"/>
  <c r="AD65" i="3"/>
  <c r="AE65" i="3" s="1"/>
  <c r="Z65" i="3"/>
  <c r="X65" i="3"/>
  <c r="Y65" i="3" s="1"/>
  <c r="S65" i="3"/>
  <c r="P65" i="3"/>
  <c r="L65" i="3"/>
  <c r="AE64" i="3"/>
  <c r="AB64" i="3"/>
  <c r="AB65" i="3" s="1"/>
  <c r="Z64" i="3"/>
  <c r="Y64" i="3"/>
  <c r="T64" i="3"/>
  <c r="T65" i="3" s="1"/>
  <c r="Q64" i="3"/>
  <c r="Q65" i="3" s="1"/>
  <c r="D64" i="3"/>
  <c r="AE63" i="3"/>
  <c r="Z63" i="3"/>
  <c r="Y63" i="3"/>
  <c r="V63" i="3"/>
  <c r="U63" i="3"/>
  <c r="AE59" i="3"/>
  <c r="Z59" i="3"/>
  <c r="Y59" i="3"/>
  <c r="V59" i="3"/>
  <c r="U59" i="3"/>
  <c r="AE58" i="3"/>
  <c r="Z58" i="3"/>
  <c r="Y58" i="3"/>
  <c r="V58" i="3"/>
  <c r="U58" i="3"/>
  <c r="AE57" i="3"/>
  <c r="Z57" i="3"/>
  <c r="Y57" i="3"/>
  <c r="V57" i="3"/>
  <c r="U57" i="3"/>
  <c r="AE56" i="3"/>
  <c r="Z56" i="3"/>
  <c r="Y56" i="3"/>
  <c r="V56" i="3"/>
  <c r="U56" i="3"/>
  <c r="AE55" i="3"/>
  <c r="Z55" i="3"/>
  <c r="Y55" i="3"/>
  <c r="V55" i="3"/>
  <c r="U55" i="3"/>
  <c r="AE54" i="3"/>
  <c r="Z54" i="3"/>
  <c r="Y54" i="3"/>
  <c r="V54" i="3"/>
  <c r="U54" i="3"/>
  <c r="AE53" i="3"/>
  <c r="Z53" i="3"/>
  <c r="Y53" i="3"/>
  <c r="V53" i="3"/>
  <c r="U53" i="3"/>
  <c r="AD52" i="3"/>
  <c r="AE52" i="3" s="1"/>
  <c r="AB52" i="3"/>
  <c r="X52" i="3"/>
  <c r="Z52" i="3" s="1"/>
  <c r="T52" i="3"/>
  <c r="V52" i="3" s="1"/>
  <c r="S52" i="3"/>
  <c r="Q52" i="3"/>
  <c r="P52" i="3"/>
  <c r="P67" i="3" s="1"/>
  <c r="L52" i="3"/>
  <c r="AE50" i="3"/>
  <c r="Z50" i="3"/>
  <c r="Y50" i="3"/>
  <c r="V50" i="3"/>
  <c r="U50" i="3"/>
  <c r="AD48" i="3"/>
  <c r="AE48" i="3" s="1"/>
  <c r="Z48" i="3"/>
  <c r="Y48" i="3"/>
  <c r="V48" i="3"/>
  <c r="U48" i="3"/>
  <c r="Q48" i="3"/>
  <c r="AE45" i="3"/>
  <c r="AB45" i="3"/>
  <c r="AB67" i="3" s="1"/>
  <c r="Z45" i="3"/>
  <c r="Y45" i="3"/>
  <c r="V45" i="3"/>
  <c r="U45" i="3"/>
  <c r="T45" i="3"/>
  <c r="Q45" i="3"/>
  <c r="Q67" i="3" s="1"/>
  <c r="AE44" i="3"/>
  <c r="Z44" i="3"/>
  <c r="Y44" i="3"/>
  <c r="V44" i="3"/>
  <c r="U44" i="3"/>
  <c r="P41" i="3"/>
  <c r="P88" i="3" s="1"/>
  <c r="AB40" i="3"/>
  <c r="X40" i="3"/>
  <c r="Z40" i="3" s="1"/>
  <c r="V40" i="3"/>
  <c r="T40" i="3"/>
  <c r="U40" i="3" s="1"/>
  <c r="S40" i="3"/>
  <c r="Q40" i="3"/>
  <c r="P40" i="3"/>
  <c r="L40" i="3"/>
  <c r="AD39" i="3"/>
  <c r="AE39" i="3" s="1"/>
  <c r="Z39" i="3"/>
  <c r="Y39" i="3"/>
  <c r="V39" i="3"/>
  <c r="U39" i="3"/>
  <c r="AD38" i="3"/>
  <c r="AE38" i="3" s="1"/>
  <c r="Z38" i="3"/>
  <c r="Y38" i="3"/>
  <c r="V38" i="3"/>
  <c r="U38" i="3"/>
  <c r="AD37" i="3"/>
  <c r="AE37" i="3" s="1"/>
  <c r="Z37" i="3"/>
  <c r="Y37" i="3"/>
  <c r="V37" i="3"/>
  <c r="U37" i="3"/>
  <c r="AD36" i="3"/>
  <c r="AE36" i="3" s="1"/>
  <c r="Z36" i="3"/>
  <c r="Y36" i="3"/>
  <c r="V36" i="3"/>
  <c r="U36" i="3"/>
  <c r="AD35" i="3"/>
  <c r="AE35" i="3" s="1"/>
  <c r="Z35" i="3"/>
  <c r="Y35" i="3"/>
  <c r="V35" i="3"/>
  <c r="U35" i="3"/>
  <c r="AD34" i="3"/>
  <c r="AE34" i="3" s="1"/>
  <c r="Z34" i="3"/>
  <c r="Y34" i="3"/>
  <c r="V34" i="3"/>
  <c r="U34" i="3"/>
  <c r="AE33" i="3"/>
  <c r="Z33" i="3"/>
  <c r="Y33" i="3"/>
  <c r="V33" i="3"/>
  <c r="U33" i="3"/>
  <c r="AB30" i="3"/>
  <c r="AB41" i="3" s="1"/>
  <c r="Z30" i="3"/>
  <c r="Y30" i="3"/>
  <c r="X30" i="3"/>
  <c r="X41" i="3" s="1"/>
  <c r="T30" i="3"/>
  <c r="S30" i="3"/>
  <c r="S41" i="3" s="1"/>
  <c r="Q30" i="3"/>
  <c r="Q41" i="3" s="1"/>
  <c r="P30" i="3"/>
  <c r="L30" i="3"/>
  <c r="L41" i="3" s="1"/>
  <c r="AD28" i="3"/>
  <c r="AE28" i="3" s="1"/>
  <c r="Z28" i="3"/>
  <c r="Y28" i="3"/>
  <c r="V28" i="3"/>
  <c r="U28" i="3"/>
  <c r="AD27" i="3"/>
  <c r="AA27" i="3"/>
  <c r="Z27" i="3"/>
  <c r="Y27" i="3"/>
  <c r="V27" i="3"/>
  <c r="U27" i="3"/>
  <c r="AB21" i="3"/>
  <c r="P21" i="3"/>
  <c r="AE17" i="3"/>
  <c r="Z17" i="3"/>
  <c r="Y17" i="3"/>
  <c r="V17" i="3"/>
  <c r="U17" i="3"/>
  <c r="AD16" i="3"/>
  <c r="AB16" i="3"/>
  <c r="X16" i="3"/>
  <c r="T16" i="3"/>
  <c r="T89" i="3" s="1"/>
  <c r="S16" i="3"/>
  <c r="Q16" i="3"/>
  <c r="Q89" i="3" s="1"/>
  <c r="P16" i="3"/>
  <c r="P89" i="3" s="1"/>
  <c r="P90" i="3" s="1"/>
  <c r="L16" i="3"/>
  <c r="L89" i="3" s="1"/>
  <c r="U15" i="3"/>
  <c r="AE14" i="3"/>
  <c r="Z14" i="3"/>
  <c r="Y14" i="3"/>
  <c r="V14" i="3"/>
  <c r="U14" i="3"/>
  <c r="Q14" i="3"/>
  <c r="Z12" i="3"/>
  <c r="Y12" i="3"/>
  <c r="V12" i="3"/>
  <c r="U12" i="3"/>
  <c r="AE11" i="3"/>
  <c r="Z11" i="3"/>
  <c r="Y11" i="3"/>
  <c r="V11" i="3"/>
  <c r="U11" i="3"/>
  <c r="AE10" i="3"/>
  <c r="Z10" i="3"/>
  <c r="Y10" i="3"/>
  <c r="V10" i="3"/>
  <c r="U10" i="3"/>
  <c r="AC79" i="2"/>
  <c r="R79" i="2"/>
  <c r="P79" i="2"/>
  <c r="N79" i="2"/>
  <c r="CK78" i="2"/>
  <c r="CH78" i="2"/>
  <c r="CE78" i="2"/>
  <c r="CB78" i="2"/>
  <c r="BY78" i="2"/>
  <c r="BV78" i="2"/>
  <c r="BO78" i="2"/>
  <c r="BL78" i="2"/>
  <c r="BJ78" i="2"/>
  <c r="BG78" i="2"/>
  <c r="BD78" i="2"/>
  <c r="BA78" i="2"/>
  <c r="CK77" i="2"/>
  <c r="CH77" i="2"/>
  <c r="CE77" i="2"/>
  <c r="CB77" i="2"/>
  <c r="BY77" i="2"/>
  <c r="BV77" i="2"/>
  <c r="BO77" i="2"/>
  <c r="BL77" i="2"/>
  <c r="BJ77" i="2"/>
  <c r="BG77" i="2"/>
  <c r="BD77" i="2"/>
  <c r="BA77" i="2"/>
  <c r="CK76" i="2"/>
  <c r="CH76" i="2"/>
  <c r="CE76" i="2"/>
  <c r="CB76" i="2"/>
  <c r="BY76" i="2"/>
  <c r="BV76" i="2"/>
  <c r="BO76" i="2"/>
  <c r="BL76" i="2"/>
  <c r="BJ76" i="2"/>
  <c r="BG76" i="2"/>
  <c r="BD76" i="2"/>
  <c r="BA76" i="2"/>
  <c r="R75" i="2"/>
  <c r="R70" i="2"/>
  <c r="P70" i="2"/>
  <c r="N70" i="2"/>
  <c r="B70" i="2"/>
  <c r="AC69" i="2"/>
  <c r="R69" i="2"/>
  <c r="R74" i="2" s="1"/>
  <c r="P69" i="2"/>
  <c r="P75" i="2" s="1"/>
  <c r="N69" i="2"/>
  <c r="N75" i="2" s="1"/>
  <c r="AH66" i="2"/>
  <c r="AF66" i="2"/>
  <c r="U66" i="2"/>
  <c r="K66" i="2"/>
  <c r="E66" i="2"/>
  <c r="AE66" i="2" s="1"/>
  <c r="AH65" i="2"/>
  <c r="AI65" i="2" s="1"/>
  <c r="V65" i="2"/>
  <c r="U65" i="2"/>
  <c r="K65" i="2"/>
  <c r="E65" i="2"/>
  <c r="AE65" i="2" s="1"/>
  <c r="AH64" i="2"/>
  <c r="AF64" i="2"/>
  <c r="U64" i="2"/>
  <c r="K64" i="2"/>
  <c r="AH63" i="2"/>
  <c r="AF63" i="2"/>
  <c r="U63" i="2"/>
  <c r="K63" i="2"/>
  <c r="E63" i="2"/>
  <c r="AE63" i="2" s="1"/>
  <c r="AH62" i="2"/>
  <c r="AI62" i="2" s="1"/>
  <c r="V62" i="2"/>
  <c r="U62" i="2"/>
  <c r="K62" i="2"/>
  <c r="E62" i="2"/>
  <c r="AE62" i="2" s="1"/>
  <c r="AH61" i="2"/>
  <c r="AF61" i="2"/>
  <c r="U61" i="2"/>
  <c r="K61" i="2"/>
  <c r="E61" i="2"/>
  <c r="AE61" i="2" s="1"/>
  <c r="AH60" i="2"/>
  <c r="AI60" i="2" s="1"/>
  <c r="V60" i="2"/>
  <c r="U60" i="2"/>
  <c r="K60" i="2"/>
  <c r="E60" i="2"/>
  <c r="AE60" i="2" s="1"/>
  <c r="AH59" i="2"/>
  <c r="AF59" i="2"/>
  <c r="U59" i="2"/>
  <c r="K59" i="2"/>
  <c r="AH58" i="2"/>
  <c r="AF58" i="2"/>
  <c r="U58" i="2"/>
  <c r="K58" i="2"/>
  <c r="E58" i="2"/>
  <c r="AE58" i="2" s="1"/>
  <c r="AH57" i="2"/>
  <c r="AI57" i="2" s="1"/>
  <c r="V57" i="2"/>
  <c r="U57" i="2"/>
  <c r="K57" i="2"/>
  <c r="AH56" i="2"/>
  <c r="U56" i="2"/>
  <c r="K56" i="2"/>
  <c r="AH55" i="2"/>
  <c r="AI55" i="2" s="1"/>
  <c r="AE55" i="2"/>
  <c r="V55" i="2"/>
  <c r="U55" i="2"/>
  <c r="S55" i="2"/>
  <c r="K55" i="2"/>
  <c r="E55" i="2"/>
  <c r="AH54" i="2"/>
  <c r="U54" i="2"/>
  <c r="K54" i="2"/>
  <c r="AH53" i="2"/>
  <c r="AI53" i="2" s="1"/>
  <c r="AE53" i="2"/>
  <c r="V53" i="2"/>
  <c r="U53" i="2"/>
  <c r="S53" i="2"/>
  <c r="K53" i="2"/>
  <c r="E53" i="2"/>
  <c r="AH52" i="2"/>
  <c r="U52" i="2"/>
  <c r="K52" i="2"/>
  <c r="E52" i="2"/>
  <c r="AE52" i="2" s="1"/>
  <c r="AH51" i="2"/>
  <c r="AI51" i="2" s="1"/>
  <c r="AE51" i="2"/>
  <c r="V51" i="2"/>
  <c r="U51" i="2"/>
  <c r="S51" i="2"/>
  <c r="K51" i="2"/>
  <c r="E51" i="2"/>
  <c r="AH50" i="2"/>
  <c r="U50" i="2"/>
  <c r="V50" i="2" s="1"/>
  <c r="K50" i="2"/>
  <c r="E50" i="2"/>
  <c r="S50" i="2" s="1"/>
  <c r="AH49" i="2"/>
  <c r="AI49" i="2" s="1"/>
  <c r="V49" i="2"/>
  <c r="U49" i="2"/>
  <c r="K49" i="2"/>
  <c r="AH48" i="2"/>
  <c r="U48" i="2"/>
  <c r="K48" i="2"/>
  <c r="AF48" i="2" s="1"/>
  <c r="AH47" i="2"/>
  <c r="AI47" i="2" s="1"/>
  <c r="AE47" i="2"/>
  <c r="V47" i="2"/>
  <c r="U47" i="2"/>
  <c r="S47" i="2"/>
  <c r="K47" i="2"/>
  <c r="E47" i="2"/>
  <c r="AH46" i="2"/>
  <c r="U46" i="2"/>
  <c r="V46" i="2" s="1"/>
  <c r="K46" i="2"/>
  <c r="E46" i="2"/>
  <c r="S46" i="2" s="1"/>
  <c r="AH45" i="2"/>
  <c r="AI45" i="2" s="1"/>
  <c r="AE45" i="2"/>
  <c r="V45" i="2"/>
  <c r="U45" i="2"/>
  <c r="S45" i="2"/>
  <c r="K45" i="2"/>
  <c r="E45" i="2"/>
  <c r="AH44" i="2"/>
  <c r="U44" i="2"/>
  <c r="K44" i="2"/>
  <c r="E44" i="2"/>
  <c r="AE44" i="2" s="1"/>
  <c r="AH43" i="2"/>
  <c r="AI43" i="2" s="1"/>
  <c r="AE43" i="2"/>
  <c r="V43" i="2"/>
  <c r="U43" i="2"/>
  <c r="S43" i="2"/>
  <c r="K43" i="2"/>
  <c r="E43" i="2"/>
  <c r="AH42" i="2"/>
  <c r="AF42" i="2"/>
  <c r="U42" i="2"/>
  <c r="AI42" i="2" s="1"/>
  <c r="K42" i="2"/>
  <c r="E42" i="2"/>
  <c r="AE42" i="2" s="1"/>
  <c r="AH41" i="2"/>
  <c r="AF41" i="2"/>
  <c r="U41" i="2"/>
  <c r="AI41" i="2" s="1"/>
  <c r="K41" i="2"/>
  <c r="F30" i="4" s="1"/>
  <c r="AH40" i="2"/>
  <c r="AF40" i="2"/>
  <c r="U40" i="2"/>
  <c r="AD40" i="2" s="1"/>
  <c r="K40" i="2"/>
  <c r="F29" i="4" s="1"/>
  <c r="AH39" i="2"/>
  <c r="AF39" i="2"/>
  <c r="U39" i="2"/>
  <c r="AI39" i="2" s="1"/>
  <c r="K39" i="2"/>
  <c r="E39" i="2"/>
  <c r="AE39" i="2" s="1"/>
  <c r="AH38" i="2"/>
  <c r="AF38" i="2"/>
  <c r="U38" i="2"/>
  <c r="AD38" i="2" s="1"/>
  <c r="K38" i="2"/>
  <c r="F27" i="4" s="1"/>
  <c r="AH37" i="2"/>
  <c r="AF37" i="2"/>
  <c r="U37" i="2"/>
  <c r="AD37" i="2" s="1"/>
  <c r="K37" i="2"/>
  <c r="E37" i="2"/>
  <c r="AE37" i="2" s="1"/>
  <c r="AH36" i="2"/>
  <c r="AF36" i="2"/>
  <c r="U36" i="2"/>
  <c r="AI36" i="2" s="1"/>
  <c r="K36" i="2"/>
  <c r="F25" i="4" s="1"/>
  <c r="AH35" i="2"/>
  <c r="AF35" i="2"/>
  <c r="U35" i="2"/>
  <c r="AI35" i="2" s="1"/>
  <c r="K35" i="2"/>
  <c r="F24" i="4" s="1"/>
  <c r="AH34" i="2"/>
  <c r="AF34" i="2"/>
  <c r="U34" i="2"/>
  <c r="AD34" i="2" s="1"/>
  <c r="K34" i="2"/>
  <c r="E34" i="2"/>
  <c r="AE34" i="2" s="1"/>
  <c r="AH33" i="2"/>
  <c r="AF33" i="2"/>
  <c r="U33" i="2"/>
  <c r="AI33" i="2" s="1"/>
  <c r="K33" i="2"/>
  <c r="F22" i="4" s="1"/>
  <c r="AH32" i="2"/>
  <c r="AF32" i="2"/>
  <c r="U32" i="2"/>
  <c r="AI32" i="2" s="1"/>
  <c r="K32" i="2"/>
  <c r="E32" i="2"/>
  <c r="AE32" i="2" s="1"/>
  <c r="AH31" i="2"/>
  <c r="AF31" i="2"/>
  <c r="U31" i="2"/>
  <c r="AI31" i="2" s="1"/>
  <c r="K31" i="2"/>
  <c r="F20" i="4" s="1"/>
  <c r="AH30" i="2"/>
  <c r="AF30" i="2"/>
  <c r="U30" i="2"/>
  <c r="AI30" i="2" s="1"/>
  <c r="K30" i="2"/>
  <c r="E30" i="2"/>
  <c r="AE30" i="2" s="1"/>
  <c r="AH29" i="2"/>
  <c r="AF29" i="2"/>
  <c r="U29" i="2"/>
  <c r="AI29" i="2" s="1"/>
  <c r="K29" i="2"/>
  <c r="E29" i="2"/>
  <c r="AE29" i="2" s="1"/>
  <c r="AH28" i="2"/>
  <c r="AF28" i="2"/>
  <c r="U28" i="2"/>
  <c r="AI28" i="2" s="1"/>
  <c r="K28" i="2"/>
  <c r="F17" i="4" s="1"/>
  <c r="AH27" i="2"/>
  <c r="AF27" i="2"/>
  <c r="U27" i="2"/>
  <c r="AI27" i="2" s="1"/>
  <c r="K27" i="2"/>
  <c r="E27" i="2"/>
  <c r="AE27" i="2" s="1"/>
  <c r="AH26" i="2"/>
  <c r="AF26" i="2"/>
  <c r="U26" i="2"/>
  <c r="AD26" i="2" s="1"/>
  <c r="K26" i="2"/>
  <c r="E26" i="2"/>
  <c r="AE26" i="2" s="1"/>
  <c r="AH25" i="2"/>
  <c r="AF25" i="2"/>
  <c r="U25" i="2"/>
  <c r="AI25" i="2" s="1"/>
  <c r="K25" i="2"/>
  <c r="E25" i="2"/>
  <c r="AE25" i="2" s="1"/>
  <c r="AH24" i="2"/>
  <c r="AF24" i="2"/>
  <c r="U24" i="2"/>
  <c r="AD24" i="2" s="1"/>
  <c r="K24" i="2"/>
  <c r="E24" i="2"/>
  <c r="AE24" i="2" s="1"/>
  <c r="AH23" i="2"/>
  <c r="AF23" i="2"/>
  <c r="U23" i="2"/>
  <c r="AI23" i="2" s="1"/>
  <c r="K23" i="2"/>
  <c r="E23" i="2"/>
  <c r="AE23" i="2" s="1"/>
  <c r="AH22" i="2"/>
  <c r="AF22" i="2"/>
  <c r="U22" i="2"/>
  <c r="AI22" i="2" s="1"/>
  <c r="K22" i="2"/>
  <c r="F11" i="4" s="1"/>
  <c r="AH21" i="2"/>
  <c r="AF21" i="2"/>
  <c r="U21" i="2"/>
  <c r="AI21" i="2" s="1"/>
  <c r="K21" i="2"/>
  <c r="E21" i="2"/>
  <c r="AE21" i="2" s="1"/>
  <c r="AH20" i="2"/>
  <c r="AF20" i="2"/>
  <c r="U20" i="2"/>
  <c r="AD20" i="2" s="1"/>
  <c r="K20" i="2"/>
  <c r="F9" i="4" s="1"/>
  <c r="AH19" i="2"/>
  <c r="AF19" i="2"/>
  <c r="U19" i="2"/>
  <c r="AI19" i="2" s="1"/>
  <c r="K19" i="2"/>
  <c r="F8" i="4" s="1"/>
  <c r="AH18" i="2"/>
  <c r="AF18" i="2"/>
  <c r="U18" i="2"/>
  <c r="AD18" i="2" s="1"/>
  <c r="K18" i="2"/>
  <c r="F7" i="4" s="1"/>
  <c r="AH17" i="2"/>
  <c r="AF17" i="2"/>
  <c r="U17" i="2"/>
  <c r="AI17" i="2" s="1"/>
  <c r="K17" i="2"/>
  <c r="F6" i="4" s="1"/>
  <c r="AH16" i="2"/>
  <c r="AF16" i="2"/>
  <c r="U16" i="2"/>
  <c r="AI16" i="2" s="1"/>
  <c r="K16" i="2"/>
  <c r="E16" i="2"/>
  <c r="AE16" i="2" s="1"/>
  <c r="AH15" i="2"/>
  <c r="AF15" i="2"/>
  <c r="U15" i="2"/>
  <c r="AI15" i="2" s="1"/>
  <c r="K15" i="2"/>
  <c r="E15" i="2"/>
  <c r="AE15" i="2" s="1"/>
  <c r="AH14" i="2"/>
  <c r="AF14" i="2"/>
  <c r="U14" i="2"/>
  <c r="AD14" i="2" s="1"/>
  <c r="K14" i="2"/>
  <c r="E14" i="2"/>
  <c r="AE14" i="2" s="1"/>
  <c r="AH13" i="2"/>
  <c r="AF13" i="2"/>
  <c r="U13" i="2"/>
  <c r="AI13" i="2" s="1"/>
  <c r="K13" i="2"/>
  <c r="E13" i="2"/>
  <c r="BR9" i="2"/>
  <c r="BC9" i="2"/>
  <c r="AW9" i="2"/>
  <c r="AT9" i="2"/>
  <c r="AQ9" i="2"/>
  <c r="AN9" i="2"/>
  <c r="AK9" i="2"/>
  <c r="AH9" i="2"/>
  <c r="AC9" i="2"/>
  <c r="Y9" i="2"/>
  <c r="U7" i="2"/>
  <c r="C94" i="1"/>
  <c r="C93" i="1"/>
  <c r="C92" i="1"/>
  <c r="C91" i="1"/>
  <c r="C90" i="1"/>
  <c r="C89" i="1"/>
  <c r="C88" i="1"/>
  <c r="C87" i="1"/>
  <c r="C86" i="1"/>
  <c r="C85" i="1"/>
  <c r="C84" i="1"/>
  <c r="C83" i="1"/>
  <c r="C95" i="1" s="1"/>
  <c r="AI79" i="1"/>
  <c r="T79" i="1"/>
  <c r="R79" i="1"/>
  <c r="P79" i="1"/>
  <c r="M79" i="1"/>
  <c r="CQ78" i="1"/>
  <c r="CN78" i="1"/>
  <c r="CK78" i="1"/>
  <c r="CH78" i="1"/>
  <c r="CE78" i="1"/>
  <c r="CB78" i="1"/>
  <c r="BU78" i="1"/>
  <c r="BR78" i="1"/>
  <c r="BP78" i="1"/>
  <c r="BM78" i="1"/>
  <c r="BJ78" i="1"/>
  <c r="BG78" i="1"/>
  <c r="CQ77" i="1"/>
  <c r="CN77" i="1"/>
  <c r="CK77" i="1"/>
  <c r="CH77" i="1"/>
  <c r="CE77" i="1"/>
  <c r="CB77" i="1"/>
  <c r="BU77" i="1"/>
  <c r="BR77" i="1"/>
  <c r="BP77" i="1"/>
  <c r="BM77" i="1"/>
  <c r="BJ77" i="1"/>
  <c r="BG77" i="1"/>
  <c r="CQ76" i="1"/>
  <c r="CN76" i="1"/>
  <c r="CK76" i="1"/>
  <c r="CH76" i="1"/>
  <c r="CE76" i="1"/>
  <c r="CB76" i="1"/>
  <c r="BU76" i="1"/>
  <c r="BR76" i="1"/>
  <c r="BP76" i="1"/>
  <c r="BM76" i="1"/>
  <c r="BJ76" i="1"/>
  <c r="BG76" i="1"/>
  <c r="T75" i="1"/>
  <c r="R75" i="1"/>
  <c r="T74" i="1"/>
  <c r="T70" i="1"/>
  <c r="R70" i="1"/>
  <c r="P70" i="1"/>
  <c r="B70" i="1"/>
  <c r="AI69" i="1"/>
  <c r="T69" i="1"/>
  <c r="R69" i="1"/>
  <c r="P69" i="1"/>
  <c r="P75" i="1" s="1"/>
  <c r="AN66" i="1"/>
  <c r="AO66" i="1" s="1"/>
  <c r="AK66" i="1"/>
  <c r="W66" i="1"/>
  <c r="M66" i="1"/>
  <c r="AL66" i="1" s="1"/>
  <c r="F66" i="1"/>
  <c r="U66" i="1" s="1"/>
  <c r="E66" i="1"/>
  <c r="AN65" i="1"/>
  <c r="AO65" i="1" s="1"/>
  <c r="AL65" i="1"/>
  <c r="AK65" i="1"/>
  <c r="Y65" i="1"/>
  <c r="W65" i="1"/>
  <c r="AJ65" i="1" s="1"/>
  <c r="U65" i="1"/>
  <c r="M65" i="1"/>
  <c r="F65" i="1"/>
  <c r="E65" i="1"/>
  <c r="AN64" i="1"/>
  <c r="AO64" i="1" s="1"/>
  <c r="W64" i="1"/>
  <c r="M64" i="1"/>
  <c r="AL64" i="1" s="1"/>
  <c r="AN63" i="1"/>
  <c r="AO63" i="1" s="1"/>
  <c r="AL63" i="1"/>
  <c r="AK63" i="1"/>
  <c r="Y63" i="1"/>
  <c r="W63" i="1"/>
  <c r="AJ63" i="1" s="1"/>
  <c r="U63" i="1"/>
  <c r="M63" i="1"/>
  <c r="F63" i="1"/>
  <c r="E63" i="1"/>
  <c r="AN62" i="1"/>
  <c r="AO62" i="1" s="1"/>
  <c r="AK62" i="1"/>
  <c r="W62" i="1"/>
  <c r="M62" i="1"/>
  <c r="AL62" i="1" s="1"/>
  <c r="F62" i="1"/>
  <c r="U62" i="1" s="1"/>
  <c r="E62" i="1"/>
  <c r="AN61" i="1"/>
  <c r="AO61" i="1" s="1"/>
  <c r="AL61" i="1"/>
  <c r="AK61" i="1"/>
  <c r="Y61" i="1"/>
  <c r="W61" i="1"/>
  <c r="AJ61" i="1" s="1"/>
  <c r="U61" i="1"/>
  <c r="M61" i="1"/>
  <c r="F61" i="1"/>
  <c r="E61" i="1"/>
  <c r="AN60" i="1"/>
  <c r="AO60" i="1" s="1"/>
  <c r="AK60" i="1"/>
  <c r="W60" i="1"/>
  <c r="M60" i="1"/>
  <c r="AL60" i="1" s="1"/>
  <c r="F60" i="1"/>
  <c r="U60" i="1" s="1"/>
  <c r="E60" i="1"/>
  <c r="AN59" i="1"/>
  <c r="AO59" i="1" s="1"/>
  <c r="AL59" i="1"/>
  <c r="Y59" i="1"/>
  <c r="W59" i="1"/>
  <c r="AJ59" i="1" s="1"/>
  <c r="M59" i="1"/>
  <c r="AN58" i="1"/>
  <c r="AO58" i="1" s="1"/>
  <c r="AK58" i="1"/>
  <c r="W58" i="1"/>
  <c r="M58" i="1"/>
  <c r="AL58" i="1" s="1"/>
  <c r="F58" i="1"/>
  <c r="U58" i="1" s="1"/>
  <c r="E58" i="1"/>
  <c r="AN57" i="1"/>
  <c r="AO57" i="1" s="1"/>
  <c r="AL57" i="1"/>
  <c r="AB57" i="1"/>
  <c r="AA57" i="1"/>
  <c r="AC57" i="1" s="1"/>
  <c r="Y57" i="1"/>
  <c r="W57" i="1"/>
  <c r="AJ57" i="1" s="1"/>
  <c r="M57" i="1"/>
  <c r="AN56" i="1"/>
  <c r="AO56" i="1" s="1"/>
  <c r="AB56" i="1"/>
  <c r="AA56" i="1"/>
  <c r="AC56" i="1" s="1"/>
  <c r="W56" i="1"/>
  <c r="Y56" i="1" s="1"/>
  <c r="M56" i="1"/>
  <c r="AL56" i="1" s="1"/>
  <c r="AN55" i="1"/>
  <c r="AO55" i="1" s="1"/>
  <c r="AK55" i="1"/>
  <c r="Y55" i="1"/>
  <c r="W55" i="1"/>
  <c r="AJ55" i="1" s="1"/>
  <c r="M55" i="1"/>
  <c r="AL55" i="1" s="1"/>
  <c r="F55" i="1"/>
  <c r="U55" i="1" s="1"/>
  <c r="E55" i="1"/>
  <c r="AN54" i="1"/>
  <c r="AO54" i="1" s="1"/>
  <c r="AL54" i="1"/>
  <c r="W54" i="1"/>
  <c r="M54" i="1"/>
  <c r="AN53" i="1"/>
  <c r="AO53" i="1" s="1"/>
  <c r="AK53" i="1"/>
  <c r="Y53" i="1"/>
  <c r="W53" i="1"/>
  <c r="AJ53" i="1" s="1"/>
  <c r="M53" i="1"/>
  <c r="AL53" i="1" s="1"/>
  <c r="F53" i="1"/>
  <c r="U53" i="1" s="1"/>
  <c r="E53" i="1"/>
  <c r="AN52" i="1"/>
  <c r="AO52" i="1" s="1"/>
  <c r="AL52" i="1"/>
  <c r="AK52" i="1"/>
  <c r="W52" i="1"/>
  <c r="U52" i="1"/>
  <c r="M52" i="1"/>
  <c r="F52" i="1"/>
  <c r="E52" i="1"/>
  <c r="AN51" i="1"/>
  <c r="AO51" i="1" s="1"/>
  <c r="AK51" i="1"/>
  <c r="Y51" i="1"/>
  <c r="W51" i="1"/>
  <c r="AJ51" i="1" s="1"/>
  <c r="M51" i="1"/>
  <c r="AL51" i="1" s="1"/>
  <c r="F51" i="1"/>
  <c r="U51" i="1" s="1"/>
  <c r="E51" i="1"/>
  <c r="AN50" i="1"/>
  <c r="AO50" i="1" s="1"/>
  <c r="AL50" i="1"/>
  <c r="AK50" i="1"/>
  <c r="W50" i="1"/>
  <c r="U50" i="1"/>
  <c r="M50" i="1"/>
  <c r="F50" i="1"/>
  <c r="E50" i="1"/>
  <c r="AN49" i="1"/>
  <c r="AO49" i="1" s="1"/>
  <c r="Y49" i="1"/>
  <c r="W49" i="1"/>
  <c r="AJ49" i="1" s="1"/>
  <c r="M49" i="1"/>
  <c r="AL49" i="1" s="1"/>
  <c r="AN48" i="1"/>
  <c r="AO48" i="1" s="1"/>
  <c r="AL48" i="1"/>
  <c r="W48" i="1"/>
  <c r="M48" i="1"/>
  <c r="AN47" i="1"/>
  <c r="AO47" i="1" s="1"/>
  <c r="AK47" i="1"/>
  <c r="Y47" i="1"/>
  <c r="W47" i="1"/>
  <c r="AJ47" i="1" s="1"/>
  <c r="M47" i="1"/>
  <c r="AL47" i="1" s="1"/>
  <c r="F47" i="1"/>
  <c r="U47" i="1" s="1"/>
  <c r="E47" i="1"/>
  <c r="AN46" i="1"/>
  <c r="AO46" i="1" s="1"/>
  <c r="AL46" i="1"/>
  <c r="AK46" i="1"/>
  <c r="W46" i="1"/>
  <c r="U46" i="1"/>
  <c r="M46" i="1"/>
  <c r="F46" i="1"/>
  <c r="E46" i="1"/>
  <c r="AN45" i="1"/>
  <c r="AO45" i="1" s="1"/>
  <c r="AK45" i="1"/>
  <c r="Y45" i="1"/>
  <c r="W45" i="1"/>
  <c r="AJ45" i="1" s="1"/>
  <c r="M45" i="1"/>
  <c r="AL45" i="1" s="1"/>
  <c r="F45" i="1"/>
  <c r="U45" i="1" s="1"/>
  <c r="E45" i="1"/>
  <c r="AN44" i="1"/>
  <c r="AO44" i="1" s="1"/>
  <c r="AL44" i="1"/>
  <c r="AK44" i="1"/>
  <c r="W44" i="1"/>
  <c r="U44" i="1"/>
  <c r="M44" i="1"/>
  <c r="F44" i="1"/>
  <c r="E44" i="1"/>
  <c r="AN43" i="1"/>
  <c r="AO43" i="1" s="1"/>
  <c r="AK43" i="1"/>
  <c r="Y43" i="1"/>
  <c r="W43" i="1"/>
  <c r="AJ43" i="1" s="1"/>
  <c r="M43" i="1"/>
  <c r="AL43" i="1" s="1"/>
  <c r="F43" i="1"/>
  <c r="U43" i="1" s="1"/>
  <c r="E43" i="1"/>
  <c r="AN42" i="1"/>
  <c r="AO42" i="1" s="1"/>
  <c r="AL42" i="1"/>
  <c r="AK42" i="1"/>
  <c r="W42" i="1"/>
  <c r="U42" i="1"/>
  <c r="M42" i="1"/>
  <c r="F42" i="1"/>
  <c r="E42" i="1"/>
  <c r="AN41" i="1"/>
  <c r="AO41" i="1" s="1"/>
  <c r="Y41" i="1"/>
  <c r="W41" i="1"/>
  <c r="AJ41" i="1" s="1"/>
  <c r="M41" i="1"/>
  <c r="AL41" i="1" s="1"/>
  <c r="E41" i="1"/>
  <c r="AN40" i="1"/>
  <c r="AO40" i="1" s="1"/>
  <c r="AL40" i="1"/>
  <c r="AB40" i="1"/>
  <c r="AA40" i="1"/>
  <c r="AC40" i="1" s="1"/>
  <c r="W40" i="1"/>
  <c r="Y40" i="1" s="1"/>
  <c r="M40" i="1"/>
  <c r="E40" i="1"/>
  <c r="AN39" i="1"/>
  <c r="AO39" i="1" s="1"/>
  <c r="AK39" i="1"/>
  <c r="Y39" i="1"/>
  <c r="W39" i="1"/>
  <c r="AJ39" i="1" s="1"/>
  <c r="M39" i="1"/>
  <c r="AL39" i="1" s="1"/>
  <c r="F39" i="1"/>
  <c r="U39" i="1" s="1"/>
  <c r="E39" i="1"/>
  <c r="AN38" i="1"/>
  <c r="AO38" i="1" s="1"/>
  <c r="AL38" i="1"/>
  <c r="AB38" i="1"/>
  <c r="AA38" i="1"/>
  <c r="AC38" i="1" s="1"/>
  <c r="W38" i="1"/>
  <c r="Y38" i="1" s="1"/>
  <c r="M38" i="1"/>
  <c r="E38" i="1"/>
  <c r="AN37" i="1"/>
  <c r="AO37" i="1" s="1"/>
  <c r="AK37" i="1"/>
  <c r="Y37" i="1"/>
  <c r="W37" i="1"/>
  <c r="AJ37" i="1" s="1"/>
  <c r="M37" i="1"/>
  <c r="AL37" i="1" s="1"/>
  <c r="F37" i="1"/>
  <c r="U37" i="1" s="1"/>
  <c r="E37" i="1"/>
  <c r="AN36" i="1"/>
  <c r="AO36" i="1" s="1"/>
  <c r="AL36" i="1"/>
  <c r="W36" i="1"/>
  <c r="M36" i="1"/>
  <c r="E36" i="1"/>
  <c r="AN35" i="1"/>
  <c r="AO35" i="1" s="1"/>
  <c r="Y35" i="1"/>
  <c r="W35" i="1"/>
  <c r="AJ35" i="1" s="1"/>
  <c r="M35" i="1"/>
  <c r="AL35" i="1" s="1"/>
  <c r="E35" i="1"/>
  <c r="AN34" i="1"/>
  <c r="AO34" i="1" s="1"/>
  <c r="AL34" i="1"/>
  <c r="AK34" i="1"/>
  <c r="W34" i="1"/>
  <c r="U34" i="1"/>
  <c r="M34" i="1"/>
  <c r="F34" i="1"/>
  <c r="E34" i="1"/>
  <c r="AN33" i="1"/>
  <c r="AO33" i="1" s="1"/>
  <c r="Y33" i="1"/>
  <c r="W33" i="1"/>
  <c r="AJ33" i="1" s="1"/>
  <c r="M33" i="1"/>
  <c r="AL33" i="1" s="1"/>
  <c r="E33" i="1"/>
  <c r="AN32" i="1"/>
  <c r="AO32" i="1" s="1"/>
  <c r="AL32" i="1"/>
  <c r="AK32" i="1"/>
  <c r="W32" i="1"/>
  <c r="U32" i="1"/>
  <c r="M32" i="1"/>
  <c r="F32" i="1"/>
  <c r="E32" i="1"/>
  <c r="AN31" i="1"/>
  <c r="AO31" i="1" s="1"/>
  <c r="AC31" i="1"/>
  <c r="AB31" i="1"/>
  <c r="AA31" i="1"/>
  <c r="Y31" i="1"/>
  <c r="W31" i="1"/>
  <c r="AJ31" i="1" s="1"/>
  <c r="M31" i="1"/>
  <c r="AL31" i="1" s="1"/>
  <c r="E31" i="1"/>
  <c r="AN30" i="1"/>
  <c r="AO30" i="1" s="1"/>
  <c r="AL30" i="1"/>
  <c r="AK30" i="1"/>
  <c r="W30" i="1"/>
  <c r="U30" i="1"/>
  <c r="M30" i="1"/>
  <c r="F30" i="1"/>
  <c r="E30" i="1"/>
  <c r="AN29" i="1"/>
  <c r="AO29" i="1" s="1"/>
  <c r="AK29" i="1"/>
  <c r="Y29" i="1"/>
  <c r="W29" i="1"/>
  <c r="AJ29" i="1" s="1"/>
  <c r="M29" i="1"/>
  <c r="AL29" i="1" s="1"/>
  <c r="F29" i="1"/>
  <c r="U29" i="1" s="1"/>
  <c r="E29" i="1"/>
  <c r="AN28" i="1"/>
  <c r="AO28" i="1" s="1"/>
  <c r="AL28" i="1"/>
  <c r="W28" i="1"/>
  <c r="M28" i="1"/>
  <c r="E28" i="1"/>
  <c r="AN27" i="1"/>
  <c r="AO27" i="1" s="1"/>
  <c r="AK27" i="1"/>
  <c r="Y27" i="1"/>
  <c r="W27" i="1"/>
  <c r="AJ27" i="1" s="1"/>
  <c r="M27" i="1"/>
  <c r="AL27" i="1" s="1"/>
  <c r="F27" i="1"/>
  <c r="U27" i="1" s="1"/>
  <c r="E27" i="1"/>
  <c r="AN26" i="1"/>
  <c r="AO26" i="1" s="1"/>
  <c r="AL26" i="1"/>
  <c r="AK26" i="1"/>
  <c r="W26" i="1"/>
  <c r="U26" i="1"/>
  <c r="M26" i="1"/>
  <c r="F26" i="1"/>
  <c r="E26" i="1"/>
  <c r="AN25" i="1"/>
  <c r="AO25" i="1" s="1"/>
  <c r="AK25" i="1"/>
  <c r="Y25" i="1"/>
  <c r="W25" i="1"/>
  <c r="AJ25" i="1" s="1"/>
  <c r="M25" i="1"/>
  <c r="AL25" i="1" s="1"/>
  <c r="F25" i="1"/>
  <c r="U25" i="1" s="1"/>
  <c r="E25" i="1"/>
  <c r="AN24" i="1"/>
  <c r="AO24" i="1" s="1"/>
  <c r="AL24" i="1"/>
  <c r="AK24" i="1"/>
  <c r="W24" i="1"/>
  <c r="U24" i="1"/>
  <c r="M24" i="1"/>
  <c r="F24" i="1"/>
  <c r="E24" i="1"/>
  <c r="AN23" i="1"/>
  <c r="AO23" i="1" s="1"/>
  <c r="AK23" i="1"/>
  <c r="Y23" i="1"/>
  <c r="W23" i="1"/>
  <c r="AJ23" i="1" s="1"/>
  <c r="M23" i="1"/>
  <c r="AL23" i="1" s="1"/>
  <c r="F23" i="1"/>
  <c r="U23" i="1" s="1"/>
  <c r="E23" i="1"/>
  <c r="AN22" i="1"/>
  <c r="AO22" i="1" s="1"/>
  <c r="AL22" i="1"/>
  <c r="AB22" i="1"/>
  <c r="AA22" i="1"/>
  <c r="AC22" i="1" s="1"/>
  <c r="W22" i="1"/>
  <c r="Y22" i="1" s="1"/>
  <c r="M22" i="1"/>
  <c r="E22" i="1"/>
  <c r="AN21" i="1"/>
  <c r="AO21" i="1" s="1"/>
  <c r="AK21" i="1"/>
  <c r="Y21" i="1"/>
  <c r="W21" i="1"/>
  <c r="AJ21" i="1" s="1"/>
  <c r="M21" i="1"/>
  <c r="AL21" i="1" s="1"/>
  <c r="F21" i="1"/>
  <c r="U21" i="1" s="1"/>
  <c r="E21" i="1"/>
  <c r="AN20" i="1"/>
  <c r="AO20" i="1" s="1"/>
  <c r="AL20" i="1"/>
  <c r="W20" i="1"/>
  <c r="M20" i="1"/>
  <c r="E20" i="1"/>
  <c r="AN19" i="1"/>
  <c r="AO19" i="1" s="1"/>
  <c r="Y19" i="1"/>
  <c r="W19" i="1"/>
  <c r="AJ19" i="1" s="1"/>
  <c r="M19" i="1"/>
  <c r="AL19" i="1" s="1"/>
  <c r="E19" i="1"/>
  <c r="AN18" i="1"/>
  <c r="AO18" i="1" s="1"/>
  <c r="AL18" i="1"/>
  <c r="W18" i="1"/>
  <c r="M18" i="1"/>
  <c r="E18" i="1"/>
  <c r="AN17" i="1"/>
  <c r="AO17" i="1" s="1"/>
  <c r="Y17" i="1"/>
  <c r="W17" i="1"/>
  <c r="AJ17" i="1" s="1"/>
  <c r="M17" i="1"/>
  <c r="AL17" i="1" s="1"/>
  <c r="E17" i="1"/>
  <c r="AN16" i="1"/>
  <c r="AO16" i="1" s="1"/>
  <c r="AL16" i="1"/>
  <c r="AK16" i="1"/>
  <c r="W16" i="1"/>
  <c r="U16" i="1"/>
  <c r="M16" i="1"/>
  <c r="F16" i="1"/>
  <c r="E16" i="1"/>
  <c r="AN15" i="1"/>
  <c r="AO15" i="1" s="1"/>
  <c r="AK15" i="1"/>
  <c r="Y15" i="1"/>
  <c r="W15" i="1"/>
  <c r="AJ15" i="1" s="1"/>
  <c r="M15" i="1"/>
  <c r="AL15" i="1" s="1"/>
  <c r="F15" i="1"/>
  <c r="U15" i="1" s="1"/>
  <c r="E15" i="1"/>
  <c r="AN14" i="1"/>
  <c r="AO14" i="1" s="1"/>
  <c r="AL14" i="1"/>
  <c r="AK14" i="1"/>
  <c r="W14" i="1"/>
  <c r="U14" i="1"/>
  <c r="M14" i="1"/>
  <c r="F14" i="1"/>
  <c r="E14" i="1"/>
  <c r="AN13" i="1"/>
  <c r="AN69" i="1" s="1"/>
  <c r="AK13" i="1"/>
  <c r="Y13" i="1"/>
  <c r="W13" i="1"/>
  <c r="AJ13" i="1" s="1"/>
  <c r="M13" i="1"/>
  <c r="M69" i="1" s="1"/>
  <c r="F13" i="1"/>
  <c r="E13" i="1"/>
  <c r="BX9" i="1"/>
  <c r="BI9" i="1"/>
  <c r="BC9" i="1"/>
  <c r="AZ9" i="1"/>
  <c r="AW9" i="1"/>
  <c r="AT9" i="1"/>
  <c r="AQ9" i="1"/>
  <c r="AN9" i="1"/>
  <c r="AI9" i="1"/>
  <c r="AE9" i="1"/>
  <c r="AC7" i="1"/>
  <c r="T7" i="1"/>
  <c r="R7" i="1"/>
  <c r="P7" i="1"/>
  <c r="N62" i="1" l="1"/>
  <c r="N60" i="1"/>
  <c r="N56" i="1"/>
  <c r="N50" i="1"/>
  <c r="N48" i="1"/>
  <c r="N46" i="1"/>
  <c r="N40" i="1"/>
  <c r="N36" i="1"/>
  <c r="N34" i="1"/>
  <c r="N26" i="1"/>
  <c r="N24" i="1"/>
  <c r="N20" i="1"/>
  <c r="N18" i="1"/>
  <c r="N63" i="1"/>
  <c r="N49" i="1"/>
  <c r="N45" i="1"/>
  <c r="N37" i="1"/>
  <c r="N35" i="1"/>
  <c r="N33" i="1"/>
  <c r="N29" i="1"/>
  <c r="N13" i="1"/>
  <c r="N66" i="1"/>
  <c r="N64" i="1"/>
  <c r="N58" i="1"/>
  <c r="N54" i="1"/>
  <c r="N52" i="1"/>
  <c r="N44" i="1"/>
  <c r="N42" i="1"/>
  <c r="N38" i="1"/>
  <c r="N32" i="1"/>
  <c r="N30" i="1"/>
  <c r="N28" i="1"/>
  <c r="N22" i="1"/>
  <c r="N16" i="1"/>
  <c r="N14" i="1"/>
  <c r="N61" i="1"/>
  <c r="N59" i="1"/>
  <c r="N51" i="1"/>
  <c r="N41" i="1"/>
  <c r="N39" i="1"/>
  <c r="N31" i="1"/>
  <c r="N27" i="1"/>
  <c r="N23" i="1"/>
  <c r="N21" i="1"/>
  <c r="N65" i="1"/>
  <c r="N57" i="1"/>
  <c r="N55" i="1"/>
  <c r="N53" i="1"/>
  <c r="N47" i="1"/>
  <c r="N43" i="1"/>
  <c r="N25" i="1"/>
  <c r="N19" i="1"/>
  <c r="N17" i="1"/>
  <c r="N15" i="1"/>
  <c r="W69" i="1"/>
  <c r="W70" i="1"/>
  <c r="AN79" i="1"/>
  <c r="AF44" i="2"/>
  <c r="AF52" i="2"/>
  <c r="AD54" i="2"/>
  <c r="W54" i="2"/>
  <c r="F45" i="4"/>
  <c r="AF56" i="2"/>
  <c r="AD58" i="2"/>
  <c r="W58" i="2"/>
  <c r="AD61" i="2"/>
  <c r="W61" i="2"/>
  <c r="AD64" i="2"/>
  <c r="W64" i="2"/>
  <c r="AH69" i="2"/>
  <c r="U70" i="2"/>
  <c r="AH79" i="2"/>
  <c r="X89" i="3"/>
  <c r="X21" i="3"/>
  <c r="Y16" i="3"/>
  <c r="AD30" i="3"/>
  <c r="AE27" i="3"/>
  <c r="Q69" i="3"/>
  <c r="Q84" i="3"/>
  <c r="Q88" i="3"/>
  <c r="Q90" i="3" s="1"/>
  <c r="X82" i="3"/>
  <c r="Y79" i="3"/>
  <c r="Z79" i="3"/>
  <c r="U13" i="1"/>
  <c r="AL13" i="1"/>
  <c r="X14" i="1"/>
  <c r="AJ14" i="1"/>
  <c r="X16" i="1"/>
  <c r="AJ16" i="1"/>
  <c r="X18" i="1"/>
  <c r="AJ18" i="1"/>
  <c r="X20" i="1"/>
  <c r="AJ20" i="1"/>
  <c r="X22" i="1"/>
  <c r="AJ22" i="1"/>
  <c r="X24" i="1"/>
  <c r="AJ24" i="1"/>
  <c r="X26" i="1"/>
  <c r="AJ26" i="1"/>
  <c r="X28" i="1"/>
  <c r="AJ28" i="1"/>
  <c r="X30" i="1"/>
  <c r="AJ30" i="1"/>
  <c r="X32" i="1"/>
  <c r="AJ32" i="1"/>
  <c r="X34" i="1"/>
  <c r="AJ34" i="1"/>
  <c r="X36" i="1"/>
  <c r="AJ36" i="1"/>
  <c r="X38" i="1"/>
  <c r="AJ38" i="1"/>
  <c r="X40" i="1"/>
  <c r="AJ40" i="1"/>
  <c r="X42" i="1"/>
  <c r="AJ42" i="1"/>
  <c r="X44" i="1"/>
  <c r="AJ44" i="1"/>
  <c r="X46" i="1"/>
  <c r="AJ46" i="1"/>
  <c r="X48" i="1"/>
  <c r="AJ48" i="1"/>
  <c r="X50" i="1"/>
  <c r="AJ50" i="1"/>
  <c r="X52" i="1"/>
  <c r="AJ52" i="1"/>
  <c r="X54" i="1"/>
  <c r="AJ54" i="1"/>
  <c r="X56" i="1"/>
  <c r="AJ56" i="1"/>
  <c r="X58" i="1"/>
  <c r="AJ58" i="1"/>
  <c r="X60" i="1"/>
  <c r="AJ60" i="1"/>
  <c r="X62" i="1"/>
  <c r="AJ62" i="1"/>
  <c r="X64" i="1"/>
  <c r="AJ64" i="1"/>
  <c r="X66" i="1"/>
  <c r="AJ66" i="1"/>
  <c r="F79" i="1"/>
  <c r="K79" i="2"/>
  <c r="V13" i="2"/>
  <c r="V14" i="2"/>
  <c r="V15" i="2"/>
  <c r="V16" i="2"/>
  <c r="H6" i="4"/>
  <c r="G6" i="4"/>
  <c r="V17" i="2"/>
  <c r="H7" i="4"/>
  <c r="G7" i="4"/>
  <c r="V18" i="2"/>
  <c r="G8" i="4"/>
  <c r="H8" i="4"/>
  <c r="V19" i="2"/>
  <c r="G9" i="4"/>
  <c r="H9" i="4" s="1"/>
  <c r="V20" i="2"/>
  <c r="V21" i="2"/>
  <c r="G11" i="4"/>
  <c r="H11" i="4" s="1"/>
  <c r="V22" i="2"/>
  <c r="V23" i="2"/>
  <c r="V24" i="2"/>
  <c r="V25" i="2"/>
  <c r="V26" i="2"/>
  <c r="V27" i="2"/>
  <c r="G17" i="4"/>
  <c r="H17" i="4" s="1"/>
  <c r="V28" i="2"/>
  <c r="V29" i="2"/>
  <c r="V30" i="2"/>
  <c r="G20" i="4"/>
  <c r="H20" i="4"/>
  <c r="V31" i="2"/>
  <c r="V32" i="2"/>
  <c r="G22" i="4"/>
  <c r="H22" i="4" s="1"/>
  <c r="V33" i="2"/>
  <c r="V34" i="2"/>
  <c r="G24" i="4"/>
  <c r="H24" i="4" s="1"/>
  <c r="V35" i="2"/>
  <c r="G25" i="4"/>
  <c r="H25" i="4" s="1"/>
  <c r="V36" i="2"/>
  <c r="V37" i="2"/>
  <c r="G27" i="4"/>
  <c r="H27" i="4"/>
  <c r="V38" i="2"/>
  <c r="V39" i="2"/>
  <c r="G29" i="4"/>
  <c r="H29" i="4" s="1"/>
  <c r="V40" i="2"/>
  <c r="H30" i="4"/>
  <c r="G30" i="4"/>
  <c r="V41" i="2"/>
  <c r="V42" i="2"/>
  <c r="AD43" i="2"/>
  <c r="W43" i="2"/>
  <c r="S44" i="2"/>
  <c r="AI44" i="2"/>
  <c r="AF45" i="2"/>
  <c r="AE46" i="2"/>
  <c r="AD47" i="2"/>
  <c r="W47" i="2"/>
  <c r="AI48" i="2"/>
  <c r="F38" i="4"/>
  <c r="AF49" i="2"/>
  <c r="AE50" i="2"/>
  <c r="AD51" i="2"/>
  <c r="W51" i="2"/>
  <c r="S52" i="2"/>
  <c r="AI52" i="2"/>
  <c r="AF53" i="2"/>
  <c r="V54" i="2"/>
  <c r="AD55" i="2"/>
  <c r="W55" i="2"/>
  <c r="AI56" i="2"/>
  <c r="F46" i="4"/>
  <c r="L57" i="2"/>
  <c r="AF57" i="2"/>
  <c r="V58" i="2"/>
  <c r="AI58" i="2"/>
  <c r="F48" i="4"/>
  <c r="AD60" i="2"/>
  <c r="W60" i="2"/>
  <c r="AF60" i="2"/>
  <c r="V61" i="2"/>
  <c r="AI61" i="2"/>
  <c r="V64" i="2"/>
  <c r="AI64" i="2"/>
  <c r="S89" i="3"/>
  <c r="S21" i="3"/>
  <c r="P73" i="3"/>
  <c r="L75" i="3"/>
  <c r="L85" i="3" s="1"/>
  <c r="L86" i="3" s="1"/>
  <c r="AB90" i="3"/>
  <c r="W7" i="1"/>
  <c r="Y18" i="1"/>
  <c r="Y20" i="1"/>
  <c r="Y36" i="1"/>
  <c r="Y46" i="1"/>
  <c r="Y50" i="1"/>
  <c r="Y58" i="1"/>
  <c r="Y64" i="1"/>
  <c r="W14" i="2"/>
  <c r="AI14" i="2"/>
  <c r="AD15" i="2"/>
  <c r="W16" i="2"/>
  <c r="AD16" i="2"/>
  <c r="AD17" i="2"/>
  <c r="W18" i="2"/>
  <c r="AI18" i="2"/>
  <c r="AD19" i="2"/>
  <c r="W20" i="2"/>
  <c r="AI20" i="2"/>
  <c r="AD21" i="2"/>
  <c r="W22" i="2"/>
  <c r="AD22" i="2"/>
  <c r="W23" i="2"/>
  <c r="AD23" i="2"/>
  <c r="AI24" i="2"/>
  <c r="AD25" i="2"/>
  <c r="W26" i="2"/>
  <c r="AI26" i="2"/>
  <c r="AD27" i="2"/>
  <c r="W28" i="2"/>
  <c r="AD28" i="2"/>
  <c r="AD29" i="2"/>
  <c r="W30" i="2"/>
  <c r="AD30" i="2"/>
  <c r="AD31" i="2"/>
  <c r="AD32" i="2"/>
  <c r="AD33" i="2"/>
  <c r="W34" i="2"/>
  <c r="AI34" i="2"/>
  <c r="AD35" i="2"/>
  <c r="W36" i="2"/>
  <c r="AD36" i="2"/>
  <c r="W37" i="2"/>
  <c r="AI37" i="2"/>
  <c r="W38" i="2"/>
  <c r="AI38" i="2"/>
  <c r="AD39" i="2"/>
  <c r="W40" i="2"/>
  <c r="AI40" i="2"/>
  <c r="AD41" i="2"/>
  <c r="AD42" i="2"/>
  <c r="L50" i="2"/>
  <c r="AF50" i="2"/>
  <c r="AD63" i="2"/>
  <c r="W63" i="2"/>
  <c r="L90" i="3"/>
  <c r="AD89" i="3"/>
  <c r="AD21" i="3"/>
  <c r="AB84" i="3"/>
  <c r="AB88" i="3"/>
  <c r="T67" i="3"/>
  <c r="U65" i="3"/>
  <c r="V65" i="3"/>
  <c r="AM4" i="6"/>
  <c r="U79" i="2"/>
  <c r="U69" i="2"/>
  <c r="AD46" i="2"/>
  <c r="W46" i="2"/>
  <c r="F37" i="4"/>
  <c r="F56" i="4" s="1"/>
  <c r="AD50" i="2"/>
  <c r="W50" i="2"/>
  <c r="Y14" i="1"/>
  <c r="Y16" i="1"/>
  <c r="Y24" i="1"/>
  <c r="Y26" i="1"/>
  <c r="Y28" i="1"/>
  <c r="Y30" i="1"/>
  <c r="Y32" i="1"/>
  <c r="Y34" i="1"/>
  <c r="Y42" i="1"/>
  <c r="Y44" i="1"/>
  <c r="Y48" i="1"/>
  <c r="Y52" i="1"/>
  <c r="Y54" i="1"/>
  <c r="Y60" i="1"/>
  <c r="Y62" i="1"/>
  <c r="Y66" i="1"/>
  <c r="W79" i="1"/>
  <c r="Y79" i="1" s="1"/>
  <c r="W13" i="2"/>
  <c r="AD13" i="2"/>
  <c r="W15" i="2"/>
  <c r="W17" i="2"/>
  <c r="W19" i="2"/>
  <c r="W21" i="2"/>
  <c r="W24" i="2"/>
  <c r="W25" i="2"/>
  <c r="W27" i="2"/>
  <c r="W29" i="2"/>
  <c r="W31" i="2"/>
  <c r="W32" i="2"/>
  <c r="W33" i="2"/>
  <c r="W35" i="2"/>
  <c r="W39" i="2"/>
  <c r="W41" i="2"/>
  <c r="W42" i="2"/>
  <c r="AD44" i="2"/>
  <c r="W44" i="2"/>
  <c r="AF46" i="2"/>
  <c r="AD48" i="2"/>
  <c r="W48" i="2"/>
  <c r="AD52" i="2"/>
  <c r="W52" i="2"/>
  <c r="F43" i="4"/>
  <c r="L54" i="2"/>
  <c r="AF54" i="2"/>
  <c r="AD56" i="2"/>
  <c r="W56" i="2"/>
  <c r="AD59" i="2"/>
  <c r="W59" i="2"/>
  <c r="AD66" i="2"/>
  <c r="W66" i="2"/>
  <c r="Q21" i="3"/>
  <c r="L84" i="3"/>
  <c r="L88" i="3"/>
  <c r="T41" i="3"/>
  <c r="V30" i="3"/>
  <c r="U30" i="3"/>
  <c r="AM12" i="6"/>
  <c r="X13" i="1"/>
  <c r="AO13" i="1"/>
  <c r="X15" i="1"/>
  <c r="X17" i="1"/>
  <c r="X19" i="1"/>
  <c r="X21" i="1"/>
  <c r="X23" i="1"/>
  <c r="X25" i="1"/>
  <c r="X27" i="1"/>
  <c r="X29" i="1"/>
  <c r="X31" i="1"/>
  <c r="X33" i="1"/>
  <c r="X35" i="1"/>
  <c r="X37" i="1"/>
  <c r="X39" i="1"/>
  <c r="X41" i="1"/>
  <c r="X43" i="1"/>
  <c r="X45" i="1"/>
  <c r="X47" i="1"/>
  <c r="X49" i="1"/>
  <c r="X51" i="1"/>
  <c r="X53" i="1"/>
  <c r="X55" i="1"/>
  <c r="X57" i="1"/>
  <c r="X59" i="1"/>
  <c r="X61" i="1"/>
  <c r="X63" i="1"/>
  <c r="X65" i="1"/>
  <c r="S13" i="2"/>
  <c r="AE13" i="2"/>
  <c r="S14" i="2"/>
  <c r="S15" i="2"/>
  <c r="S16" i="2"/>
  <c r="S21" i="2"/>
  <c r="S23" i="2"/>
  <c r="S24" i="2"/>
  <c r="S25" i="2"/>
  <c r="S26" i="2"/>
  <c r="S27" i="2"/>
  <c r="S29" i="2"/>
  <c r="S30" i="2"/>
  <c r="S32" i="2"/>
  <c r="S34" i="2"/>
  <c r="S37" i="2"/>
  <c r="S39" i="2"/>
  <c r="S42" i="2"/>
  <c r="L43" i="2"/>
  <c r="AF43" i="2"/>
  <c r="V44" i="2"/>
  <c r="AD45" i="2"/>
  <c r="W45" i="2"/>
  <c r="AI46" i="2"/>
  <c r="L47" i="2"/>
  <c r="AF47" i="2"/>
  <c r="V48" i="2"/>
  <c r="AD49" i="2"/>
  <c r="W49" i="2"/>
  <c r="AI50" i="2"/>
  <c r="AF51" i="2"/>
  <c r="V52" i="2"/>
  <c r="AD53" i="2"/>
  <c r="W53" i="2"/>
  <c r="AI54" i="2"/>
  <c r="L55" i="2"/>
  <c r="AF55" i="2"/>
  <c r="V56" i="2"/>
  <c r="AD57" i="2"/>
  <c r="W57" i="2"/>
  <c r="V59" i="2"/>
  <c r="AI59" i="2"/>
  <c r="L61" i="2"/>
  <c r="AD62" i="2"/>
  <c r="W62" i="2"/>
  <c r="AF62" i="2"/>
  <c r="V63" i="2"/>
  <c r="AI63" i="2"/>
  <c r="F53" i="4"/>
  <c r="L64" i="2"/>
  <c r="AD65" i="2"/>
  <c r="W65" i="2"/>
  <c r="AF65" i="2"/>
  <c r="V66" i="2"/>
  <c r="AI66" i="2"/>
  <c r="K69" i="2"/>
  <c r="L56" i="2" s="1"/>
  <c r="E79" i="2"/>
  <c r="V16" i="3"/>
  <c r="AE16" i="3"/>
  <c r="Z41" i="3"/>
  <c r="Y41" i="3"/>
  <c r="AB75" i="3"/>
  <c r="AB77" i="3" s="1"/>
  <c r="E57" i="4"/>
  <c r="AD40" i="3"/>
  <c r="AE40" i="3" s="1"/>
  <c r="Y52" i="3"/>
  <c r="U64" i="3"/>
  <c r="P84" i="3"/>
  <c r="D4" i="12"/>
  <c r="D4" i="11"/>
  <c r="D4" i="10"/>
  <c r="D4" i="9"/>
  <c r="D4" i="8"/>
  <c r="D4" i="7"/>
  <c r="D4" i="6"/>
  <c r="D5" i="12"/>
  <c r="D5" i="11"/>
  <c r="D5" i="9"/>
  <c r="D5" i="8"/>
  <c r="D5" i="10"/>
  <c r="D5" i="7"/>
  <c r="D5" i="6"/>
  <c r="D6" i="12"/>
  <c r="D6" i="11"/>
  <c r="D6" i="10"/>
  <c r="D6" i="9"/>
  <c r="D6" i="8"/>
  <c r="D6" i="7"/>
  <c r="D6" i="6"/>
  <c r="D7" i="12"/>
  <c r="D7" i="11"/>
  <c r="D7" i="9"/>
  <c r="D7" i="10"/>
  <c r="D7" i="7"/>
  <c r="D7" i="8"/>
  <c r="AL8" i="12"/>
  <c r="AL8" i="11"/>
  <c r="AL8" i="9"/>
  <c r="AL8" i="8"/>
  <c r="AL8" i="10"/>
  <c r="AL8" i="7"/>
  <c r="AL8" i="6"/>
  <c r="AK9" i="11"/>
  <c r="AN9" i="11" s="1"/>
  <c r="AK9" i="12"/>
  <c r="AK9" i="9"/>
  <c r="AK9" i="8"/>
  <c r="AK9" i="10"/>
  <c r="AK9" i="7"/>
  <c r="AK9" i="6"/>
  <c r="D12" i="12"/>
  <c r="D12" i="11"/>
  <c r="D12" i="9"/>
  <c r="D12" i="10"/>
  <c r="D12" i="8"/>
  <c r="D12" i="7"/>
  <c r="D12" i="6"/>
  <c r="AL13" i="12"/>
  <c r="AL13" i="10"/>
  <c r="AL13" i="8"/>
  <c r="AL13" i="9"/>
  <c r="AL13" i="11"/>
  <c r="AL13" i="7"/>
  <c r="AL13" i="6"/>
  <c r="AL14" i="12"/>
  <c r="AL14" i="11"/>
  <c r="AL14" i="10"/>
  <c r="AL14" i="9"/>
  <c r="AL14" i="7"/>
  <c r="AL14" i="8"/>
  <c r="AL15" i="12"/>
  <c r="AL15" i="11"/>
  <c r="AL15" i="9"/>
  <c r="AL15" i="10"/>
  <c r="AL15" i="8"/>
  <c r="AL15" i="7"/>
  <c r="AL15" i="6"/>
  <c r="AL16" i="12"/>
  <c r="AL16" i="11"/>
  <c r="AL16" i="10"/>
  <c r="AL16" i="9"/>
  <c r="AL16" i="8"/>
  <c r="AL16" i="7"/>
  <c r="AL17" i="12"/>
  <c r="AL17" i="11"/>
  <c r="AL17" i="9"/>
  <c r="AL17" i="10"/>
  <c r="AL17" i="8"/>
  <c r="AL17" i="7"/>
  <c r="AL17" i="6"/>
  <c r="AL18" i="12"/>
  <c r="AL18" i="11"/>
  <c r="AL18" i="10"/>
  <c r="AL18" i="9"/>
  <c r="AL18" i="8"/>
  <c r="AL18" i="7"/>
  <c r="AK19" i="12"/>
  <c r="AK19" i="11"/>
  <c r="AK19" i="10"/>
  <c r="AK19" i="8"/>
  <c r="AN19" i="8" s="1"/>
  <c r="AK19" i="9"/>
  <c r="AK19" i="7"/>
  <c r="AK19" i="6"/>
  <c r="AK20" i="12"/>
  <c r="AN20" i="12" s="1"/>
  <c r="AK20" i="9"/>
  <c r="AK20" i="11"/>
  <c r="AK20" i="10"/>
  <c r="AK20" i="8"/>
  <c r="AN20" i="8" s="1"/>
  <c r="AK20" i="7"/>
  <c r="AK20" i="6"/>
  <c r="AK21" i="12"/>
  <c r="AK21" i="11"/>
  <c r="AN21" i="11" s="1"/>
  <c r="AK21" i="9"/>
  <c r="AK21" i="10"/>
  <c r="AK21" i="8"/>
  <c r="AK21" i="7"/>
  <c r="AN21" i="7" s="1"/>
  <c r="AK21" i="6"/>
  <c r="D25" i="12"/>
  <c r="D25" i="11"/>
  <c r="D25" i="10"/>
  <c r="D25" i="9"/>
  <c r="D25" i="8"/>
  <c r="D25" i="7"/>
  <c r="AL26" i="12"/>
  <c r="AL26" i="10"/>
  <c r="AL26" i="9"/>
  <c r="AL26" i="8"/>
  <c r="AL26" i="7"/>
  <c r="AL26" i="11"/>
  <c r="AL26" i="6"/>
  <c r="AK27" i="12"/>
  <c r="AK27" i="10"/>
  <c r="AK27" i="11"/>
  <c r="AK27" i="8"/>
  <c r="AK27" i="9"/>
  <c r="AK27" i="6"/>
  <c r="AN27" i="6" s="1"/>
  <c r="AK27" i="7"/>
  <c r="AK28" i="12"/>
  <c r="AK28" i="11"/>
  <c r="AK28" i="10"/>
  <c r="AN28" i="10" s="1"/>
  <c r="AK28" i="9"/>
  <c r="AK28" i="8"/>
  <c r="AK28" i="7"/>
  <c r="AL32" i="12"/>
  <c r="AL32" i="11"/>
  <c r="AL32" i="10"/>
  <c r="AL32" i="9"/>
  <c r="AL32" i="8"/>
  <c r="AL32" i="7"/>
  <c r="AL33" i="12"/>
  <c r="AL33" i="11"/>
  <c r="AL33" i="10"/>
  <c r="AL33" i="9"/>
  <c r="AL33" i="7"/>
  <c r="AL33" i="8"/>
  <c r="AL33" i="6"/>
  <c r="AL34" i="12"/>
  <c r="AL34" i="11"/>
  <c r="AL34" i="10"/>
  <c r="AL34" i="8"/>
  <c r="AL34" i="7"/>
  <c r="AL34" i="9"/>
  <c r="AL34" i="6"/>
  <c r="AL35" i="12"/>
  <c r="AL35" i="10"/>
  <c r="AL35" i="11"/>
  <c r="AL35" i="9"/>
  <c r="AL35" i="8"/>
  <c r="AL35" i="7"/>
  <c r="AL35" i="6"/>
  <c r="AL36" i="12"/>
  <c r="AL36" i="11"/>
  <c r="AL36" i="9"/>
  <c r="AL36" i="10"/>
  <c r="AL36" i="8"/>
  <c r="AL36" i="7"/>
  <c r="AL37" i="12"/>
  <c r="AL37" i="10"/>
  <c r="AL37" i="9"/>
  <c r="AL37" i="8"/>
  <c r="AL37" i="7"/>
  <c r="AL37" i="11"/>
  <c r="AL37" i="6"/>
  <c r="AL38" i="12"/>
  <c r="AL38" i="11"/>
  <c r="AL38" i="10"/>
  <c r="AL38" i="9"/>
  <c r="AL38" i="8"/>
  <c r="AL38" i="7"/>
  <c r="AK39" i="12"/>
  <c r="AK39" i="11"/>
  <c r="AK39" i="10"/>
  <c r="AK39" i="9"/>
  <c r="AK39" i="8"/>
  <c r="AK39" i="7"/>
  <c r="AK39" i="6"/>
  <c r="D46" i="12"/>
  <c r="D46" i="11"/>
  <c r="D46" i="10"/>
  <c r="D46" i="9"/>
  <c r="D46" i="8"/>
  <c r="D46" i="6"/>
  <c r="D46" i="7"/>
  <c r="AL47" i="12"/>
  <c r="AL47" i="11"/>
  <c r="AL47" i="10"/>
  <c r="AL47" i="9"/>
  <c r="AL47" i="8"/>
  <c r="AL47" i="7"/>
  <c r="AL47" i="6"/>
  <c r="AK48" i="12"/>
  <c r="AK48" i="9"/>
  <c r="AN48" i="9" s="1"/>
  <c r="AK48" i="8"/>
  <c r="AK48" i="7"/>
  <c r="AK48" i="10"/>
  <c r="AK48" i="11"/>
  <c r="AN48" i="11" s="1"/>
  <c r="AK48" i="6"/>
  <c r="D51" i="12"/>
  <c r="D51" i="11"/>
  <c r="D51" i="10"/>
  <c r="D51" i="9"/>
  <c r="D51" i="8"/>
  <c r="D51" i="7"/>
  <c r="D51" i="6"/>
  <c r="D52" i="12"/>
  <c r="D52" i="11"/>
  <c r="D52" i="10"/>
  <c r="D52" i="7"/>
  <c r="D52" i="9"/>
  <c r="D52" i="8"/>
  <c r="D52" i="6"/>
  <c r="D53" i="12"/>
  <c r="D53" i="11"/>
  <c r="D53" i="10"/>
  <c r="D53" i="9"/>
  <c r="D53" i="8"/>
  <c r="D53" i="6"/>
  <c r="D53" i="7"/>
  <c r="D54" i="12"/>
  <c r="D54" i="11"/>
  <c r="D54" i="10"/>
  <c r="D54" i="9"/>
  <c r="D54" i="8"/>
  <c r="D54" i="7"/>
  <c r="D54" i="6"/>
  <c r="AL55" i="11"/>
  <c r="AL55" i="12"/>
  <c r="AL55" i="10"/>
  <c r="AL55" i="9"/>
  <c r="AL55" i="8"/>
  <c r="AL55" i="7"/>
  <c r="AL55" i="6"/>
  <c r="AL56" i="12"/>
  <c r="AL56" i="11"/>
  <c r="AL56" i="10"/>
  <c r="AL56" i="9"/>
  <c r="AL56" i="8"/>
  <c r="AL56" i="7"/>
  <c r="AL56" i="6"/>
  <c r="AL57" i="12"/>
  <c r="AL57" i="10"/>
  <c r="AL57" i="11"/>
  <c r="AL57" i="9"/>
  <c r="AL57" i="8"/>
  <c r="AL57" i="7"/>
  <c r="AL57" i="6"/>
  <c r="D71" i="4"/>
  <c r="BI4" i="6"/>
  <c r="BZ69" i="6"/>
  <c r="CA4" i="6"/>
  <c r="BP7" i="6"/>
  <c r="BO7" i="6"/>
  <c r="BQ7" i="6"/>
  <c r="BR7" i="6" s="1"/>
  <c r="BS7" i="6" s="1"/>
  <c r="BT7" i="6" s="1"/>
  <c r="BU7" i="6" s="1"/>
  <c r="BP9" i="6"/>
  <c r="BO9" i="6"/>
  <c r="BG11" i="6"/>
  <c r="BF11" i="6"/>
  <c r="BP13" i="6"/>
  <c r="BO13" i="6"/>
  <c r="AL14" i="6"/>
  <c r="BP21" i="6"/>
  <c r="BO21" i="6"/>
  <c r="BG25" i="6"/>
  <c r="BF25" i="6"/>
  <c r="BP29" i="6"/>
  <c r="BO29" i="6"/>
  <c r="BZ33" i="6"/>
  <c r="CA33" i="6" s="1"/>
  <c r="CB33" i="6" s="1"/>
  <c r="CC33" i="6" s="1"/>
  <c r="CD33" i="6" s="1"/>
  <c r="BH33" i="6"/>
  <c r="BI33" i="6" s="1"/>
  <c r="BJ33" i="6" s="1"/>
  <c r="BK33" i="6" s="1"/>
  <c r="BL33" i="6" s="1"/>
  <c r="BB33" i="6"/>
  <c r="BC34" i="6" s="1"/>
  <c r="BO33" i="6"/>
  <c r="AL38" i="6"/>
  <c r="BG39" i="6"/>
  <c r="BF39" i="6"/>
  <c r="S58" i="2"/>
  <c r="S60" i="2"/>
  <c r="S61" i="2"/>
  <c r="S62" i="2"/>
  <c r="S63" i="2"/>
  <c r="S65" i="2"/>
  <c r="S66" i="2"/>
  <c r="U16" i="3"/>
  <c r="L21" i="3"/>
  <c r="L77" i="3" s="1"/>
  <c r="T21" i="3"/>
  <c r="Y40" i="3"/>
  <c r="U52" i="3"/>
  <c r="V64" i="3"/>
  <c r="T75" i="3"/>
  <c r="AL9" i="11"/>
  <c r="AL9" i="12"/>
  <c r="AL9" i="10"/>
  <c r="AL9" i="9"/>
  <c r="AL9" i="8"/>
  <c r="AL9" i="7"/>
  <c r="AK10" i="12"/>
  <c r="AN10" i="12" s="1"/>
  <c r="AK10" i="11"/>
  <c r="AK10" i="10"/>
  <c r="AK10" i="9"/>
  <c r="AK10" i="8"/>
  <c r="AN10" i="8" s="1"/>
  <c r="AK10" i="7"/>
  <c r="D14" i="12"/>
  <c r="D14" i="11"/>
  <c r="D14" i="9"/>
  <c r="D14" i="10"/>
  <c r="D14" i="8"/>
  <c r="D14" i="7"/>
  <c r="D14" i="6"/>
  <c r="D15" i="12"/>
  <c r="D15" i="11"/>
  <c r="D15" i="10"/>
  <c r="D15" i="8"/>
  <c r="D15" i="9"/>
  <c r="D15" i="7"/>
  <c r="D15" i="6"/>
  <c r="D16" i="12"/>
  <c r="D16" i="11"/>
  <c r="D16" i="9"/>
  <c r="D16" i="8"/>
  <c r="D16" i="10"/>
  <c r="D16" i="6"/>
  <c r="D16" i="7"/>
  <c r="D17" i="11"/>
  <c r="D17" i="10"/>
  <c r="D17" i="12"/>
  <c r="D17" i="8"/>
  <c r="D17" i="9"/>
  <c r="D17" i="7"/>
  <c r="D17" i="6"/>
  <c r="D18" i="12"/>
  <c r="D18" i="11"/>
  <c r="D18" i="9"/>
  <c r="D18" i="10"/>
  <c r="D18" i="8"/>
  <c r="D18" i="7"/>
  <c r="D18" i="6"/>
  <c r="AL19" i="11"/>
  <c r="AL19" i="12"/>
  <c r="AL19" i="10"/>
  <c r="AL19" i="9"/>
  <c r="AL19" i="8"/>
  <c r="AL19" i="7"/>
  <c r="AL20" i="12"/>
  <c r="AL20" i="11"/>
  <c r="AL20" i="10"/>
  <c r="AL20" i="8"/>
  <c r="AL20" i="9"/>
  <c r="AL20" i="7"/>
  <c r="AL20" i="6"/>
  <c r="AL21" i="12"/>
  <c r="AL21" i="10"/>
  <c r="AL21" i="8"/>
  <c r="AL21" i="11"/>
  <c r="AL21" i="9"/>
  <c r="AL21" i="7"/>
  <c r="AL21" i="6"/>
  <c r="AK22" i="12"/>
  <c r="AK22" i="11"/>
  <c r="AK22" i="9"/>
  <c r="AN22" i="9" s="1"/>
  <c r="AK22" i="10"/>
  <c r="AN22" i="10" s="1"/>
  <c r="AK22" i="8"/>
  <c r="AK22" i="6"/>
  <c r="AK22" i="7"/>
  <c r="AK23" i="12"/>
  <c r="AN23" i="12" s="1"/>
  <c r="AK23" i="9"/>
  <c r="AK23" i="10"/>
  <c r="AK23" i="8"/>
  <c r="AK23" i="11"/>
  <c r="AN23" i="11" s="1"/>
  <c r="AK23" i="7"/>
  <c r="AK23" i="6"/>
  <c r="AL27" i="11"/>
  <c r="AL27" i="10"/>
  <c r="AL27" i="12"/>
  <c r="AL27" i="9"/>
  <c r="AL27" i="8"/>
  <c r="AL27" i="7"/>
  <c r="AL28" i="12"/>
  <c r="AL28" i="11"/>
  <c r="AL28" i="10"/>
  <c r="AL28" i="9"/>
  <c r="AL28" i="8"/>
  <c r="AL28" i="7"/>
  <c r="AL28" i="6"/>
  <c r="AK29" i="12"/>
  <c r="AN29" i="12" s="1"/>
  <c r="AK29" i="10"/>
  <c r="AK29" i="8"/>
  <c r="AK29" i="11"/>
  <c r="AN29" i="11" s="1"/>
  <c r="AK29" i="9"/>
  <c r="AN29" i="9" s="1"/>
  <c r="AK29" i="7"/>
  <c r="AK29" i="6"/>
  <c r="AN29" i="6" s="1"/>
  <c r="AK30" i="12"/>
  <c r="AK30" i="11"/>
  <c r="AN30" i="11" s="1"/>
  <c r="AK30" i="9"/>
  <c r="AK30" i="10"/>
  <c r="AK30" i="8"/>
  <c r="AK30" i="7"/>
  <c r="AN30" i="7" s="1"/>
  <c r="D33" i="12"/>
  <c r="D33" i="10"/>
  <c r="D33" i="11"/>
  <c r="D33" i="9"/>
  <c r="D33" i="8"/>
  <c r="D33" i="7"/>
  <c r="D33" i="6"/>
  <c r="D34" i="12"/>
  <c r="D34" i="11"/>
  <c r="D34" i="10"/>
  <c r="D34" i="9"/>
  <c r="D34" i="8"/>
  <c r="D34" i="7"/>
  <c r="D35" i="12"/>
  <c r="D35" i="10"/>
  <c r="D35" i="8"/>
  <c r="D35" i="7"/>
  <c r="D35" i="9"/>
  <c r="D35" i="6"/>
  <c r="D35" i="11"/>
  <c r="D36" i="12"/>
  <c r="D36" i="11"/>
  <c r="D36" i="10"/>
  <c r="D36" i="9"/>
  <c r="D36" i="8"/>
  <c r="D36" i="7"/>
  <c r="D36" i="6"/>
  <c r="D37" i="12"/>
  <c r="D37" i="11"/>
  <c r="D37" i="10"/>
  <c r="D37" i="8"/>
  <c r="D37" i="7"/>
  <c r="D37" i="9"/>
  <c r="D37" i="6"/>
  <c r="D38" i="12"/>
  <c r="D38" i="11"/>
  <c r="D38" i="10"/>
  <c r="D38" i="9"/>
  <c r="D38" i="8"/>
  <c r="D38" i="7"/>
  <c r="D38" i="6"/>
  <c r="AL39" i="12"/>
  <c r="AL39" i="11"/>
  <c r="AL39" i="10"/>
  <c r="AL39" i="9"/>
  <c r="AL39" i="8"/>
  <c r="AL39" i="7"/>
  <c r="AL39" i="6"/>
  <c r="AK40" i="12"/>
  <c r="AK40" i="11"/>
  <c r="AK40" i="10"/>
  <c r="AK40" i="9"/>
  <c r="AN40" i="9" s="1"/>
  <c r="AK40" i="8"/>
  <c r="AK40" i="7"/>
  <c r="AK40" i="6"/>
  <c r="AK41" i="12"/>
  <c r="AN41" i="12" s="1"/>
  <c r="AK41" i="11"/>
  <c r="AK41" i="10"/>
  <c r="AK41" i="9"/>
  <c r="AK41" i="8"/>
  <c r="AN41" i="8" s="1"/>
  <c r="AK41" i="6"/>
  <c r="AK41" i="7"/>
  <c r="AK42" i="12"/>
  <c r="AK42" i="11"/>
  <c r="AN42" i="11" s="1"/>
  <c r="AK42" i="10"/>
  <c r="AK42" i="7"/>
  <c r="AK42" i="9"/>
  <c r="AK42" i="8"/>
  <c r="AK42" i="6"/>
  <c r="AK43" i="11"/>
  <c r="AK43" i="10"/>
  <c r="AK43" i="9"/>
  <c r="AN43" i="9" s="1"/>
  <c r="AK43" i="8"/>
  <c r="AK43" i="12"/>
  <c r="AK43" i="7"/>
  <c r="AK43" i="6"/>
  <c r="AN43" i="6" s="1"/>
  <c r="AK44" i="12"/>
  <c r="AK44" i="11"/>
  <c r="AK44" i="10"/>
  <c r="AK44" i="9"/>
  <c r="AN44" i="9" s="1"/>
  <c r="AK44" i="8"/>
  <c r="AK44" i="7"/>
  <c r="AK44" i="6"/>
  <c r="AL48" i="12"/>
  <c r="AL48" i="11"/>
  <c r="AL48" i="10"/>
  <c r="AL48" i="9"/>
  <c r="AL48" i="8"/>
  <c r="AL48" i="7"/>
  <c r="AL48" i="6"/>
  <c r="AK49" i="11"/>
  <c r="AK49" i="12"/>
  <c r="AN49" i="12" s="1"/>
  <c r="AK49" i="10"/>
  <c r="AK49" i="9"/>
  <c r="AK49" i="8"/>
  <c r="AK49" i="7"/>
  <c r="AN49" i="7" s="1"/>
  <c r="AK49" i="6"/>
  <c r="D56" i="12"/>
  <c r="D56" i="11"/>
  <c r="D56" i="10"/>
  <c r="D56" i="7"/>
  <c r="D56" i="9"/>
  <c r="D56" i="8"/>
  <c r="D56" i="6"/>
  <c r="D57" i="12"/>
  <c r="D57" i="11"/>
  <c r="D57" i="10"/>
  <c r="D57" i="9"/>
  <c r="D57" i="8"/>
  <c r="D57" i="7"/>
  <c r="D57" i="6"/>
  <c r="K69" i="6"/>
  <c r="K60" i="6"/>
  <c r="L14" i="6" s="1"/>
  <c r="BN4" i="6"/>
  <c r="BE4" i="6"/>
  <c r="L4" i="6"/>
  <c r="BG8" i="6"/>
  <c r="BF8" i="6"/>
  <c r="AL9" i="6"/>
  <c r="CF10" i="6"/>
  <c r="BZ10" i="6"/>
  <c r="CA10" i="6" s="1"/>
  <c r="CB10" i="6" s="1"/>
  <c r="CC10" i="6" s="1"/>
  <c r="CD10" i="6" s="1"/>
  <c r="BQ10" i="6"/>
  <c r="BR10" i="6" s="1"/>
  <c r="BS10" i="6" s="1"/>
  <c r="BT10" i="6" s="1"/>
  <c r="BU10" i="6" s="1"/>
  <c r="BH10" i="6"/>
  <c r="BB10" i="6"/>
  <c r="L11" i="6"/>
  <c r="BN14" i="6"/>
  <c r="BE14" i="6"/>
  <c r="AL16" i="6"/>
  <c r="AL18" i="6"/>
  <c r="BO22" i="6"/>
  <c r="BG23" i="6"/>
  <c r="BF23" i="6"/>
  <c r="BR27" i="6"/>
  <c r="BS27" i="6" s="1"/>
  <c r="BT27" i="6" s="1"/>
  <c r="BU27" i="6" s="1"/>
  <c r="BZ28" i="6"/>
  <c r="CA28" i="6" s="1"/>
  <c r="CB28" i="6" s="1"/>
  <c r="CC28" i="6" s="1"/>
  <c r="CD28" i="6" s="1"/>
  <c r="BQ28" i="6"/>
  <c r="BH28" i="6"/>
  <c r="BB28" i="6"/>
  <c r="BO28" i="6"/>
  <c r="AK30" i="6"/>
  <c r="CA32" i="6"/>
  <c r="CB32" i="6" s="1"/>
  <c r="CC32" i="6" s="1"/>
  <c r="CD32" i="6" s="1"/>
  <c r="BI32" i="6"/>
  <c r="BJ32" i="6" s="1"/>
  <c r="BK32" i="6" s="1"/>
  <c r="BL32" i="6" s="1"/>
  <c r="BF33" i="6"/>
  <c r="BP33" i="6"/>
  <c r="CG33" i="6"/>
  <c r="BO37" i="6"/>
  <c r="BN38" i="6"/>
  <c r="BE38" i="6"/>
  <c r="L38" i="6"/>
  <c r="L39" i="6"/>
  <c r="Y72" i="3"/>
  <c r="T80" i="3"/>
  <c r="AK4" i="12"/>
  <c r="AK4" i="8"/>
  <c r="AK4" i="11"/>
  <c r="AK4" i="10"/>
  <c r="AK4" i="9"/>
  <c r="AK4" i="7"/>
  <c r="AK4" i="6"/>
  <c r="AK5" i="12"/>
  <c r="AN5" i="12" s="1"/>
  <c r="AK5" i="11"/>
  <c r="AK5" i="10"/>
  <c r="AK5" i="9"/>
  <c r="AK5" i="7"/>
  <c r="AN5" i="7" s="1"/>
  <c r="AK5" i="6"/>
  <c r="AK5" i="8"/>
  <c r="AK6" i="12"/>
  <c r="AN6" i="12" s="1"/>
  <c r="AK6" i="11"/>
  <c r="AN6" i="11" s="1"/>
  <c r="AK6" i="9"/>
  <c r="AK6" i="8"/>
  <c r="AK6" i="7"/>
  <c r="AN6" i="7" s="1"/>
  <c r="AK6" i="6"/>
  <c r="AN6" i="6" s="1"/>
  <c r="AK6" i="10"/>
  <c r="AK7" i="12"/>
  <c r="AK7" i="11"/>
  <c r="AK7" i="10"/>
  <c r="AN7" i="10" s="1"/>
  <c r="AK7" i="9"/>
  <c r="AK7" i="8"/>
  <c r="AK7" i="7"/>
  <c r="AK7" i="6"/>
  <c r="AN7" i="6" s="1"/>
  <c r="AL10" i="12"/>
  <c r="AL10" i="11"/>
  <c r="AL10" i="9"/>
  <c r="AL10" i="10"/>
  <c r="AL10" i="8"/>
  <c r="AL10" i="7"/>
  <c r="AL10" i="6"/>
  <c r="AK11" i="12"/>
  <c r="AN11" i="12" s="1"/>
  <c r="AK11" i="9"/>
  <c r="AK11" i="11"/>
  <c r="AK11" i="8"/>
  <c r="AN11" i="8" s="1"/>
  <c r="AK11" i="10"/>
  <c r="AN11" i="10" s="1"/>
  <c r="AK11" i="7"/>
  <c r="AK11" i="6"/>
  <c r="AK12" i="12"/>
  <c r="AK12" i="11"/>
  <c r="AN12" i="11" s="1"/>
  <c r="AK12" i="10"/>
  <c r="AK12" i="8"/>
  <c r="AK12" i="9"/>
  <c r="AK12" i="7"/>
  <c r="AK12" i="6"/>
  <c r="AN12" i="6" s="1"/>
  <c r="D20" i="12"/>
  <c r="D20" i="9"/>
  <c r="D20" i="10"/>
  <c r="D20" i="8"/>
  <c r="D20" i="11"/>
  <c r="D20" i="7"/>
  <c r="D20" i="6"/>
  <c r="D21" i="12"/>
  <c r="D21" i="11"/>
  <c r="D21" i="10"/>
  <c r="D21" i="9"/>
  <c r="D21" i="8"/>
  <c r="D21" i="7"/>
  <c r="AL22" i="12"/>
  <c r="AL22" i="11"/>
  <c r="AL22" i="9"/>
  <c r="AL22" i="10"/>
  <c r="AL22" i="8"/>
  <c r="AL22" i="7"/>
  <c r="AL22" i="6"/>
  <c r="AL23" i="12"/>
  <c r="AL23" i="10"/>
  <c r="AL23" i="8"/>
  <c r="AL23" i="11"/>
  <c r="AL23" i="9"/>
  <c r="AL23" i="7"/>
  <c r="AL23" i="6"/>
  <c r="AK24" i="12"/>
  <c r="AK24" i="11"/>
  <c r="AK24" i="9"/>
  <c r="AN24" i="9" s="1"/>
  <c r="AK24" i="10"/>
  <c r="AK24" i="8"/>
  <c r="AK24" i="7"/>
  <c r="AK24" i="6"/>
  <c r="AK25" i="12"/>
  <c r="AN25" i="12" s="1"/>
  <c r="AK25" i="10"/>
  <c r="AK25" i="9"/>
  <c r="AK25" i="8"/>
  <c r="AK25" i="11"/>
  <c r="AN25" i="11" s="1"/>
  <c r="AK25" i="7"/>
  <c r="AK25" i="6"/>
  <c r="D28" i="12"/>
  <c r="D28" i="10"/>
  <c r="D28" i="11"/>
  <c r="D28" i="9"/>
  <c r="D28" i="8"/>
  <c r="D28" i="7"/>
  <c r="D28" i="6"/>
  <c r="AL29" i="11"/>
  <c r="AL29" i="12"/>
  <c r="AL29" i="10"/>
  <c r="AL29" i="9"/>
  <c r="AL29" i="8"/>
  <c r="AL29" i="7"/>
  <c r="AL30" i="12"/>
  <c r="AL30" i="11"/>
  <c r="AL30" i="9"/>
  <c r="AL30" i="10"/>
  <c r="AL30" i="8"/>
  <c r="AL30" i="7"/>
  <c r="AL30" i="6"/>
  <c r="AK31" i="12"/>
  <c r="AN31" i="12" s="1"/>
  <c r="AK31" i="10"/>
  <c r="AK31" i="11"/>
  <c r="AK31" i="8"/>
  <c r="AK31" i="9"/>
  <c r="AN31" i="9" s="1"/>
  <c r="AK31" i="6"/>
  <c r="AN31" i="6" s="1"/>
  <c r="AK31" i="7"/>
  <c r="AL40" i="12"/>
  <c r="AL40" i="11"/>
  <c r="AL40" i="10"/>
  <c r="AL40" i="9"/>
  <c r="AL40" i="8"/>
  <c r="AL40" i="7"/>
  <c r="AL40" i="6"/>
  <c r="AL41" i="12"/>
  <c r="AL41" i="11"/>
  <c r="AL41" i="10"/>
  <c r="AL41" i="9"/>
  <c r="AL41" i="8"/>
  <c r="AL41" i="7"/>
  <c r="AL41" i="6"/>
  <c r="AL42" i="12"/>
  <c r="AL42" i="11"/>
  <c r="AL42" i="10"/>
  <c r="AL42" i="9"/>
  <c r="AL42" i="8"/>
  <c r="AL42" i="7"/>
  <c r="AL42" i="6"/>
  <c r="AL43" i="12"/>
  <c r="AL43" i="10"/>
  <c r="AL43" i="9"/>
  <c r="AL43" i="8"/>
  <c r="AL43" i="11"/>
  <c r="AL43" i="7"/>
  <c r="AL43" i="6"/>
  <c r="AL44" i="12"/>
  <c r="AL44" i="11"/>
  <c r="AL44" i="10"/>
  <c r="AL44" i="9"/>
  <c r="AL44" i="8"/>
  <c r="AL44" i="7"/>
  <c r="AL44" i="6"/>
  <c r="AK45" i="12"/>
  <c r="AK45" i="10"/>
  <c r="AK45" i="11"/>
  <c r="AN45" i="11" s="1"/>
  <c r="AK45" i="9"/>
  <c r="AN45" i="9" s="1"/>
  <c r="AK45" i="8"/>
  <c r="AK45" i="7"/>
  <c r="AK45" i="6"/>
  <c r="AN45" i="6" s="1"/>
  <c r="AK46" i="12"/>
  <c r="AN46" i="12" s="1"/>
  <c r="AK46" i="11"/>
  <c r="AK46" i="7"/>
  <c r="AK46" i="10"/>
  <c r="AN46" i="10" s="1"/>
  <c r="AK46" i="9"/>
  <c r="AN46" i="9" s="1"/>
  <c r="AK46" i="8"/>
  <c r="AK46" i="6"/>
  <c r="AL49" i="12"/>
  <c r="AL49" i="11"/>
  <c r="AL49" i="10"/>
  <c r="AL49" i="7"/>
  <c r="AL49" i="9"/>
  <c r="AL49" i="8"/>
  <c r="AL49" i="6"/>
  <c r="AK50" i="12"/>
  <c r="AK50" i="11"/>
  <c r="AN50" i="11" s="1"/>
  <c r="AK50" i="10"/>
  <c r="AN50" i="10" s="1"/>
  <c r="AK50" i="9"/>
  <c r="AK50" i="8"/>
  <c r="AK50" i="6"/>
  <c r="AN50" i="6" s="1"/>
  <c r="AK50" i="7"/>
  <c r="AN50" i="7" s="1"/>
  <c r="AK51" i="11"/>
  <c r="AK51" i="10"/>
  <c r="AK51" i="9"/>
  <c r="AK51" i="8"/>
  <c r="AK51" i="12"/>
  <c r="AK51" i="7"/>
  <c r="AK51" i="6"/>
  <c r="AN51" i="6" s="1"/>
  <c r="AK52" i="12"/>
  <c r="AN52" i="12" s="1"/>
  <c r="AK52" i="11"/>
  <c r="AK52" i="10"/>
  <c r="AK52" i="9"/>
  <c r="AN52" i="9" s="1"/>
  <c r="AK52" i="8"/>
  <c r="AN52" i="8" s="1"/>
  <c r="AK52" i="6"/>
  <c r="AK52" i="7"/>
  <c r="AK53" i="12"/>
  <c r="AN53" i="12" s="1"/>
  <c r="AK53" i="11"/>
  <c r="AN53" i="11" s="1"/>
  <c r="AK53" i="10"/>
  <c r="AK53" i="7"/>
  <c r="AK53" i="8"/>
  <c r="AN53" i="8" s="1"/>
  <c r="AK53" i="9"/>
  <c r="AK53" i="6"/>
  <c r="AK54" i="12"/>
  <c r="AK54" i="11"/>
  <c r="AN54" i="11" s="1"/>
  <c r="AK54" i="10"/>
  <c r="AN54" i="10" s="1"/>
  <c r="AK54" i="9"/>
  <c r="AK54" i="8"/>
  <c r="AK54" i="6"/>
  <c r="AN54" i="6" s="1"/>
  <c r="AK54" i="7"/>
  <c r="AN54" i="7" s="1"/>
  <c r="BR4" i="6"/>
  <c r="L8" i="6"/>
  <c r="BP11" i="6"/>
  <c r="BO11" i="6"/>
  <c r="BG13" i="6"/>
  <c r="BF13" i="6"/>
  <c r="BR14" i="6"/>
  <c r="BS14" i="6" s="1"/>
  <c r="BT14" i="6" s="1"/>
  <c r="BU14" i="6" s="1"/>
  <c r="BN16" i="6"/>
  <c r="BE16" i="6"/>
  <c r="L16" i="6"/>
  <c r="BQ17" i="6"/>
  <c r="BR17" i="6" s="1"/>
  <c r="BS17" i="6" s="1"/>
  <c r="BT17" i="6" s="1"/>
  <c r="BU17" i="6" s="1"/>
  <c r="BP17" i="6"/>
  <c r="BN18" i="6"/>
  <c r="BE18" i="6"/>
  <c r="L18" i="6"/>
  <c r="AL19" i="6"/>
  <c r="BG21" i="6"/>
  <c r="BF21" i="6"/>
  <c r="D25" i="6"/>
  <c r="BP25" i="6"/>
  <c r="BO25" i="6"/>
  <c r="BP27" i="6"/>
  <c r="BO27" i="6"/>
  <c r="BG33" i="6"/>
  <c r="D34" i="6"/>
  <c r="AL36" i="6"/>
  <c r="BR38" i="6"/>
  <c r="BS38" i="6" s="1"/>
  <c r="BT38" i="6" s="1"/>
  <c r="BU38" i="6" s="1"/>
  <c r="BP39" i="6"/>
  <c r="BO39" i="6"/>
  <c r="AL4" i="12"/>
  <c r="AL4" i="11"/>
  <c r="AL4" i="10"/>
  <c r="AL4" i="8"/>
  <c r="AL4" i="9"/>
  <c r="AL4" i="7"/>
  <c r="AL5" i="12"/>
  <c r="AL5" i="10"/>
  <c r="AL5" i="9"/>
  <c r="AL5" i="11"/>
  <c r="AL5" i="8"/>
  <c r="AL5" i="7"/>
  <c r="AL5" i="6"/>
  <c r="AL6" i="12"/>
  <c r="AL6" i="11"/>
  <c r="AL6" i="10"/>
  <c r="AL6" i="9"/>
  <c r="AL6" i="7"/>
  <c r="AL6" i="8"/>
  <c r="AL7" i="12"/>
  <c r="AL7" i="11"/>
  <c r="AL7" i="9"/>
  <c r="AL7" i="8"/>
  <c r="AL7" i="10"/>
  <c r="AL7" i="7"/>
  <c r="AL7" i="6"/>
  <c r="AK8" i="12"/>
  <c r="AN8" i="12" s="1"/>
  <c r="AK8" i="10"/>
  <c r="AN8" i="10" s="1"/>
  <c r="AK8" i="9"/>
  <c r="AN8" i="9" s="1"/>
  <c r="AK8" i="11"/>
  <c r="AN8" i="11" s="1"/>
  <c r="AK8" i="8"/>
  <c r="AK8" i="7"/>
  <c r="AN8" i="7" s="1"/>
  <c r="AK8" i="6"/>
  <c r="AN8" i="6" s="1"/>
  <c r="AL11" i="12"/>
  <c r="AL11" i="11"/>
  <c r="AL11" i="10"/>
  <c r="AL11" i="9"/>
  <c r="AL11" i="8"/>
  <c r="AL11" i="7"/>
  <c r="AL11" i="6"/>
  <c r="AL12" i="12"/>
  <c r="AL12" i="11"/>
  <c r="AL12" i="10"/>
  <c r="AL12" i="9"/>
  <c r="AL12" i="7"/>
  <c r="AL12" i="8"/>
  <c r="AK13" i="12"/>
  <c r="AN13" i="12" s="1"/>
  <c r="AK13" i="9"/>
  <c r="AN13" i="9" s="1"/>
  <c r="AK13" i="10"/>
  <c r="AN13" i="10" s="1"/>
  <c r="AK13" i="8"/>
  <c r="AK13" i="11"/>
  <c r="AN13" i="11" s="1"/>
  <c r="AK13" i="7"/>
  <c r="AN13" i="7" s="1"/>
  <c r="AK13" i="6"/>
  <c r="AN13" i="6" s="1"/>
  <c r="AK14" i="11"/>
  <c r="AN14" i="11" s="1"/>
  <c r="AK14" i="10"/>
  <c r="AN14" i="10" s="1"/>
  <c r="AK14" i="8"/>
  <c r="AN14" i="8" s="1"/>
  <c r="AK14" i="9"/>
  <c r="AN14" i="9" s="1"/>
  <c r="AK14" i="12"/>
  <c r="AN14" i="12" s="1"/>
  <c r="AK14" i="7"/>
  <c r="AN14" i="7" s="1"/>
  <c r="AK14" i="6"/>
  <c r="AK15" i="12"/>
  <c r="AN15" i="12" s="1"/>
  <c r="AK15" i="11"/>
  <c r="AK15" i="9"/>
  <c r="AN15" i="9" s="1"/>
  <c r="AK15" i="10"/>
  <c r="AN15" i="10" s="1"/>
  <c r="AK15" i="8"/>
  <c r="AN15" i="8" s="1"/>
  <c r="AK15" i="6"/>
  <c r="AN15" i="6" s="1"/>
  <c r="AK15" i="7"/>
  <c r="AK16" i="12"/>
  <c r="AN16" i="12" s="1"/>
  <c r="AK16" i="11"/>
  <c r="AN16" i="11" s="1"/>
  <c r="AK16" i="10"/>
  <c r="AK16" i="8"/>
  <c r="AN16" i="8" s="1"/>
  <c r="AK16" i="9"/>
  <c r="AN16" i="9" s="1"/>
  <c r="AK16" i="7"/>
  <c r="AN16" i="7" s="1"/>
  <c r="AK16" i="6"/>
  <c r="AK17" i="12"/>
  <c r="AK17" i="11"/>
  <c r="AN17" i="11" s="1"/>
  <c r="AK17" i="9"/>
  <c r="AN17" i="9" s="1"/>
  <c r="AK17" i="10"/>
  <c r="AN17" i="10" s="1"/>
  <c r="AK17" i="8"/>
  <c r="AK17" i="7"/>
  <c r="AN17" i="7" s="1"/>
  <c r="AK17" i="6"/>
  <c r="AN17" i="6" s="1"/>
  <c r="AK18" i="11"/>
  <c r="AK18" i="10"/>
  <c r="AN18" i="10" s="1"/>
  <c r="AK18" i="12"/>
  <c r="AN18" i="12" s="1"/>
  <c r="AK18" i="8"/>
  <c r="AN18" i="8" s="1"/>
  <c r="AK18" i="9"/>
  <c r="AN18" i="9" s="1"/>
  <c r="AK18" i="7"/>
  <c r="AK18" i="6"/>
  <c r="D23" i="12"/>
  <c r="D23" i="11"/>
  <c r="D23" i="10"/>
  <c r="D23" i="9"/>
  <c r="D23" i="8"/>
  <c r="D23" i="7"/>
  <c r="AL24" i="12"/>
  <c r="AL24" i="11"/>
  <c r="AL24" i="10"/>
  <c r="AL24" i="9"/>
  <c r="AL24" i="8"/>
  <c r="AL24" i="7"/>
  <c r="AL24" i="6"/>
  <c r="AL25" i="12"/>
  <c r="AL25" i="10"/>
  <c r="AL25" i="11"/>
  <c r="AL25" i="8"/>
  <c r="AL25" i="9"/>
  <c r="AL25" i="7"/>
  <c r="AL25" i="6"/>
  <c r="AK26" i="12"/>
  <c r="AN26" i="12" s="1"/>
  <c r="AK26" i="11"/>
  <c r="AN26" i="11" s="1"/>
  <c r="AK26" i="9"/>
  <c r="AN26" i="9" s="1"/>
  <c r="AK26" i="10"/>
  <c r="AN26" i="10" s="1"/>
  <c r="AK26" i="8"/>
  <c r="AN26" i="8" s="1"/>
  <c r="AK26" i="7"/>
  <c r="AK26" i="6"/>
  <c r="AN26" i="6" s="1"/>
  <c r="D30" i="12"/>
  <c r="D30" i="10"/>
  <c r="D30" i="9"/>
  <c r="D30" i="11"/>
  <c r="D30" i="8"/>
  <c r="D30" i="7"/>
  <c r="D30" i="6"/>
  <c r="AL31" i="12"/>
  <c r="AL31" i="11"/>
  <c r="AL31" i="10"/>
  <c r="AL31" i="9"/>
  <c r="AL31" i="8"/>
  <c r="AL31" i="7"/>
  <c r="AK32" i="12"/>
  <c r="AN32" i="12" s="1"/>
  <c r="AK32" i="10"/>
  <c r="AN32" i="10" s="1"/>
  <c r="AK32" i="11"/>
  <c r="AN32" i="11" s="1"/>
  <c r="AK32" i="9"/>
  <c r="AN32" i="9" s="1"/>
  <c r="AK32" i="8"/>
  <c r="AN32" i="8" s="1"/>
  <c r="AK32" i="7"/>
  <c r="AN32" i="7" s="1"/>
  <c r="AK32" i="6"/>
  <c r="AK33" i="12"/>
  <c r="AN33" i="12" s="1"/>
  <c r="AK33" i="11"/>
  <c r="AN33" i="11" s="1"/>
  <c r="AK33" i="10"/>
  <c r="AK33" i="9"/>
  <c r="AN33" i="9" s="1"/>
  <c r="AK33" i="8"/>
  <c r="AN33" i="8" s="1"/>
  <c r="AK33" i="7"/>
  <c r="AN33" i="7" s="1"/>
  <c r="AK34" i="12"/>
  <c r="AN34" i="12" s="1"/>
  <c r="AK34" i="10"/>
  <c r="AN34" i="10" s="1"/>
  <c r="AK34" i="9"/>
  <c r="AN34" i="9" s="1"/>
  <c r="AK34" i="11"/>
  <c r="AN34" i="11" s="1"/>
  <c r="AK34" i="8"/>
  <c r="AK34" i="7"/>
  <c r="AN34" i="7" s="1"/>
  <c r="AK34" i="6"/>
  <c r="AN34" i="6" s="1"/>
  <c r="AK35" i="12"/>
  <c r="AN35" i="12" s="1"/>
  <c r="AK35" i="11"/>
  <c r="AN35" i="11" s="1"/>
  <c r="AK35" i="10"/>
  <c r="AN35" i="10" s="1"/>
  <c r="AK35" i="9"/>
  <c r="AN35" i="9" s="1"/>
  <c r="AK35" i="8"/>
  <c r="AN35" i="8" s="1"/>
  <c r="AK35" i="7"/>
  <c r="AN35" i="7" s="1"/>
  <c r="AK35" i="6"/>
  <c r="AN35" i="6" s="1"/>
  <c r="AK36" i="12"/>
  <c r="AN36" i="12" s="1"/>
  <c r="AK36" i="11"/>
  <c r="AN36" i="11" s="1"/>
  <c r="AK36" i="10"/>
  <c r="AN36" i="10" s="1"/>
  <c r="AK36" i="8"/>
  <c r="AN36" i="8" s="1"/>
  <c r="AK36" i="7"/>
  <c r="AK36" i="9"/>
  <c r="AN36" i="9" s="1"/>
  <c r="AK36" i="6"/>
  <c r="AK37" i="12"/>
  <c r="AN37" i="12" s="1"/>
  <c r="AK37" i="11"/>
  <c r="AN37" i="11" s="1"/>
  <c r="AK37" i="10"/>
  <c r="AN37" i="10" s="1"/>
  <c r="AK37" i="9"/>
  <c r="AN37" i="9" s="1"/>
  <c r="AK37" i="8"/>
  <c r="AK37" i="7"/>
  <c r="AN37" i="7" s="1"/>
  <c r="AK37" i="6"/>
  <c r="AN37" i="6" s="1"/>
  <c r="AK38" i="12"/>
  <c r="AK38" i="10"/>
  <c r="AN38" i="10" s="1"/>
  <c r="AK38" i="8"/>
  <c r="AK38" i="7"/>
  <c r="AN38" i="7" s="1"/>
  <c r="AK38" i="11"/>
  <c r="AN38" i="11" s="1"/>
  <c r="AK38" i="9"/>
  <c r="AN38" i="9" s="1"/>
  <c r="AK38" i="6"/>
  <c r="D41" i="12"/>
  <c r="D41" i="11"/>
  <c r="D41" i="10"/>
  <c r="D41" i="7"/>
  <c r="D41" i="9"/>
  <c r="D41" i="8"/>
  <c r="D41" i="6"/>
  <c r="D42" i="12"/>
  <c r="D42" i="11"/>
  <c r="D42" i="10"/>
  <c r="D42" i="9"/>
  <c r="D42" i="8"/>
  <c r="D42" i="6"/>
  <c r="D42" i="7"/>
  <c r="D43" i="12"/>
  <c r="D43" i="11"/>
  <c r="D43" i="9"/>
  <c r="D43" i="8"/>
  <c r="D43" i="7"/>
  <c r="D43" i="10"/>
  <c r="D43" i="6"/>
  <c r="D44" i="12"/>
  <c r="D44" i="11"/>
  <c r="D44" i="10"/>
  <c r="D44" i="9"/>
  <c r="D44" i="8"/>
  <c r="D44" i="6"/>
  <c r="D44" i="7"/>
  <c r="AL45" i="12"/>
  <c r="AL45" i="10"/>
  <c r="AL45" i="7"/>
  <c r="AL45" i="9"/>
  <c r="AL45" i="8"/>
  <c r="AL45" i="11"/>
  <c r="AL45" i="6"/>
  <c r="AL46" i="12"/>
  <c r="AL46" i="11"/>
  <c r="AL46" i="10"/>
  <c r="AL46" i="9"/>
  <c r="AL46" i="8"/>
  <c r="AL46" i="7"/>
  <c r="AL46" i="6"/>
  <c r="AK47" i="12"/>
  <c r="AK47" i="10"/>
  <c r="AN47" i="10" s="1"/>
  <c r="AK47" i="11"/>
  <c r="AN47" i="11" s="1"/>
  <c r="AK47" i="9"/>
  <c r="AN47" i="9" s="1"/>
  <c r="AK47" i="8"/>
  <c r="AK47" i="7"/>
  <c r="AN47" i="7" s="1"/>
  <c r="AK47" i="6"/>
  <c r="AN47" i="6" s="1"/>
  <c r="D49" i="12"/>
  <c r="D49" i="11"/>
  <c r="D49" i="10"/>
  <c r="D49" i="9"/>
  <c r="D49" i="8"/>
  <c r="D49" i="6"/>
  <c r="D49" i="7"/>
  <c r="AL50" i="12"/>
  <c r="AL50" i="11"/>
  <c r="AL50" i="10"/>
  <c r="AL50" i="9"/>
  <c r="AL50" i="8"/>
  <c r="AL50" i="7"/>
  <c r="AL50" i="6"/>
  <c r="AL51" i="12"/>
  <c r="AL51" i="11"/>
  <c r="AL51" i="10"/>
  <c r="AL51" i="7"/>
  <c r="AL51" i="9"/>
  <c r="AL51" i="8"/>
  <c r="AL51" i="6"/>
  <c r="AL52" i="12"/>
  <c r="AL52" i="11"/>
  <c r="AL52" i="10"/>
  <c r="AL52" i="9"/>
  <c r="AL52" i="8"/>
  <c r="AL52" i="7"/>
  <c r="AL52" i="6"/>
  <c r="AL53" i="12"/>
  <c r="AL53" i="11"/>
  <c r="AL53" i="10"/>
  <c r="AL53" i="9"/>
  <c r="AL53" i="8"/>
  <c r="AL53" i="7"/>
  <c r="AL53" i="6"/>
  <c r="AL54" i="12"/>
  <c r="AL54" i="11"/>
  <c r="AL54" i="10"/>
  <c r="AL54" i="9"/>
  <c r="AL54" i="8"/>
  <c r="AL54" i="7"/>
  <c r="AL54" i="6"/>
  <c r="AK55" i="12"/>
  <c r="AN55" i="12" s="1"/>
  <c r="AK55" i="11"/>
  <c r="AN55" i="11" s="1"/>
  <c r="AK55" i="10"/>
  <c r="AK55" i="9"/>
  <c r="AN55" i="9" s="1"/>
  <c r="AK55" i="8"/>
  <c r="AN55" i="8" s="1"/>
  <c r="AK55" i="7"/>
  <c r="AN55" i="7" s="1"/>
  <c r="AK55" i="6"/>
  <c r="AK56" i="12"/>
  <c r="AN56" i="12" s="1"/>
  <c r="AK56" i="11"/>
  <c r="AN56" i="11" s="1"/>
  <c r="AK56" i="10"/>
  <c r="AN56" i="10" s="1"/>
  <c r="AK56" i="9"/>
  <c r="AK56" i="8"/>
  <c r="AN56" i="8" s="1"/>
  <c r="AK56" i="6"/>
  <c r="AN56" i="6" s="1"/>
  <c r="AK56" i="7"/>
  <c r="AN56" i="7" s="1"/>
  <c r="AK57" i="12"/>
  <c r="AK57" i="11"/>
  <c r="AN57" i="11" s="1"/>
  <c r="AK57" i="10"/>
  <c r="AN57" i="10" s="1"/>
  <c r="AK57" i="7"/>
  <c r="AN57" i="7" s="1"/>
  <c r="AK57" i="9"/>
  <c r="AN57" i="9" s="1"/>
  <c r="AK57" i="8"/>
  <c r="AK57" i="6"/>
  <c r="AN57" i="6" s="1"/>
  <c r="BB4" i="6"/>
  <c r="BO5" i="6"/>
  <c r="BN6" i="6"/>
  <c r="BE6" i="6"/>
  <c r="L6" i="6"/>
  <c r="D7" i="6"/>
  <c r="BP8" i="6"/>
  <c r="BO8" i="6"/>
  <c r="BN10" i="6"/>
  <c r="BE10" i="6"/>
  <c r="L10" i="6"/>
  <c r="AK10" i="6"/>
  <c r="AN10" i="6" s="1"/>
  <c r="BN12" i="6"/>
  <c r="BE12" i="6"/>
  <c r="L12" i="6"/>
  <c r="L13" i="6"/>
  <c r="D23" i="6"/>
  <c r="BP23" i="6"/>
  <c r="BO23" i="6"/>
  <c r="BO26" i="6"/>
  <c r="AL27" i="6"/>
  <c r="AK28" i="6"/>
  <c r="AN28" i="6" s="1"/>
  <c r="BZ30" i="6"/>
  <c r="CA30" i="6" s="1"/>
  <c r="CB30" i="6" s="1"/>
  <c r="CC30" i="6" s="1"/>
  <c r="CD30" i="6" s="1"/>
  <c r="BQ30" i="6"/>
  <c r="BH30" i="6"/>
  <c r="BB30" i="6"/>
  <c r="BO30" i="6"/>
  <c r="AL31" i="6"/>
  <c r="AL32" i="6"/>
  <c r="BP34" i="6"/>
  <c r="BO34" i="6"/>
  <c r="BN36" i="6"/>
  <c r="BE36" i="6"/>
  <c r="L36" i="6"/>
  <c r="BN42" i="6"/>
  <c r="BE42" i="6"/>
  <c r="L42" i="6"/>
  <c r="BB42" i="6"/>
  <c r="L47" i="6"/>
  <c r="BN52" i="6"/>
  <c r="BE52" i="6"/>
  <c r="L52" i="6"/>
  <c r="BN56" i="6"/>
  <c r="BE56" i="6"/>
  <c r="L56" i="6"/>
  <c r="BZ5" i="7"/>
  <c r="CA5" i="7" s="1"/>
  <c r="CB5" i="7" s="1"/>
  <c r="CC5" i="7" s="1"/>
  <c r="CD5" i="7" s="1"/>
  <c r="BQ5" i="7"/>
  <c r="BR5" i="7" s="1"/>
  <c r="BS5" i="7" s="1"/>
  <c r="BT5" i="7" s="1"/>
  <c r="BU5" i="7" s="1"/>
  <c r="BH5" i="7"/>
  <c r="BB5" i="7"/>
  <c r="BO5" i="7"/>
  <c r="BP9" i="7"/>
  <c r="BO9" i="7"/>
  <c r="BG12" i="7"/>
  <c r="BF12" i="7"/>
  <c r="BP16" i="7"/>
  <c r="BO16" i="7"/>
  <c r="BP18" i="7"/>
  <c r="BO18" i="7"/>
  <c r="BN22" i="7"/>
  <c r="BE22" i="7"/>
  <c r="BG39" i="7"/>
  <c r="BF39" i="7"/>
  <c r="BP42" i="7"/>
  <c r="BO42" i="7"/>
  <c r="BI49" i="7"/>
  <c r="BJ49" i="7" s="1"/>
  <c r="BK49" i="7" s="1"/>
  <c r="BL49" i="7" s="1"/>
  <c r="BG53" i="7"/>
  <c r="BF53" i="7"/>
  <c r="BG57" i="7"/>
  <c r="BF57" i="7"/>
  <c r="BR4" i="8"/>
  <c r="BZ46" i="8"/>
  <c r="CA46" i="8" s="1"/>
  <c r="CB46" i="8" s="1"/>
  <c r="CC46" i="8" s="1"/>
  <c r="CD46" i="8" s="1"/>
  <c r="BQ46" i="8"/>
  <c r="BH46" i="8"/>
  <c r="BI46" i="8" s="1"/>
  <c r="BJ46" i="8" s="1"/>
  <c r="BK46" i="8" s="1"/>
  <c r="BL46" i="8" s="1"/>
  <c r="BB46" i="8"/>
  <c r="AG60" i="6"/>
  <c r="BQ6" i="6"/>
  <c r="BR6" i="6" s="1"/>
  <c r="BS6" i="6" s="1"/>
  <c r="BT6" i="6" s="1"/>
  <c r="BU6" i="6" s="1"/>
  <c r="BE7" i="6"/>
  <c r="BE9" i="6"/>
  <c r="BD18" i="6"/>
  <c r="BH18" i="6"/>
  <c r="BI18" i="6" s="1"/>
  <c r="BJ18" i="6" s="1"/>
  <c r="BK18" i="6" s="1"/>
  <c r="BL18" i="6" s="1"/>
  <c r="BQ18" i="6"/>
  <c r="BR18" i="6" s="1"/>
  <c r="BS18" i="6" s="1"/>
  <c r="BT18" i="6" s="1"/>
  <c r="BU18" i="6" s="1"/>
  <c r="BD20" i="6"/>
  <c r="BH20" i="6"/>
  <c r="BQ20" i="6"/>
  <c r="BR20" i="6" s="1"/>
  <c r="BS20" i="6" s="1"/>
  <c r="BT20" i="6" s="1"/>
  <c r="BU20" i="6" s="1"/>
  <c r="BZ20" i="6"/>
  <c r="CA20" i="6" s="1"/>
  <c r="CB20" i="6" s="1"/>
  <c r="CC20" i="6" s="1"/>
  <c r="CD20" i="6" s="1"/>
  <c r="BE27" i="6"/>
  <c r="BE29" i="6"/>
  <c r="BQ32" i="6"/>
  <c r="BR32" i="6" s="1"/>
  <c r="BS32" i="6" s="1"/>
  <c r="BT32" i="6" s="1"/>
  <c r="BU32" i="6" s="1"/>
  <c r="BQ33" i="6"/>
  <c r="BR33" i="6" s="1"/>
  <c r="BS33" i="6" s="1"/>
  <c r="BT33" i="6" s="1"/>
  <c r="BU33" i="6" s="1"/>
  <c r="BE34" i="6"/>
  <c r="L40" i="6"/>
  <c r="BN41" i="6"/>
  <c r="BE41" i="6"/>
  <c r="L41" i="6"/>
  <c r="L45" i="6"/>
  <c r="BN46" i="6"/>
  <c r="BE46" i="6"/>
  <c r="L46" i="6"/>
  <c r="BY47" i="6"/>
  <c r="CF47" i="6"/>
  <c r="BQ47" i="6"/>
  <c r="BR47" i="6" s="1"/>
  <c r="BS47" i="6" s="1"/>
  <c r="BT47" i="6" s="1"/>
  <c r="BU47" i="6" s="1"/>
  <c r="BH47" i="6"/>
  <c r="BI47" i="6" s="1"/>
  <c r="BJ47" i="6" s="1"/>
  <c r="BK47" i="6" s="1"/>
  <c r="BL47" i="6" s="1"/>
  <c r="BB47" i="6"/>
  <c r="BG49" i="6"/>
  <c r="BP49" i="6"/>
  <c r="BP51" i="6"/>
  <c r="BO51" i="6"/>
  <c r="BG55" i="6"/>
  <c r="BF55" i="6"/>
  <c r="BR56" i="6"/>
  <c r="BS56" i="6" s="1"/>
  <c r="BT56" i="6" s="1"/>
  <c r="BU56" i="6" s="1"/>
  <c r="AG60" i="7"/>
  <c r="BG4" i="7"/>
  <c r="BF4" i="7"/>
  <c r="BF5" i="7"/>
  <c r="BP5" i="7"/>
  <c r="CG5" i="7"/>
  <c r="BH7" i="7"/>
  <c r="BI7" i="7" s="1"/>
  <c r="BJ7" i="7" s="1"/>
  <c r="BK7" i="7" s="1"/>
  <c r="BL7" i="7" s="1"/>
  <c r="BG7" i="7"/>
  <c r="BF7" i="7"/>
  <c r="BP10" i="7"/>
  <c r="BO10" i="7"/>
  <c r="BP14" i="7"/>
  <c r="BO14" i="7"/>
  <c r="BH17" i="7"/>
  <c r="BB17" i="7"/>
  <c r="BO17" i="7"/>
  <c r="BO23" i="7"/>
  <c r="BN24" i="7"/>
  <c r="BE24" i="7"/>
  <c r="L27" i="7"/>
  <c r="BE29" i="7"/>
  <c r="BQ29" i="7"/>
  <c r="BR29" i="7" s="1"/>
  <c r="BS29" i="7" s="1"/>
  <c r="BT29" i="7" s="1"/>
  <c r="BU29" i="7" s="1"/>
  <c r="BB29" i="7"/>
  <c r="BZ29" i="7"/>
  <c r="CA29" i="7" s="1"/>
  <c r="CB29" i="7" s="1"/>
  <c r="CC29" i="7" s="1"/>
  <c r="CD29" i="7" s="1"/>
  <c r="BN22" i="8"/>
  <c r="BE22" i="8"/>
  <c r="BB5" i="6"/>
  <c r="CG7" i="6"/>
  <c r="BB15" i="6"/>
  <c r="BB17" i="6"/>
  <c r="CG34" i="6"/>
  <c r="BB35" i="6"/>
  <c r="BB37" i="6"/>
  <c r="BZ40" i="6"/>
  <c r="CA40" i="6" s="1"/>
  <c r="CB40" i="6" s="1"/>
  <c r="CC40" i="6" s="1"/>
  <c r="CD40" i="6" s="1"/>
  <c r="BQ40" i="6"/>
  <c r="BR40" i="6" s="1"/>
  <c r="BS40" i="6" s="1"/>
  <c r="BT40" i="6" s="1"/>
  <c r="BU40" i="6" s="1"/>
  <c r="BH40" i="6"/>
  <c r="BI40" i="6" s="1"/>
  <c r="BJ40" i="6" s="1"/>
  <c r="BK40" i="6" s="1"/>
  <c r="BL40" i="6" s="1"/>
  <c r="BB40" i="6"/>
  <c r="BN44" i="6"/>
  <c r="BE44" i="6"/>
  <c r="L44" i="6"/>
  <c r="BZ45" i="6"/>
  <c r="CA45" i="6" s="1"/>
  <c r="CB45" i="6" s="1"/>
  <c r="CC45" i="6" s="1"/>
  <c r="CD45" i="6" s="1"/>
  <c r="BQ45" i="6"/>
  <c r="BR45" i="6" s="1"/>
  <c r="BS45" i="6" s="1"/>
  <c r="BT45" i="6" s="1"/>
  <c r="BU45" i="6" s="1"/>
  <c r="BH45" i="6"/>
  <c r="BI45" i="6" s="1"/>
  <c r="BJ45" i="6" s="1"/>
  <c r="BK45" i="6" s="1"/>
  <c r="BL45" i="6" s="1"/>
  <c r="BB45" i="6"/>
  <c r="BE47" i="6"/>
  <c r="BN47" i="6"/>
  <c r="BN54" i="6"/>
  <c r="BE54" i="6"/>
  <c r="L54" i="6"/>
  <c r="L55" i="6"/>
  <c r="BB56" i="6"/>
  <c r="Q60" i="7"/>
  <c r="BG5" i="7"/>
  <c r="BG9" i="7"/>
  <c r="BF9" i="7"/>
  <c r="BP12" i="7"/>
  <c r="BO12" i="7"/>
  <c r="BZ15" i="7"/>
  <c r="CA15" i="7" s="1"/>
  <c r="CB15" i="7" s="1"/>
  <c r="CC15" i="7" s="1"/>
  <c r="CD15" i="7" s="1"/>
  <c r="BQ15" i="7"/>
  <c r="BR15" i="7" s="1"/>
  <c r="BS15" i="7" s="1"/>
  <c r="BT15" i="7" s="1"/>
  <c r="BU15" i="7" s="1"/>
  <c r="BB15" i="7"/>
  <c r="BO15" i="7"/>
  <c r="BG16" i="7"/>
  <c r="BF16" i="7"/>
  <c r="BB20" i="7"/>
  <c r="BC20" i="7" s="1"/>
  <c r="BN20" i="7"/>
  <c r="BE20" i="7"/>
  <c r="CF22" i="7"/>
  <c r="BZ22" i="7"/>
  <c r="CA22" i="7" s="1"/>
  <c r="CB22" i="7" s="1"/>
  <c r="CC22" i="7" s="1"/>
  <c r="CD22" i="7" s="1"/>
  <c r="BQ22" i="7"/>
  <c r="BR22" i="7" s="1"/>
  <c r="BS22" i="7" s="1"/>
  <c r="BT22" i="7" s="1"/>
  <c r="BU22" i="7" s="1"/>
  <c r="BH22" i="7"/>
  <c r="BI22" i="7" s="1"/>
  <c r="BJ22" i="7" s="1"/>
  <c r="BK22" i="7" s="1"/>
  <c r="BL22" i="7" s="1"/>
  <c r="BB22" i="7"/>
  <c r="BR30" i="7"/>
  <c r="BS30" i="7" s="1"/>
  <c r="BT30" i="7" s="1"/>
  <c r="BU30" i="7" s="1"/>
  <c r="BZ35" i="7"/>
  <c r="CA35" i="7" s="1"/>
  <c r="CB35" i="7" s="1"/>
  <c r="CC35" i="7" s="1"/>
  <c r="CD35" i="7" s="1"/>
  <c r="BQ35" i="7"/>
  <c r="BH35" i="7"/>
  <c r="BI35" i="7" s="1"/>
  <c r="BJ35" i="7" s="1"/>
  <c r="BK35" i="7" s="1"/>
  <c r="BL35" i="7" s="1"/>
  <c r="BB35" i="7"/>
  <c r="BO35" i="7"/>
  <c r="BG35" i="7"/>
  <c r="BF35" i="7"/>
  <c r="BP35" i="7"/>
  <c r="BP36" i="7"/>
  <c r="BO36" i="7"/>
  <c r="BN38" i="7"/>
  <c r="BE38" i="7"/>
  <c r="BB38" i="7"/>
  <c r="BP46" i="7"/>
  <c r="BO46" i="7"/>
  <c r="BN55" i="7"/>
  <c r="BE55" i="7"/>
  <c r="L55" i="7"/>
  <c r="BB55" i="7"/>
  <c r="BG14" i="8"/>
  <c r="BF14" i="8"/>
  <c r="BG39" i="9"/>
  <c r="BF39" i="9"/>
  <c r="BP39" i="9"/>
  <c r="BO39" i="9"/>
  <c r="Y60" i="6"/>
  <c r="BA69" i="6"/>
  <c r="BA61" i="6"/>
  <c r="L5" i="6"/>
  <c r="BE5" i="6"/>
  <c r="BB8" i="6"/>
  <c r="BH8" i="6"/>
  <c r="BI8" i="6" s="1"/>
  <c r="BJ8" i="6" s="1"/>
  <c r="BK8" i="6" s="1"/>
  <c r="BL8" i="6" s="1"/>
  <c r="BQ8" i="6"/>
  <c r="BR8" i="6" s="1"/>
  <c r="BS8" i="6" s="1"/>
  <c r="BT8" i="6" s="1"/>
  <c r="BU8" i="6" s="1"/>
  <c r="BB11" i="6"/>
  <c r="BH11" i="6"/>
  <c r="BI11" i="6" s="1"/>
  <c r="BJ11" i="6" s="1"/>
  <c r="BK11" i="6" s="1"/>
  <c r="BL11" i="6" s="1"/>
  <c r="BQ11" i="6"/>
  <c r="BR11" i="6" s="1"/>
  <c r="BS11" i="6" s="1"/>
  <c r="BT11" i="6" s="1"/>
  <c r="BU11" i="6" s="1"/>
  <c r="BB13" i="6"/>
  <c r="BH13" i="6"/>
  <c r="BI13" i="6" s="1"/>
  <c r="BJ13" i="6" s="1"/>
  <c r="BK13" i="6" s="1"/>
  <c r="BL13" i="6" s="1"/>
  <c r="BQ13" i="6"/>
  <c r="BR13" i="6" s="1"/>
  <c r="BS13" i="6" s="1"/>
  <c r="BT13" i="6" s="1"/>
  <c r="BU13" i="6" s="1"/>
  <c r="L15" i="6"/>
  <c r="BE15" i="6"/>
  <c r="L17" i="6"/>
  <c r="BE17" i="6"/>
  <c r="BB21" i="6"/>
  <c r="BH21" i="6"/>
  <c r="BI21" i="6" s="1"/>
  <c r="BJ21" i="6" s="1"/>
  <c r="BK21" i="6" s="1"/>
  <c r="BL21" i="6" s="1"/>
  <c r="BQ21" i="6"/>
  <c r="BR21" i="6" s="1"/>
  <c r="BS21" i="6" s="1"/>
  <c r="BT21" i="6" s="1"/>
  <c r="BU21" i="6" s="1"/>
  <c r="BE22" i="6"/>
  <c r="BB23" i="6"/>
  <c r="BH23" i="6"/>
  <c r="BI23" i="6" s="1"/>
  <c r="BJ23" i="6" s="1"/>
  <c r="BK23" i="6" s="1"/>
  <c r="BL23" i="6" s="1"/>
  <c r="BQ23" i="6"/>
  <c r="BR23" i="6" s="1"/>
  <c r="BS23" i="6" s="1"/>
  <c r="BT23" i="6" s="1"/>
  <c r="BU23" i="6" s="1"/>
  <c r="BE24" i="6"/>
  <c r="BB25" i="6"/>
  <c r="BH25" i="6"/>
  <c r="BI25" i="6" s="1"/>
  <c r="BJ25" i="6" s="1"/>
  <c r="BK25" i="6" s="1"/>
  <c r="BL25" i="6" s="1"/>
  <c r="BQ25" i="6"/>
  <c r="BR25" i="6" s="1"/>
  <c r="BS25" i="6" s="1"/>
  <c r="BT25" i="6" s="1"/>
  <c r="BU25" i="6" s="1"/>
  <c r="BE26" i="6"/>
  <c r="L35" i="6"/>
  <c r="BE35" i="6"/>
  <c r="L37" i="6"/>
  <c r="BE37" i="6"/>
  <c r="BB39" i="6"/>
  <c r="BH39" i="6"/>
  <c r="BQ39" i="6"/>
  <c r="BZ39" i="6"/>
  <c r="CA39" i="6" s="1"/>
  <c r="CB39" i="6" s="1"/>
  <c r="CC39" i="6" s="1"/>
  <c r="CD39" i="6" s="1"/>
  <c r="BE40" i="6"/>
  <c r="BN40" i="6"/>
  <c r="CF40" i="6"/>
  <c r="CF60" i="6" s="1"/>
  <c r="BN43" i="6"/>
  <c r="BE43" i="6"/>
  <c r="L43" i="6"/>
  <c r="BF45" i="6"/>
  <c r="BO45" i="6"/>
  <c r="CF45" i="6"/>
  <c r="BZ49" i="6"/>
  <c r="CA49" i="6" s="1"/>
  <c r="CB49" i="6" s="1"/>
  <c r="CC49" i="6" s="1"/>
  <c r="CD49" i="6" s="1"/>
  <c r="BQ49" i="6"/>
  <c r="BH49" i="6"/>
  <c r="BB49" i="6"/>
  <c r="BC50" i="6" s="1"/>
  <c r="BB52" i="6"/>
  <c r="BN53" i="6"/>
  <c r="BE53" i="6"/>
  <c r="L53" i="6"/>
  <c r="BP55" i="6"/>
  <c r="BO55" i="6"/>
  <c r="BF57" i="6"/>
  <c r="BA60" i="6"/>
  <c r="BN69" i="7"/>
  <c r="BP4" i="7"/>
  <c r="BO4" i="7"/>
  <c r="CG4" i="7"/>
  <c r="BP6" i="7"/>
  <c r="BO6" i="7"/>
  <c r="BQ7" i="7"/>
  <c r="BR7" i="7" s="1"/>
  <c r="BS7" i="7" s="1"/>
  <c r="BT7" i="7" s="1"/>
  <c r="BU7" i="7" s="1"/>
  <c r="BP7" i="7"/>
  <c r="BO7" i="7"/>
  <c r="L9" i="7"/>
  <c r="BO13" i="7"/>
  <c r="BG14" i="7"/>
  <c r="BF14" i="7"/>
  <c r="BF15" i="7"/>
  <c r="BP15" i="7"/>
  <c r="CG15" i="7"/>
  <c r="CF24" i="7"/>
  <c r="BZ24" i="7"/>
  <c r="CA24" i="7" s="1"/>
  <c r="CB24" i="7" s="1"/>
  <c r="CC24" i="7" s="1"/>
  <c r="CD24" i="7" s="1"/>
  <c r="BQ24" i="7"/>
  <c r="BH24" i="7"/>
  <c r="BI24" i="7" s="1"/>
  <c r="BJ24" i="7" s="1"/>
  <c r="BK24" i="7" s="1"/>
  <c r="BL24" i="7" s="1"/>
  <c r="BB24" i="7"/>
  <c r="BN26" i="7"/>
  <c r="BE26" i="7"/>
  <c r="BZ26" i="7"/>
  <c r="CA26" i="7" s="1"/>
  <c r="CB26" i="7" s="1"/>
  <c r="CC26" i="7" s="1"/>
  <c r="CD26" i="7" s="1"/>
  <c r="BQ26" i="7"/>
  <c r="BR26" i="7" s="1"/>
  <c r="BS26" i="7" s="1"/>
  <c r="BT26" i="7" s="1"/>
  <c r="BU26" i="7" s="1"/>
  <c r="BH26" i="7"/>
  <c r="BB26" i="7"/>
  <c r="CF26" i="7"/>
  <c r="CF60" i="7" s="1"/>
  <c r="BF27" i="7"/>
  <c r="BG27" i="7"/>
  <c r="BQ28" i="7"/>
  <c r="BR28" i="7" s="1"/>
  <c r="BS28" i="7" s="1"/>
  <c r="BT28" i="7" s="1"/>
  <c r="BU28" i="7" s="1"/>
  <c r="CG28" i="7"/>
  <c r="BB28" i="7"/>
  <c r="BZ28" i="7"/>
  <c r="CA28" i="7" s="1"/>
  <c r="CB28" i="7" s="1"/>
  <c r="CC28" i="7" s="1"/>
  <c r="CD28" i="7" s="1"/>
  <c r="BO29" i="7"/>
  <c r="BP29" i="7"/>
  <c r="BN33" i="7"/>
  <c r="BE33" i="7"/>
  <c r="L33" i="7"/>
  <c r="BB33" i="7"/>
  <c r="BC34" i="7" s="1"/>
  <c r="BG36" i="7"/>
  <c r="BF36" i="7"/>
  <c r="BG46" i="7"/>
  <c r="BF46" i="7"/>
  <c r="BZ52" i="7"/>
  <c r="CA52" i="7" s="1"/>
  <c r="CB52" i="7" s="1"/>
  <c r="CC52" i="7" s="1"/>
  <c r="CD52" i="7" s="1"/>
  <c r="BQ52" i="7"/>
  <c r="BH52" i="7"/>
  <c r="BB52" i="7"/>
  <c r="CG52" i="7"/>
  <c r="AY65" i="7"/>
  <c r="AY64" i="7"/>
  <c r="BG29" i="8"/>
  <c r="BF29" i="8"/>
  <c r="BP36" i="8"/>
  <c r="BO36" i="8"/>
  <c r="BN40" i="8"/>
  <c r="BE40" i="8"/>
  <c r="BP11" i="9"/>
  <c r="BO11" i="9"/>
  <c r="CF48" i="6"/>
  <c r="BH50" i="6"/>
  <c r="BI50" i="6" s="1"/>
  <c r="BJ50" i="6" s="1"/>
  <c r="BK50" i="6" s="1"/>
  <c r="BL50" i="6" s="1"/>
  <c r="BQ50" i="6"/>
  <c r="BR50" i="6" s="1"/>
  <c r="BS50" i="6" s="1"/>
  <c r="BT50" i="6" s="1"/>
  <c r="BU50" i="6" s="1"/>
  <c r="BE6" i="7"/>
  <c r="BE10" i="7"/>
  <c r="BH15" i="7"/>
  <c r="BI15" i="7" s="1"/>
  <c r="BJ15" i="7" s="1"/>
  <c r="BK15" i="7" s="1"/>
  <c r="BL15" i="7" s="1"/>
  <c r="BQ17" i="7"/>
  <c r="BR17" i="7" s="1"/>
  <c r="BS17" i="7" s="1"/>
  <c r="BT17" i="7" s="1"/>
  <c r="BU17" i="7" s="1"/>
  <c r="BE18" i="7"/>
  <c r="BN28" i="7"/>
  <c r="BE28" i="7"/>
  <c r="BN32" i="7"/>
  <c r="BE32" i="7"/>
  <c r="BG37" i="7"/>
  <c r="BN40" i="7"/>
  <c r="BE40" i="7"/>
  <c r="BH40" i="7"/>
  <c r="BI40" i="7" s="1"/>
  <c r="BJ40" i="7" s="1"/>
  <c r="BK40" i="7" s="1"/>
  <c r="BL40" i="7" s="1"/>
  <c r="BQ40" i="7"/>
  <c r="BR40" i="7" s="1"/>
  <c r="BS40" i="7" s="1"/>
  <c r="BT40" i="7" s="1"/>
  <c r="BU40" i="7" s="1"/>
  <c r="BZ40" i="7"/>
  <c r="CA40" i="7" s="1"/>
  <c r="CB40" i="7" s="1"/>
  <c r="CC40" i="7" s="1"/>
  <c r="CD40" i="7" s="1"/>
  <c r="BZ41" i="7"/>
  <c r="CA41" i="7" s="1"/>
  <c r="CB41" i="7" s="1"/>
  <c r="CC41" i="7" s="1"/>
  <c r="CD41" i="7" s="1"/>
  <c r="BQ41" i="7"/>
  <c r="BR41" i="7" s="1"/>
  <c r="BS41" i="7" s="1"/>
  <c r="BT41" i="7" s="1"/>
  <c r="BU41" i="7" s="1"/>
  <c r="BH41" i="7"/>
  <c r="BI41" i="7" s="1"/>
  <c r="BJ41" i="7" s="1"/>
  <c r="BK41" i="7" s="1"/>
  <c r="BL41" i="7" s="1"/>
  <c r="BB41" i="7"/>
  <c r="BP41" i="7"/>
  <c r="CG41" i="7"/>
  <c r="BE42" i="7"/>
  <c r="L50" i="7"/>
  <c r="BP51" i="7"/>
  <c r="BO51" i="7"/>
  <c r="BB53" i="7"/>
  <c r="L53" i="7"/>
  <c r="BR55" i="7"/>
  <c r="BS55" i="7" s="1"/>
  <c r="BT55" i="7" s="1"/>
  <c r="BU55" i="7" s="1"/>
  <c r="BC7" i="8"/>
  <c r="BP5" i="8"/>
  <c r="BG7" i="8"/>
  <c r="BF7" i="8"/>
  <c r="BH7" i="8"/>
  <c r="BI7" i="8" s="1"/>
  <c r="BJ7" i="8" s="1"/>
  <c r="BK7" i="8" s="1"/>
  <c r="BL7" i="8" s="1"/>
  <c r="CF10" i="8"/>
  <c r="BZ10" i="8"/>
  <c r="CA10" i="8" s="1"/>
  <c r="CB10" i="8" s="1"/>
  <c r="CC10" i="8" s="1"/>
  <c r="CD10" i="8" s="1"/>
  <c r="BQ10" i="8"/>
  <c r="BH10" i="8"/>
  <c r="BI10" i="8" s="1"/>
  <c r="BJ10" i="8" s="1"/>
  <c r="BK10" i="8" s="1"/>
  <c r="BL10" i="8" s="1"/>
  <c r="BB10" i="8"/>
  <c r="BP11" i="8"/>
  <c r="BO11" i="8"/>
  <c r="BB12" i="8"/>
  <c r="BP13" i="8"/>
  <c r="BO13" i="8"/>
  <c r="BN28" i="8"/>
  <c r="BE28" i="8"/>
  <c r="BB28" i="8"/>
  <c r="BG36" i="8"/>
  <c r="BF36" i="8"/>
  <c r="BN44" i="8"/>
  <c r="BE44" i="8"/>
  <c r="BB44" i="8"/>
  <c r="BI51" i="8"/>
  <c r="BJ51" i="8" s="1"/>
  <c r="BK51" i="8" s="1"/>
  <c r="BL51" i="8" s="1"/>
  <c r="BN55" i="8"/>
  <c r="BE55" i="8"/>
  <c r="BB17" i="10"/>
  <c r="BH17" i="10"/>
  <c r="BB57" i="6"/>
  <c r="Y60" i="7"/>
  <c r="BA60" i="7"/>
  <c r="BA69" i="7"/>
  <c r="CG6" i="7"/>
  <c r="BB7" i="7"/>
  <c r="CG18" i="7"/>
  <c r="BB21" i="7"/>
  <c r="BB23" i="7"/>
  <c r="BB25" i="7"/>
  <c r="BH27" i="7"/>
  <c r="BN27" i="7"/>
  <c r="BZ27" i="7"/>
  <c r="CA27" i="7" s="1"/>
  <c r="CB27" i="7" s="1"/>
  <c r="CC27" i="7" s="1"/>
  <c r="CD27" i="7" s="1"/>
  <c r="CF27" i="7"/>
  <c r="BH30" i="7"/>
  <c r="BZ30" i="7"/>
  <c r="CA30" i="7" s="1"/>
  <c r="CB30" i="7" s="1"/>
  <c r="CC30" i="7" s="1"/>
  <c r="CD30" i="7" s="1"/>
  <c r="CF31" i="7"/>
  <c r="BG34" i="7"/>
  <c r="BF34" i="7"/>
  <c r="BP34" i="7"/>
  <c r="BO34" i="7"/>
  <c r="BZ37" i="7"/>
  <c r="CA37" i="7" s="1"/>
  <c r="CB37" i="7" s="1"/>
  <c r="CC37" i="7" s="1"/>
  <c r="CD37" i="7" s="1"/>
  <c r="BQ37" i="7"/>
  <c r="BR37" i="7" s="1"/>
  <c r="BS37" i="7" s="1"/>
  <c r="BT37" i="7" s="1"/>
  <c r="BU37" i="7" s="1"/>
  <c r="BH37" i="7"/>
  <c r="BB37" i="7"/>
  <c r="BP37" i="7"/>
  <c r="CG37" i="7"/>
  <c r="BC50" i="7"/>
  <c r="BZ50" i="7"/>
  <c r="CA50" i="7" s="1"/>
  <c r="CB50" i="7" s="1"/>
  <c r="CC50" i="7" s="1"/>
  <c r="CD50" i="7" s="1"/>
  <c r="BQ50" i="7"/>
  <c r="BR50" i="7" s="1"/>
  <c r="BS50" i="7" s="1"/>
  <c r="BT50" i="7" s="1"/>
  <c r="BU50" i="7" s="1"/>
  <c r="BH50" i="7"/>
  <c r="BI50" i="7" s="1"/>
  <c r="BJ50" i="7" s="1"/>
  <c r="BK50" i="7" s="1"/>
  <c r="BL50" i="7" s="1"/>
  <c r="BB50" i="7"/>
  <c r="BC51" i="7" s="1"/>
  <c r="BG51" i="7"/>
  <c r="BF51" i="7"/>
  <c r="BO52" i="7"/>
  <c r="BZ56" i="7"/>
  <c r="CA56" i="7" s="1"/>
  <c r="CB56" i="7" s="1"/>
  <c r="CC56" i="7" s="1"/>
  <c r="CD56" i="7" s="1"/>
  <c r="BQ56" i="7"/>
  <c r="BR56" i="7" s="1"/>
  <c r="BS56" i="7" s="1"/>
  <c r="BT56" i="7" s="1"/>
  <c r="BU56" i="7" s="1"/>
  <c r="BH56" i="7"/>
  <c r="BI56" i="7" s="1"/>
  <c r="BJ56" i="7" s="1"/>
  <c r="BK56" i="7" s="1"/>
  <c r="BL56" i="7" s="1"/>
  <c r="BB56" i="7"/>
  <c r="CG56" i="7"/>
  <c r="BI4" i="8"/>
  <c r="BZ69" i="8"/>
  <c r="CA4" i="8"/>
  <c r="BZ5" i="8"/>
  <c r="CA5" i="8" s="1"/>
  <c r="CB5" i="8" s="1"/>
  <c r="CC5" i="8" s="1"/>
  <c r="CD5" i="8" s="1"/>
  <c r="BQ5" i="8"/>
  <c r="BR5" i="8" s="1"/>
  <c r="BS5" i="8" s="1"/>
  <c r="BT5" i="8" s="1"/>
  <c r="BU5" i="8" s="1"/>
  <c r="BH5" i="8"/>
  <c r="BB5" i="8"/>
  <c r="BC6" i="8" s="1"/>
  <c r="CG5" i="8"/>
  <c r="BG8" i="8"/>
  <c r="BF8" i="8"/>
  <c r="BP12" i="8"/>
  <c r="BO12" i="8"/>
  <c r="BB14" i="8"/>
  <c r="BP16" i="8"/>
  <c r="BO16" i="8"/>
  <c r="BH17" i="8"/>
  <c r="BB17" i="8"/>
  <c r="BO17" i="8"/>
  <c r="BG17" i="8"/>
  <c r="BF17" i="8"/>
  <c r="BP17" i="8"/>
  <c r="BI30" i="8"/>
  <c r="BJ30" i="8" s="1"/>
  <c r="BK30" i="8" s="1"/>
  <c r="BL30" i="8" s="1"/>
  <c r="BN33" i="8"/>
  <c r="BE33" i="8"/>
  <c r="BB33" i="8"/>
  <c r="BC34" i="8" s="1"/>
  <c r="BE51" i="6"/>
  <c r="BB55" i="6"/>
  <c r="BH55" i="6"/>
  <c r="BI55" i="6" s="1"/>
  <c r="BJ55" i="6" s="1"/>
  <c r="BK55" i="6" s="1"/>
  <c r="BL55" i="6" s="1"/>
  <c r="BQ55" i="6"/>
  <c r="BR55" i="6" s="1"/>
  <c r="BS55" i="6" s="1"/>
  <c r="BT55" i="6" s="1"/>
  <c r="BU55" i="6" s="1"/>
  <c r="L57" i="6"/>
  <c r="K69" i="7"/>
  <c r="K60" i="7"/>
  <c r="BB4" i="7"/>
  <c r="BH4" i="7"/>
  <c r="BQ4" i="7"/>
  <c r="BZ4" i="7"/>
  <c r="BE8" i="7"/>
  <c r="BB9" i="7"/>
  <c r="BH9" i="7"/>
  <c r="BI9" i="7" s="1"/>
  <c r="BJ9" i="7" s="1"/>
  <c r="BK9" i="7" s="1"/>
  <c r="BL9" i="7" s="1"/>
  <c r="BQ9" i="7"/>
  <c r="BR9" i="7" s="1"/>
  <c r="BS9" i="7" s="1"/>
  <c r="BT9" i="7" s="1"/>
  <c r="BU9" i="7" s="1"/>
  <c r="BE11" i="7"/>
  <c r="BB12" i="7"/>
  <c r="BH12" i="7"/>
  <c r="BI12" i="7" s="1"/>
  <c r="BJ12" i="7" s="1"/>
  <c r="BK12" i="7" s="1"/>
  <c r="BL12" i="7" s="1"/>
  <c r="BQ12" i="7"/>
  <c r="BR12" i="7" s="1"/>
  <c r="BS12" i="7" s="1"/>
  <c r="BT12" i="7" s="1"/>
  <c r="BU12" i="7" s="1"/>
  <c r="BE13" i="7"/>
  <c r="BB14" i="7"/>
  <c r="BH14" i="7"/>
  <c r="BI14" i="7" s="1"/>
  <c r="BJ14" i="7" s="1"/>
  <c r="BK14" i="7" s="1"/>
  <c r="BL14" i="7" s="1"/>
  <c r="BQ14" i="7"/>
  <c r="BR14" i="7" s="1"/>
  <c r="BS14" i="7" s="1"/>
  <c r="BT14" i="7" s="1"/>
  <c r="BU14" i="7" s="1"/>
  <c r="BB16" i="7"/>
  <c r="BH16" i="7"/>
  <c r="BI16" i="7" s="1"/>
  <c r="BJ16" i="7" s="1"/>
  <c r="BK16" i="7" s="1"/>
  <c r="BL16" i="7" s="1"/>
  <c r="BQ16" i="7"/>
  <c r="BR16" i="7" s="1"/>
  <c r="BS16" i="7" s="1"/>
  <c r="BT16" i="7" s="1"/>
  <c r="BU16" i="7" s="1"/>
  <c r="L21" i="7"/>
  <c r="BE21" i="7"/>
  <c r="BE23" i="7"/>
  <c r="L25" i="7"/>
  <c r="BE25" i="7"/>
  <c r="BN30" i="7"/>
  <c r="BE30" i="7"/>
  <c r="L30" i="7"/>
  <c r="BB30" i="7"/>
  <c r="BH31" i="7"/>
  <c r="BI31" i="7" s="1"/>
  <c r="BJ31" i="7" s="1"/>
  <c r="BK31" i="7" s="1"/>
  <c r="BL31" i="7" s="1"/>
  <c r="BQ31" i="7"/>
  <c r="BR31" i="7" s="1"/>
  <c r="BS31" i="7" s="1"/>
  <c r="BT31" i="7" s="1"/>
  <c r="BU31" i="7" s="1"/>
  <c r="BB40" i="7"/>
  <c r="BZ43" i="7"/>
  <c r="CA43" i="7" s="1"/>
  <c r="CB43" i="7" s="1"/>
  <c r="CC43" i="7" s="1"/>
  <c r="CD43" i="7" s="1"/>
  <c r="BQ43" i="7"/>
  <c r="BR43" i="7" s="1"/>
  <c r="BS43" i="7" s="1"/>
  <c r="BT43" i="7" s="1"/>
  <c r="BU43" i="7" s="1"/>
  <c r="BB43" i="7"/>
  <c r="BP43" i="7"/>
  <c r="CG43" i="7"/>
  <c r="BG44" i="7"/>
  <c r="BF44" i="7"/>
  <c r="BP44" i="7"/>
  <c r="BO44" i="7"/>
  <c r="BO45" i="7"/>
  <c r="L46" i="7"/>
  <c r="BF47" i="7"/>
  <c r="BO49" i="7"/>
  <c r="BG50" i="7"/>
  <c r="BP50" i="7"/>
  <c r="BP53" i="7"/>
  <c r="BO53" i="7"/>
  <c r="BQ54" i="7"/>
  <c r="BB54" i="7"/>
  <c r="CG54" i="7"/>
  <c r="BB57" i="7"/>
  <c r="BA61" i="7"/>
  <c r="BN60" i="8"/>
  <c r="BP4" i="8"/>
  <c r="BO4" i="8"/>
  <c r="BN6" i="8"/>
  <c r="BE6" i="8"/>
  <c r="BB6" i="8"/>
  <c r="BP7" i="8"/>
  <c r="BO7" i="8"/>
  <c r="BQ7" i="8"/>
  <c r="BR7" i="8" s="1"/>
  <c r="BS7" i="8" s="1"/>
  <c r="BT7" i="8" s="1"/>
  <c r="BU7" i="8" s="1"/>
  <c r="BN10" i="8"/>
  <c r="BE10" i="8"/>
  <c r="BE12" i="8"/>
  <c r="BN14" i="8"/>
  <c r="BP29" i="8"/>
  <c r="BO29" i="8"/>
  <c r="BR30" i="8"/>
  <c r="BS30" i="8" s="1"/>
  <c r="BT30" i="8" s="1"/>
  <c r="BU30" i="8" s="1"/>
  <c r="BP38" i="8"/>
  <c r="BO38" i="8"/>
  <c r="BN51" i="8"/>
  <c r="BE51" i="8"/>
  <c r="BB51" i="8"/>
  <c r="BC51" i="8" s="1"/>
  <c r="BE57" i="8"/>
  <c r="CF29" i="9"/>
  <c r="BZ29" i="9"/>
  <c r="CA29" i="9" s="1"/>
  <c r="CB29" i="9" s="1"/>
  <c r="CC29" i="9" s="1"/>
  <c r="CD29" i="9" s="1"/>
  <c r="BQ29" i="9"/>
  <c r="BR29" i="9" s="1"/>
  <c r="BS29" i="9" s="1"/>
  <c r="BT29" i="9" s="1"/>
  <c r="BU29" i="9" s="1"/>
  <c r="BH29" i="9"/>
  <c r="BI29" i="9" s="1"/>
  <c r="BJ29" i="9" s="1"/>
  <c r="BK29" i="9" s="1"/>
  <c r="BL29" i="9" s="1"/>
  <c r="BB29" i="9"/>
  <c r="BA69" i="10"/>
  <c r="BA61" i="10"/>
  <c r="BA60" i="10"/>
  <c r="BB4" i="10"/>
  <c r="BQ4" i="10"/>
  <c r="BZ4" i="10"/>
  <c r="BH4" i="10"/>
  <c r="BE4" i="8"/>
  <c r="CF60" i="8"/>
  <c r="CG4" i="8"/>
  <c r="BG9" i="8"/>
  <c r="BF9" i="8"/>
  <c r="BP9" i="8"/>
  <c r="BO9" i="8"/>
  <c r="BE16" i="8"/>
  <c r="CF22" i="8"/>
  <c r="BZ22" i="8"/>
  <c r="CA22" i="8" s="1"/>
  <c r="CB22" i="8" s="1"/>
  <c r="CC22" i="8" s="1"/>
  <c r="CD22" i="8" s="1"/>
  <c r="BQ22" i="8"/>
  <c r="BR22" i="8" s="1"/>
  <c r="BS22" i="8" s="1"/>
  <c r="BT22" i="8" s="1"/>
  <c r="BU22" i="8" s="1"/>
  <c r="BH22" i="8"/>
  <c r="BI22" i="8" s="1"/>
  <c r="BJ22" i="8" s="1"/>
  <c r="BK22" i="8" s="1"/>
  <c r="BL22" i="8" s="1"/>
  <c r="BB22" i="8"/>
  <c r="BN24" i="8"/>
  <c r="BE24" i="8"/>
  <c r="CG28" i="8"/>
  <c r="CG33" i="8"/>
  <c r="BE38" i="8"/>
  <c r="BG45" i="8"/>
  <c r="BF45" i="8"/>
  <c r="BP47" i="8"/>
  <c r="BO47" i="8"/>
  <c r="BG50" i="8"/>
  <c r="BF50" i="8"/>
  <c r="CF55" i="8"/>
  <c r="BZ55" i="8"/>
  <c r="CA55" i="8" s="1"/>
  <c r="CB55" i="8" s="1"/>
  <c r="CC55" i="8" s="1"/>
  <c r="CD55" i="8" s="1"/>
  <c r="BQ55" i="8"/>
  <c r="BR55" i="8" s="1"/>
  <c r="BS55" i="8" s="1"/>
  <c r="BT55" i="8" s="1"/>
  <c r="BU55" i="8" s="1"/>
  <c r="BH55" i="8"/>
  <c r="BI55" i="8" s="1"/>
  <c r="BJ55" i="8" s="1"/>
  <c r="BK55" i="8" s="1"/>
  <c r="BL55" i="8" s="1"/>
  <c r="BB55" i="8"/>
  <c r="BG56" i="8"/>
  <c r="BF56" i="8"/>
  <c r="AV64" i="8"/>
  <c r="BI14" i="9"/>
  <c r="BJ14" i="9" s="1"/>
  <c r="BK14" i="9" s="1"/>
  <c r="BL14" i="9" s="1"/>
  <c r="BH15" i="9"/>
  <c r="BI15" i="9" s="1"/>
  <c r="BJ15" i="9" s="1"/>
  <c r="BK15" i="9" s="1"/>
  <c r="BL15" i="9" s="1"/>
  <c r="BG15" i="9"/>
  <c r="BF15" i="9"/>
  <c r="BI16" i="9"/>
  <c r="BJ16" i="9" s="1"/>
  <c r="BK16" i="9" s="1"/>
  <c r="BL16" i="9" s="1"/>
  <c r="BP21" i="9"/>
  <c r="BO21" i="9"/>
  <c r="BP22" i="9"/>
  <c r="BO22" i="9"/>
  <c r="BI45" i="9"/>
  <c r="BJ45" i="9" s="1"/>
  <c r="BK45" i="9" s="1"/>
  <c r="BL45" i="9" s="1"/>
  <c r="BP27" i="10"/>
  <c r="BO27" i="10"/>
  <c r="BG41" i="10"/>
  <c r="BF41" i="10"/>
  <c r="BZ9" i="11"/>
  <c r="CA9" i="11" s="1"/>
  <c r="CB9" i="11" s="1"/>
  <c r="CC9" i="11" s="1"/>
  <c r="CD9" i="11" s="1"/>
  <c r="BQ9" i="11"/>
  <c r="BH9" i="11"/>
  <c r="BI9" i="11" s="1"/>
  <c r="BJ9" i="11" s="1"/>
  <c r="BK9" i="11" s="1"/>
  <c r="BL9" i="11" s="1"/>
  <c r="BB9" i="11"/>
  <c r="BN18" i="8"/>
  <c r="BE18" i="8"/>
  <c r="BB20" i="8"/>
  <c r="BC20" i="8" s="1"/>
  <c r="BN20" i="8"/>
  <c r="BE20" i="8"/>
  <c r="CF24" i="8"/>
  <c r="BZ24" i="8"/>
  <c r="CA24" i="8" s="1"/>
  <c r="CB24" i="8" s="1"/>
  <c r="CC24" i="8" s="1"/>
  <c r="CD24" i="8" s="1"/>
  <c r="BQ24" i="8"/>
  <c r="BR24" i="8" s="1"/>
  <c r="BS24" i="8" s="1"/>
  <c r="BT24" i="8" s="1"/>
  <c r="BU24" i="8" s="1"/>
  <c r="BH24" i="8"/>
  <c r="BI24" i="8" s="1"/>
  <c r="BJ24" i="8" s="1"/>
  <c r="BK24" i="8" s="1"/>
  <c r="BL24" i="8" s="1"/>
  <c r="BB24" i="8"/>
  <c r="BN26" i="8"/>
  <c r="BE26" i="8"/>
  <c r="BG27" i="8"/>
  <c r="BF27" i="8"/>
  <c r="BP27" i="8"/>
  <c r="BO27" i="8"/>
  <c r="BN30" i="8"/>
  <c r="BE30" i="8"/>
  <c r="BB30" i="8"/>
  <c r="BZ35" i="8"/>
  <c r="CA35" i="8" s="1"/>
  <c r="CB35" i="8" s="1"/>
  <c r="CC35" i="8" s="1"/>
  <c r="CD35" i="8" s="1"/>
  <c r="BQ35" i="8"/>
  <c r="BR35" i="8" s="1"/>
  <c r="BS35" i="8" s="1"/>
  <c r="BT35" i="8" s="1"/>
  <c r="BU35" i="8" s="1"/>
  <c r="BH35" i="8"/>
  <c r="BB35" i="8"/>
  <c r="CF40" i="8"/>
  <c r="BZ40" i="8"/>
  <c r="CA40" i="8" s="1"/>
  <c r="CB40" i="8" s="1"/>
  <c r="CC40" i="8" s="1"/>
  <c r="CD40" i="8" s="1"/>
  <c r="BQ40" i="8"/>
  <c r="BR40" i="8" s="1"/>
  <c r="BS40" i="8" s="1"/>
  <c r="BT40" i="8" s="1"/>
  <c r="BU40" i="8" s="1"/>
  <c r="BH40" i="8"/>
  <c r="BG47" i="8"/>
  <c r="BF47" i="8"/>
  <c r="BR51" i="8"/>
  <c r="BS51" i="8" s="1"/>
  <c r="BT51" i="8" s="1"/>
  <c r="BU51" i="8" s="1"/>
  <c r="BA60" i="9"/>
  <c r="BA69" i="9"/>
  <c r="BA61" i="9"/>
  <c r="BZ4" i="9"/>
  <c r="BQ4" i="9"/>
  <c r="BH4" i="9"/>
  <c r="BP8" i="9"/>
  <c r="BO8" i="9"/>
  <c r="BP15" i="9"/>
  <c r="BO15" i="9"/>
  <c r="BZ18" i="9"/>
  <c r="CA18" i="9" s="1"/>
  <c r="CB18" i="9" s="1"/>
  <c r="CC18" i="9" s="1"/>
  <c r="CD18" i="9" s="1"/>
  <c r="BQ18" i="9"/>
  <c r="BR18" i="9" s="1"/>
  <c r="BS18" i="9" s="1"/>
  <c r="BT18" i="9" s="1"/>
  <c r="BU18" i="9" s="1"/>
  <c r="BH18" i="9"/>
  <c r="BD18" i="9"/>
  <c r="CG18" i="9"/>
  <c r="BB18" i="9"/>
  <c r="BI21" i="9"/>
  <c r="BJ21" i="9" s="1"/>
  <c r="BK21" i="9" s="1"/>
  <c r="BL21" i="9" s="1"/>
  <c r="BP24" i="9"/>
  <c r="BO24" i="9"/>
  <c r="BG47" i="9"/>
  <c r="BF47" i="9"/>
  <c r="BP47" i="9"/>
  <c r="BO47" i="9"/>
  <c r="BP56" i="9"/>
  <c r="BO56" i="9"/>
  <c r="CF45" i="11"/>
  <c r="BZ45" i="11"/>
  <c r="CA45" i="11" s="1"/>
  <c r="CB45" i="11" s="1"/>
  <c r="CC45" i="11" s="1"/>
  <c r="CD45" i="11" s="1"/>
  <c r="BQ45" i="11"/>
  <c r="BR45" i="11" s="1"/>
  <c r="BS45" i="11" s="1"/>
  <c r="BT45" i="11" s="1"/>
  <c r="BU45" i="11" s="1"/>
  <c r="BH45" i="11"/>
  <c r="BI45" i="11" s="1"/>
  <c r="BJ45" i="11" s="1"/>
  <c r="BK45" i="11" s="1"/>
  <c r="BL45" i="11" s="1"/>
  <c r="BB45" i="11"/>
  <c r="U56" i="7"/>
  <c r="U55" i="7"/>
  <c r="U54" i="7"/>
  <c r="U52" i="7"/>
  <c r="U43" i="7"/>
  <c r="U41" i="7"/>
  <c r="U40" i="7"/>
  <c r="U37" i="7"/>
  <c r="U35" i="7"/>
  <c r="U48" i="7"/>
  <c r="U33" i="7"/>
  <c r="U32" i="7"/>
  <c r="U31" i="7"/>
  <c r="U30" i="7"/>
  <c r="U29" i="7"/>
  <c r="U28" i="7"/>
  <c r="U27" i="7"/>
  <c r="K69" i="8"/>
  <c r="U60" i="8"/>
  <c r="BZ15" i="8"/>
  <c r="CA15" i="8" s="1"/>
  <c r="CB15" i="8" s="1"/>
  <c r="CC15" i="8" s="1"/>
  <c r="CD15" i="8" s="1"/>
  <c r="BQ15" i="8"/>
  <c r="BR15" i="8" s="1"/>
  <c r="BS15" i="8" s="1"/>
  <c r="BT15" i="8" s="1"/>
  <c r="BU15" i="8" s="1"/>
  <c r="BB15" i="8"/>
  <c r="BB18" i="8"/>
  <c r="BF21" i="8"/>
  <c r="BF23" i="8"/>
  <c r="BO23" i="8"/>
  <c r="CF26" i="8"/>
  <c r="BZ26" i="8"/>
  <c r="CA26" i="8" s="1"/>
  <c r="CB26" i="8" s="1"/>
  <c r="CC26" i="8" s="1"/>
  <c r="CD26" i="8" s="1"/>
  <c r="BQ26" i="8"/>
  <c r="BR26" i="8" s="1"/>
  <c r="BS26" i="8" s="1"/>
  <c r="BT26" i="8" s="1"/>
  <c r="BU26" i="8" s="1"/>
  <c r="BH26" i="8"/>
  <c r="BB26" i="8"/>
  <c r="BI32" i="8"/>
  <c r="BJ32" i="8" s="1"/>
  <c r="BK32" i="8" s="1"/>
  <c r="BL32" i="8" s="1"/>
  <c r="BG34" i="8"/>
  <c r="BF34" i="8"/>
  <c r="BP34" i="8"/>
  <c r="BO34" i="8"/>
  <c r="BZ37" i="8"/>
  <c r="CA37" i="8" s="1"/>
  <c r="CB37" i="8" s="1"/>
  <c r="CC37" i="8" s="1"/>
  <c r="CD37" i="8" s="1"/>
  <c r="BQ37" i="8"/>
  <c r="BH37" i="8"/>
  <c r="BB37" i="8"/>
  <c r="BF39" i="8"/>
  <c r="BO39" i="8"/>
  <c r="BB40" i="8"/>
  <c r="BZ42" i="8"/>
  <c r="CA42" i="8" s="1"/>
  <c r="CB42" i="8" s="1"/>
  <c r="CC42" i="8" s="1"/>
  <c r="CD42" i="8" s="1"/>
  <c r="BQ42" i="8"/>
  <c r="BH42" i="8"/>
  <c r="BI42" i="8" s="1"/>
  <c r="BJ42" i="8" s="1"/>
  <c r="BK42" i="8" s="1"/>
  <c r="BL42" i="8" s="1"/>
  <c r="BP45" i="8"/>
  <c r="BO45" i="8"/>
  <c r="BN49" i="8"/>
  <c r="BE49" i="8"/>
  <c r="BP50" i="8"/>
  <c r="BO50" i="8"/>
  <c r="BZ53" i="8"/>
  <c r="CA53" i="8" s="1"/>
  <c r="CB53" i="8" s="1"/>
  <c r="CC53" i="8" s="1"/>
  <c r="CD53" i="8" s="1"/>
  <c r="BQ53" i="8"/>
  <c r="BR53" i="8" s="1"/>
  <c r="BS53" i="8" s="1"/>
  <c r="BT53" i="8" s="1"/>
  <c r="BU53" i="8" s="1"/>
  <c r="BH53" i="8"/>
  <c r="BI53" i="8" s="1"/>
  <c r="BJ53" i="8" s="1"/>
  <c r="BK53" i="8" s="1"/>
  <c r="BL53" i="8" s="1"/>
  <c r="BP56" i="8"/>
  <c r="BO56" i="8"/>
  <c r="BB57" i="8"/>
  <c r="K60" i="8"/>
  <c r="L40" i="8" s="1"/>
  <c r="BB4" i="9"/>
  <c r="BN6" i="9"/>
  <c r="BE6" i="9"/>
  <c r="L6" i="9"/>
  <c r="BN7" i="9"/>
  <c r="BE7" i="9"/>
  <c r="BG8" i="9"/>
  <c r="BF8" i="9"/>
  <c r="BR21" i="9"/>
  <c r="BS21" i="9" s="1"/>
  <c r="BT21" i="9" s="1"/>
  <c r="BU21" i="9" s="1"/>
  <c r="BI25" i="9"/>
  <c r="BJ25" i="9" s="1"/>
  <c r="BK25" i="9" s="1"/>
  <c r="BL25" i="9" s="1"/>
  <c r="BP26" i="9"/>
  <c r="BO26" i="9"/>
  <c r="K60" i="9"/>
  <c r="BR15" i="10"/>
  <c r="BS15" i="10" s="1"/>
  <c r="BT15" i="10" s="1"/>
  <c r="BU15" i="10" s="1"/>
  <c r="BN51" i="10"/>
  <c r="BE51" i="10"/>
  <c r="L51" i="10"/>
  <c r="BB51" i="10"/>
  <c r="BG11" i="9"/>
  <c r="BF11" i="9"/>
  <c r="BN14" i="9"/>
  <c r="BE14" i="9"/>
  <c r="L14" i="9"/>
  <c r="BP23" i="9"/>
  <c r="BO23" i="9"/>
  <c r="BP25" i="9"/>
  <c r="BO25" i="9"/>
  <c r="BO28" i="9"/>
  <c r="BP45" i="9"/>
  <c r="BO45" i="9"/>
  <c r="BN49" i="9"/>
  <c r="BE49" i="9"/>
  <c r="L49" i="9"/>
  <c r="BP50" i="9"/>
  <c r="BO50" i="9"/>
  <c r="BE57" i="9"/>
  <c r="L57" i="9"/>
  <c r="BB57" i="9"/>
  <c r="BZ11" i="10"/>
  <c r="CA11" i="10" s="1"/>
  <c r="CB11" i="10" s="1"/>
  <c r="CC11" i="10" s="1"/>
  <c r="CD11" i="10" s="1"/>
  <c r="BQ11" i="10"/>
  <c r="BR11" i="10" s="1"/>
  <c r="BS11" i="10" s="1"/>
  <c r="BT11" i="10" s="1"/>
  <c r="BU11" i="10" s="1"/>
  <c r="BH11" i="10"/>
  <c r="BI11" i="10" s="1"/>
  <c r="BJ11" i="10" s="1"/>
  <c r="BK11" i="10" s="1"/>
  <c r="BL11" i="10" s="1"/>
  <c r="BB11" i="10"/>
  <c r="BN13" i="10"/>
  <c r="BE13" i="10"/>
  <c r="L13" i="10"/>
  <c r="BB15" i="10"/>
  <c r="BZ15" i="10"/>
  <c r="CA15" i="10" s="1"/>
  <c r="CB15" i="10" s="1"/>
  <c r="CC15" i="10" s="1"/>
  <c r="CD15" i="10" s="1"/>
  <c r="BP22" i="11"/>
  <c r="BO22" i="11"/>
  <c r="BR16" i="9"/>
  <c r="BS16" i="9" s="1"/>
  <c r="BT16" i="9" s="1"/>
  <c r="BU16" i="9" s="1"/>
  <c r="L19" i="9"/>
  <c r="BR23" i="9"/>
  <c r="BS23" i="9" s="1"/>
  <c r="BT23" i="9" s="1"/>
  <c r="BU23" i="9" s="1"/>
  <c r="BG24" i="9"/>
  <c r="BF24" i="9"/>
  <c r="BR25" i="9"/>
  <c r="BS25" i="9" s="1"/>
  <c r="BT25" i="9" s="1"/>
  <c r="BU25" i="9" s="1"/>
  <c r="BG26" i="9"/>
  <c r="BF26" i="9"/>
  <c r="CF27" i="9"/>
  <c r="BZ27" i="9"/>
  <c r="CA27" i="9" s="1"/>
  <c r="CB27" i="9" s="1"/>
  <c r="CC27" i="9" s="1"/>
  <c r="CD27" i="9" s="1"/>
  <c r="BQ27" i="9"/>
  <c r="BH27" i="9"/>
  <c r="BI27" i="9" s="1"/>
  <c r="BJ27" i="9" s="1"/>
  <c r="BK27" i="9" s="1"/>
  <c r="BL27" i="9" s="1"/>
  <c r="BZ31" i="9"/>
  <c r="CA31" i="9" s="1"/>
  <c r="CB31" i="9" s="1"/>
  <c r="CC31" i="9" s="1"/>
  <c r="CD31" i="9" s="1"/>
  <c r="BQ31" i="9"/>
  <c r="CF31" i="9"/>
  <c r="BC32" i="9"/>
  <c r="BC34" i="9"/>
  <c r="BH36" i="9"/>
  <c r="BZ36" i="9"/>
  <c r="CA36" i="9" s="1"/>
  <c r="CB36" i="9" s="1"/>
  <c r="CC36" i="9" s="1"/>
  <c r="CD36" i="9" s="1"/>
  <c r="BZ38" i="9"/>
  <c r="CA38" i="9" s="1"/>
  <c r="CB38" i="9" s="1"/>
  <c r="CC38" i="9" s="1"/>
  <c r="CD38" i="9" s="1"/>
  <c r="BQ38" i="9"/>
  <c r="BH38" i="9"/>
  <c r="BI38" i="9" s="1"/>
  <c r="BJ38" i="9" s="1"/>
  <c r="BK38" i="9" s="1"/>
  <c r="BL38" i="9" s="1"/>
  <c r="BZ42" i="9"/>
  <c r="CA42" i="9" s="1"/>
  <c r="CB42" i="9" s="1"/>
  <c r="CC42" i="9" s="1"/>
  <c r="CD42" i="9" s="1"/>
  <c r="BQ42" i="9"/>
  <c r="BH42" i="9"/>
  <c r="BI42" i="9" s="1"/>
  <c r="BJ42" i="9" s="1"/>
  <c r="BK42" i="9" s="1"/>
  <c r="BL42" i="9" s="1"/>
  <c r="BN44" i="9"/>
  <c r="BE44" i="9"/>
  <c r="L44" i="9"/>
  <c r="BB44" i="9"/>
  <c r="BZ46" i="9"/>
  <c r="CA46" i="9" s="1"/>
  <c r="CB46" i="9" s="1"/>
  <c r="CC46" i="9" s="1"/>
  <c r="CD46" i="9" s="1"/>
  <c r="BQ46" i="9"/>
  <c r="BR46" i="9" s="1"/>
  <c r="BS46" i="9" s="1"/>
  <c r="BT46" i="9" s="1"/>
  <c r="BU46" i="9" s="1"/>
  <c r="BH46" i="9"/>
  <c r="BI46" i="9" s="1"/>
  <c r="BJ46" i="9" s="1"/>
  <c r="BK46" i="9" s="1"/>
  <c r="BL46" i="9" s="1"/>
  <c r="BR50" i="9"/>
  <c r="BS50" i="9" s="1"/>
  <c r="BT50" i="9" s="1"/>
  <c r="BU50" i="9" s="1"/>
  <c r="BN51" i="9"/>
  <c r="BE51" i="9"/>
  <c r="L51" i="9"/>
  <c r="BZ53" i="9"/>
  <c r="CA53" i="9" s="1"/>
  <c r="CB53" i="9" s="1"/>
  <c r="CC53" i="9" s="1"/>
  <c r="CD53" i="9" s="1"/>
  <c r="BQ53" i="9"/>
  <c r="BR53" i="9" s="1"/>
  <c r="BS53" i="9" s="1"/>
  <c r="BT53" i="9" s="1"/>
  <c r="BU53" i="9" s="1"/>
  <c r="BH53" i="9"/>
  <c r="BN55" i="9"/>
  <c r="BE55" i="9"/>
  <c r="L55" i="9"/>
  <c r="BG56" i="9"/>
  <c r="BF56" i="9"/>
  <c r="BZ6" i="10"/>
  <c r="CA6" i="10" s="1"/>
  <c r="CB6" i="10" s="1"/>
  <c r="CC6" i="10" s="1"/>
  <c r="CD6" i="10" s="1"/>
  <c r="BQ6" i="10"/>
  <c r="BH6" i="10"/>
  <c r="BI6" i="10" s="1"/>
  <c r="BJ6" i="10" s="1"/>
  <c r="BK6" i="10" s="1"/>
  <c r="BL6" i="10" s="1"/>
  <c r="BB6" i="10"/>
  <c r="CG6" i="10"/>
  <c r="BP35" i="10"/>
  <c r="BO35" i="10"/>
  <c r="BG39" i="10"/>
  <c r="BF39" i="10"/>
  <c r="CG12" i="9"/>
  <c r="BB12" i="9"/>
  <c r="CG16" i="9"/>
  <c r="BB16" i="9"/>
  <c r="BG23" i="9"/>
  <c r="BF23" i="9"/>
  <c r="BG25" i="9"/>
  <c r="BF25" i="9"/>
  <c r="BB27" i="9"/>
  <c r="BH31" i="9"/>
  <c r="BI31" i="9" s="1"/>
  <c r="BJ31" i="9" s="1"/>
  <c r="BK31" i="9" s="1"/>
  <c r="BL31" i="9" s="1"/>
  <c r="BB42" i="9"/>
  <c r="BG45" i="9"/>
  <c r="BF45" i="9"/>
  <c r="BB46" i="9"/>
  <c r="BC51" i="9"/>
  <c r="BG50" i="9"/>
  <c r="BF50" i="9"/>
  <c r="BB53" i="9"/>
  <c r="CF55" i="9"/>
  <c r="BZ55" i="9"/>
  <c r="CA55" i="9" s="1"/>
  <c r="CB55" i="9" s="1"/>
  <c r="CC55" i="9" s="1"/>
  <c r="CD55" i="9" s="1"/>
  <c r="BQ55" i="9"/>
  <c r="BH55" i="9"/>
  <c r="BI55" i="9" s="1"/>
  <c r="BJ55" i="9" s="1"/>
  <c r="BK55" i="9" s="1"/>
  <c r="BL55" i="9" s="1"/>
  <c r="BB55" i="9"/>
  <c r="BN9" i="10"/>
  <c r="BE9" i="10"/>
  <c r="L9" i="10"/>
  <c r="BN11" i="10"/>
  <c r="BE11" i="10"/>
  <c r="BG18" i="10"/>
  <c r="BF18" i="10"/>
  <c r="BN22" i="10"/>
  <c r="BE22" i="10"/>
  <c r="BP53" i="10"/>
  <c r="BO53" i="10"/>
  <c r="BN21" i="11"/>
  <c r="BE21" i="11"/>
  <c r="L21" i="11"/>
  <c r="BB21" i="11"/>
  <c r="BN27" i="11"/>
  <c r="BE27" i="11"/>
  <c r="L27" i="11"/>
  <c r="BZ32" i="11"/>
  <c r="CA32" i="11" s="1"/>
  <c r="CB32" i="11" s="1"/>
  <c r="CC32" i="11" s="1"/>
  <c r="CD32" i="11" s="1"/>
  <c r="BQ32" i="11"/>
  <c r="BR32" i="11" s="1"/>
  <c r="BS32" i="11" s="1"/>
  <c r="BT32" i="11" s="1"/>
  <c r="BU32" i="11" s="1"/>
  <c r="BH32" i="11"/>
  <c r="BI32" i="11" s="1"/>
  <c r="BJ32" i="11" s="1"/>
  <c r="BK32" i="11" s="1"/>
  <c r="BL32" i="11" s="1"/>
  <c r="BB32" i="11"/>
  <c r="CA43" i="11"/>
  <c r="CB43" i="11" s="1"/>
  <c r="CC43" i="11" s="1"/>
  <c r="CD43" i="11" s="1"/>
  <c r="BR43" i="11"/>
  <c r="BS43" i="11" s="1"/>
  <c r="BT43" i="11" s="1"/>
  <c r="BU43" i="11" s="1"/>
  <c r="BN20" i="10"/>
  <c r="BE20" i="10"/>
  <c r="BG21" i="10"/>
  <c r="BF21" i="10"/>
  <c r="BR29" i="10"/>
  <c r="BS29" i="10" s="1"/>
  <c r="BT29" i="10" s="1"/>
  <c r="BU29" i="10" s="1"/>
  <c r="BN30" i="10"/>
  <c r="BE30" i="10"/>
  <c r="BN46" i="10"/>
  <c r="BE46" i="10"/>
  <c r="BG56" i="10"/>
  <c r="BF56" i="10"/>
  <c r="BP56" i="10"/>
  <c r="BO56" i="10"/>
  <c r="BP15" i="11"/>
  <c r="BO15" i="11"/>
  <c r="BP17" i="11"/>
  <c r="BO17" i="11"/>
  <c r="BQ17" i="11"/>
  <c r="BR17" i="11" s="1"/>
  <c r="BS17" i="11" s="1"/>
  <c r="BT17" i="11" s="1"/>
  <c r="BU17" i="11" s="1"/>
  <c r="BG24" i="11"/>
  <c r="BF24" i="11"/>
  <c r="BR30" i="11"/>
  <c r="BS30" i="11" s="1"/>
  <c r="BT30" i="11" s="1"/>
  <c r="BU30" i="11" s="1"/>
  <c r="BI30" i="11"/>
  <c r="BJ30" i="11" s="1"/>
  <c r="BK30" i="11" s="1"/>
  <c r="BL30" i="11" s="1"/>
  <c r="BP18" i="10"/>
  <c r="BO18" i="10"/>
  <c r="BZ22" i="10"/>
  <c r="CA22" i="10" s="1"/>
  <c r="CB22" i="10" s="1"/>
  <c r="CC22" i="10" s="1"/>
  <c r="CD22" i="10" s="1"/>
  <c r="BQ22" i="10"/>
  <c r="BR22" i="10" s="1"/>
  <c r="BS22" i="10" s="1"/>
  <c r="BT22" i="10" s="1"/>
  <c r="BU22" i="10" s="1"/>
  <c r="BH22" i="10"/>
  <c r="BI22" i="10" s="1"/>
  <c r="BJ22" i="10" s="1"/>
  <c r="BK22" i="10" s="1"/>
  <c r="BL22" i="10" s="1"/>
  <c r="BB22" i="10"/>
  <c r="BZ26" i="10"/>
  <c r="CA26" i="10" s="1"/>
  <c r="CB26" i="10" s="1"/>
  <c r="CC26" i="10" s="1"/>
  <c r="CD26" i="10" s="1"/>
  <c r="BQ26" i="10"/>
  <c r="BR26" i="10" s="1"/>
  <c r="BS26" i="10" s="1"/>
  <c r="BT26" i="10" s="1"/>
  <c r="BU26" i="10" s="1"/>
  <c r="BH26" i="10"/>
  <c r="BI26" i="10" s="1"/>
  <c r="BJ26" i="10" s="1"/>
  <c r="BK26" i="10" s="1"/>
  <c r="BL26" i="10" s="1"/>
  <c r="BB26" i="10"/>
  <c r="BG27" i="10"/>
  <c r="BF27" i="10"/>
  <c r="BC51" i="10"/>
  <c r="BZ53" i="10"/>
  <c r="CA53" i="10" s="1"/>
  <c r="CB53" i="10" s="1"/>
  <c r="CC53" i="10" s="1"/>
  <c r="CD53" i="10" s="1"/>
  <c r="BQ53" i="10"/>
  <c r="BH53" i="10"/>
  <c r="BI53" i="10" s="1"/>
  <c r="BJ53" i="10" s="1"/>
  <c r="BK53" i="10" s="1"/>
  <c r="BL53" i="10" s="1"/>
  <c r="BB53" i="10"/>
  <c r="CG53" i="10"/>
  <c r="BE54" i="10"/>
  <c r="BB54" i="10"/>
  <c r="L54" i="10"/>
  <c r="BN54" i="10"/>
  <c r="K69" i="10"/>
  <c r="BN5" i="11"/>
  <c r="BE5" i="11"/>
  <c r="BB5" i="11"/>
  <c r="BN9" i="11"/>
  <c r="BE9" i="11"/>
  <c r="BG10" i="11"/>
  <c r="BF10" i="11"/>
  <c r="BG41" i="11"/>
  <c r="BF41" i="11"/>
  <c r="BP21" i="10"/>
  <c r="BO21" i="10"/>
  <c r="BP25" i="10"/>
  <c r="BO25" i="10"/>
  <c r="BI32" i="10"/>
  <c r="BJ32" i="10" s="1"/>
  <c r="BK32" i="10" s="1"/>
  <c r="BL32" i="10" s="1"/>
  <c r="BG37" i="10"/>
  <c r="BF37" i="10"/>
  <c r="BH43" i="10"/>
  <c r="BI43" i="10" s="1"/>
  <c r="BJ43" i="10" s="1"/>
  <c r="BK43" i="10" s="1"/>
  <c r="BL43" i="10" s="1"/>
  <c r="BG43" i="10"/>
  <c r="BB46" i="10"/>
  <c r="BG47" i="10"/>
  <c r="BF47" i="10"/>
  <c r="BP47" i="10"/>
  <c r="BO47" i="10"/>
  <c r="BG49" i="10"/>
  <c r="BF49" i="10"/>
  <c r="BG52" i="10"/>
  <c r="BF52" i="10"/>
  <c r="BP52" i="10"/>
  <c r="BO52" i="10"/>
  <c r="BH57" i="10"/>
  <c r="BI57" i="10" s="1"/>
  <c r="BJ57" i="10" s="1"/>
  <c r="BK57" i="10" s="1"/>
  <c r="BL57" i="10" s="1"/>
  <c r="BB57" i="10"/>
  <c r="BF57" i="10"/>
  <c r="BZ6" i="11"/>
  <c r="CA6" i="11" s="1"/>
  <c r="CB6" i="11" s="1"/>
  <c r="CC6" i="11" s="1"/>
  <c r="CD6" i="11" s="1"/>
  <c r="BQ6" i="11"/>
  <c r="BR6" i="11" s="1"/>
  <c r="BS6" i="11" s="1"/>
  <c r="BT6" i="11" s="1"/>
  <c r="BU6" i="11" s="1"/>
  <c r="BH6" i="11"/>
  <c r="BI6" i="11" s="1"/>
  <c r="BJ6" i="11" s="1"/>
  <c r="BK6" i="11" s="1"/>
  <c r="BL6" i="11" s="1"/>
  <c r="BB6" i="11"/>
  <c r="BN8" i="11"/>
  <c r="BE8" i="11"/>
  <c r="BZ20" i="11"/>
  <c r="CA20" i="11" s="1"/>
  <c r="CB20" i="11" s="1"/>
  <c r="CC20" i="11" s="1"/>
  <c r="CD20" i="11" s="1"/>
  <c r="BQ20" i="11"/>
  <c r="BR20" i="11" s="1"/>
  <c r="BS20" i="11" s="1"/>
  <c r="BT20" i="11" s="1"/>
  <c r="BU20" i="11" s="1"/>
  <c r="BH20" i="11"/>
  <c r="BD20" i="11"/>
  <c r="BB20" i="11"/>
  <c r="BC20" i="11" s="1"/>
  <c r="CA30" i="11"/>
  <c r="CB30" i="11" s="1"/>
  <c r="CC30" i="11" s="1"/>
  <c r="CD30" i="11" s="1"/>
  <c r="BQ17" i="12"/>
  <c r="BR17" i="12" s="1"/>
  <c r="BS17" i="12" s="1"/>
  <c r="BT17" i="12" s="1"/>
  <c r="BU17" i="12" s="1"/>
  <c r="BP17" i="12"/>
  <c r="BO17" i="12"/>
  <c r="BO35" i="12"/>
  <c r="BP35" i="12"/>
  <c r="BZ47" i="7"/>
  <c r="BZ48" i="7"/>
  <c r="CA48" i="7" s="1"/>
  <c r="CB48" i="7" s="1"/>
  <c r="CC48" i="7" s="1"/>
  <c r="CD48" i="7" s="1"/>
  <c r="BN42" i="8"/>
  <c r="BE42" i="8"/>
  <c r="L42" i="8"/>
  <c r="CG42" i="8"/>
  <c r="BH43" i="8"/>
  <c r="BI43" i="8" s="1"/>
  <c r="BJ43" i="8" s="1"/>
  <c r="BK43" i="8" s="1"/>
  <c r="BL43" i="8" s="1"/>
  <c r="BG43" i="8"/>
  <c r="BN46" i="8"/>
  <c r="BE46" i="8"/>
  <c r="CG46" i="8"/>
  <c r="BN53" i="8"/>
  <c r="BE53" i="8"/>
  <c r="L53" i="8"/>
  <c r="CG53" i="8"/>
  <c r="BH54" i="8"/>
  <c r="BI54" i="8" s="1"/>
  <c r="BJ54" i="8" s="1"/>
  <c r="BK54" i="8" s="1"/>
  <c r="BL54" i="8" s="1"/>
  <c r="BG54" i="8"/>
  <c r="P51" i="8"/>
  <c r="Q51" i="8" s="1"/>
  <c r="Q60" i="8" s="1"/>
  <c r="P49" i="8"/>
  <c r="Q49" i="8" s="1"/>
  <c r="P56" i="8"/>
  <c r="Q56" i="8" s="1"/>
  <c r="P54" i="8"/>
  <c r="Q54" i="8" s="1"/>
  <c r="P52" i="8"/>
  <c r="Q52" i="8" s="1"/>
  <c r="P43" i="8"/>
  <c r="Q43" i="8" s="1"/>
  <c r="P41" i="8"/>
  <c r="Q41" i="8" s="1"/>
  <c r="K69" i="9"/>
  <c r="BN4" i="9"/>
  <c r="BE4" i="9"/>
  <c r="L4" i="9"/>
  <c r="Y60" i="9"/>
  <c r="CG4" i="9"/>
  <c r="BN9" i="9"/>
  <c r="BE9" i="9"/>
  <c r="BN10" i="9"/>
  <c r="BE10" i="9"/>
  <c r="L10" i="9"/>
  <c r="CF10" i="9"/>
  <c r="CF60" i="9" s="1"/>
  <c r="BZ10" i="9"/>
  <c r="CA10" i="9" s="1"/>
  <c r="CB10" i="9" s="1"/>
  <c r="CC10" i="9" s="1"/>
  <c r="CD10" i="9" s="1"/>
  <c r="BQ10" i="9"/>
  <c r="BR10" i="9" s="1"/>
  <c r="BS10" i="9" s="1"/>
  <c r="BT10" i="9" s="1"/>
  <c r="BU10" i="9" s="1"/>
  <c r="BH10" i="9"/>
  <c r="BI10" i="9" s="1"/>
  <c r="BJ10" i="9" s="1"/>
  <c r="BK10" i="9" s="1"/>
  <c r="BL10" i="9" s="1"/>
  <c r="BB10" i="9"/>
  <c r="BG13" i="9"/>
  <c r="BF13" i="9"/>
  <c r="BP13" i="9"/>
  <c r="BO13" i="9"/>
  <c r="BN18" i="9"/>
  <c r="BE18" i="9"/>
  <c r="L18" i="9"/>
  <c r="BB21" i="9"/>
  <c r="BN32" i="9"/>
  <c r="BE32" i="9"/>
  <c r="BZ33" i="9"/>
  <c r="CA33" i="9" s="1"/>
  <c r="CB33" i="9" s="1"/>
  <c r="CC33" i="9" s="1"/>
  <c r="CD33" i="9" s="1"/>
  <c r="BH33" i="9"/>
  <c r="BB33" i="9"/>
  <c r="BN34" i="9"/>
  <c r="BE34" i="9"/>
  <c r="BB34" i="9"/>
  <c r="BN38" i="9"/>
  <c r="BE38" i="9"/>
  <c r="L38" i="9"/>
  <c r="CG38" i="9"/>
  <c r="BN42" i="9"/>
  <c r="BE42" i="9"/>
  <c r="L42" i="9"/>
  <c r="CG42" i="9"/>
  <c r="BH43" i="9"/>
  <c r="BI43" i="9" s="1"/>
  <c r="BJ43" i="9" s="1"/>
  <c r="BK43" i="9" s="1"/>
  <c r="BL43" i="9" s="1"/>
  <c r="BG43" i="9"/>
  <c r="BN46" i="9"/>
  <c r="BE46" i="9"/>
  <c r="L46" i="9"/>
  <c r="CG46" i="9"/>
  <c r="CA47" i="9"/>
  <c r="CB47" i="9" s="1"/>
  <c r="CC47" i="9" s="1"/>
  <c r="CD47" i="9" s="1"/>
  <c r="BN53" i="9"/>
  <c r="BE53" i="9"/>
  <c r="L53" i="9"/>
  <c r="CG53" i="9"/>
  <c r="BH54" i="9"/>
  <c r="BI54" i="9" s="1"/>
  <c r="BJ54" i="9" s="1"/>
  <c r="BK54" i="9" s="1"/>
  <c r="BL54" i="9" s="1"/>
  <c r="BG54" i="9"/>
  <c r="P51" i="9"/>
  <c r="Q51" i="9" s="1"/>
  <c r="P49" i="9"/>
  <c r="Q49" i="9" s="1"/>
  <c r="P34" i="9"/>
  <c r="Q34" i="9" s="1"/>
  <c r="P25" i="9"/>
  <c r="Q25" i="9" s="1"/>
  <c r="P23" i="9"/>
  <c r="Q23" i="9" s="1"/>
  <c r="P21" i="9"/>
  <c r="Q21" i="9" s="1"/>
  <c r="P7" i="9"/>
  <c r="Q7" i="9" s="1"/>
  <c r="P56" i="9"/>
  <c r="Q56" i="9" s="1"/>
  <c r="P54" i="9"/>
  <c r="Q54" i="9" s="1"/>
  <c r="P52" i="9"/>
  <c r="Q52" i="9" s="1"/>
  <c r="P43" i="9"/>
  <c r="Q43" i="9" s="1"/>
  <c r="P41" i="9"/>
  <c r="Q41" i="9" s="1"/>
  <c r="P37" i="9"/>
  <c r="Q37" i="9" s="1"/>
  <c r="P35" i="9"/>
  <c r="Q35" i="9" s="1"/>
  <c r="P17" i="9"/>
  <c r="Q17" i="9" s="1"/>
  <c r="P15" i="9"/>
  <c r="Q15" i="9" s="1"/>
  <c r="P5" i="9"/>
  <c r="Q5" i="9" s="1"/>
  <c r="Q60" i="9" s="1"/>
  <c r="K60" i="10"/>
  <c r="BN4" i="10"/>
  <c r="BE4" i="10"/>
  <c r="Y60" i="10"/>
  <c r="BN6" i="10"/>
  <c r="BE6" i="10"/>
  <c r="BN7" i="10"/>
  <c r="BE7" i="10"/>
  <c r="BB7" i="10"/>
  <c r="BZ9" i="10"/>
  <c r="CA9" i="10" s="1"/>
  <c r="CB9" i="10" s="1"/>
  <c r="CC9" i="10" s="1"/>
  <c r="CD9" i="10" s="1"/>
  <c r="BQ9" i="10"/>
  <c r="BR9" i="10" s="1"/>
  <c r="BS9" i="10" s="1"/>
  <c r="BT9" i="10" s="1"/>
  <c r="BU9" i="10" s="1"/>
  <c r="BH9" i="10"/>
  <c r="BB9" i="10"/>
  <c r="BG10" i="10"/>
  <c r="BF10" i="10"/>
  <c r="BP10" i="10"/>
  <c r="BO10" i="10"/>
  <c r="BZ13" i="10"/>
  <c r="CA13" i="10" s="1"/>
  <c r="CB13" i="10" s="1"/>
  <c r="CC13" i="10" s="1"/>
  <c r="CD13" i="10" s="1"/>
  <c r="BQ13" i="10"/>
  <c r="BR13" i="10" s="1"/>
  <c r="BS13" i="10" s="1"/>
  <c r="BT13" i="10" s="1"/>
  <c r="BU13" i="10" s="1"/>
  <c r="BH13" i="10"/>
  <c r="BI13" i="10" s="1"/>
  <c r="BJ13" i="10" s="1"/>
  <c r="BK13" i="10" s="1"/>
  <c r="BL13" i="10" s="1"/>
  <c r="BB13" i="10"/>
  <c r="BN15" i="10"/>
  <c r="BE15" i="10"/>
  <c r="BN17" i="10"/>
  <c r="BE17" i="10"/>
  <c r="L17" i="10"/>
  <c r="BB20" i="10"/>
  <c r="BC20" i="10" s="1"/>
  <c r="BZ24" i="10"/>
  <c r="CA24" i="10" s="1"/>
  <c r="CB24" i="10" s="1"/>
  <c r="CC24" i="10" s="1"/>
  <c r="CD24" i="10" s="1"/>
  <c r="BQ24" i="10"/>
  <c r="BR24" i="10" s="1"/>
  <c r="BS24" i="10" s="1"/>
  <c r="BT24" i="10" s="1"/>
  <c r="BU24" i="10" s="1"/>
  <c r="BH24" i="10"/>
  <c r="BI24" i="10" s="1"/>
  <c r="BJ24" i="10" s="1"/>
  <c r="BK24" i="10" s="1"/>
  <c r="BL24" i="10" s="1"/>
  <c r="BB24" i="10"/>
  <c r="BN26" i="10"/>
  <c r="BE26" i="10"/>
  <c r="L26" i="10"/>
  <c r="CG30" i="10"/>
  <c r="BZ30" i="10"/>
  <c r="CA30" i="10" s="1"/>
  <c r="CB30" i="10" s="1"/>
  <c r="CC30" i="10" s="1"/>
  <c r="CD30" i="10" s="1"/>
  <c r="BQ30" i="10"/>
  <c r="BR30" i="10" s="1"/>
  <c r="BS30" i="10" s="1"/>
  <c r="BT30" i="10" s="1"/>
  <c r="BU30" i="10" s="1"/>
  <c r="BH30" i="10"/>
  <c r="BI30" i="10" s="1"/>
  <c r="BJ30" i="10" s="1"/>
  <c r="BK30" i="10" s="1"/>
  <c r="BL30" i="10" s="1"/>
  <c r="BN36" i="10"/>
  <c r="BE36" i="10"/>
  <c r="L36" i="10"/>
  <c r="BP37" i="10"/>
  <c r="BO37" i="10"/>
  <c r="BR42" i="10"/>
  <c r="BS42" i="10" s="1"/>
  <c r="BT42" i="10" s="1"/>
  <c r="BU42" i="10" s="1"/>
  <c r="BZ48" i="10"/>
  <c r="CA48" i="10" s="1"/>
  <c r="CB48" i="10" s="1"/>
  <c r="CC48" i="10" s="1"/>
  <c r="CD48" i="10" s="1"/>
  <c r="BQ48" i="10"/>
  <c r="BH48" i="10"/>
  <c r="BI48" i="10" s="1"/>
  <c r="BJ48" i="10" s="1"/>
  <c r="BK48" i="10" s="1"/>
  <c r="BL48" i="10" s="1"/>
  <c r="P56" i="10"/>
  <c r="Q56" i="10" s="1"/>
  <c r="P54" i="10"/>
  <c r="Q54" i="10" s="1"/>
  <c r="P52" i="10"/>
  <c r="Q52" i="10" s="1"/>
  <c r="P49" i="10"/>
  <c r="Q49" i="10" s="1"/>
  <c r="P34" i="10"/>
  <c r="Q34" i="10" s="1"/>
  <c r="P43" i="10"/>
  <c r="Q43" i="10" s="1"/>
  <c r="P41" i="10"/>
  <c r="Q41" i="10" s="1"/>
  <c r="P37" i="10"/>
  <c r="Q37" i="10" s="1"/>
  <c r="P35" i="10"/>
  <c r="Q35" i="10" s="1"/>
  <c r="P25" i="10"/>
  <c r="Q25" i="10" s="1"/>
  <c r="P7" i="10"/>
  <c r="Q7" i="10" s="1"/>
  <c r="P57" i="10"/>
  <c r="Q57" i="10" s="1"/>
  <c r="P53" i="10"/>
  <c r="Q53" i="10" s="1"/>
  <c r="P46" i="10"/>
  <c r="Q46" i="10" s="1"/>
  <c r="P30" i="10"/>
  <c r="Q30" i="10" s="1"/>
  <c r="P23" i="10"/>
  <c r="Q23" i="10" s="1"/>
  <c r="P21" i="10"/>
  <c r="Q21" i="10" s="1"/>
  <c r="P18" i="10"/>
  <c r="Q18" i="10" s="1"/>
  <c r="P16" i="10"/>
  <c r="Q16" i="10" s="1"/>
  <c r="P14" i="10"/>
  <c r="Q14" i="10" s="1"/>
  <c r="P12" i="10"/>
  <c r="Q12" i="10" s="1"/>
  <c r="P5" i="10"/>
  <c r="Q5" i="10" s="1"/>
  <c r="Q60" i="10" s="1"/>
  <c r="CF11" i="11"/>
  <c r="CF60" i="11" s="1"/>
  <c r="BZ11" i="11"/>
  <c r="CA11" i="11" s="1"/>
  <c r="CB11" i="11" s="1"/>
  <c r="CC11" i="11" s="1"/>
  <c r="CD11" i="11" s="1"/>
  <c r="BQ11" i="11"/>
  <c r="BH11" i="11"/>
  <c r="BI11" i="11" s="1"/>
  <c r="BJ11" i="11" s="1"/>
  <c r="BK11" i="11" s="1"/>
  <c r="BL11" i="11" s="1"/>
  <c r="BP12" i="11"/>
  <c r="BG17" i="11"/>
  <c r="BF17" i="11"/>
  <c r="BG30" i="11"/>
  <c r="BF30" i="11"/>
  <c r="BG32" i="11"/>
  <c r="BF32" i="11"/>
  <c r="BG35" i="11"/>
  <c r="BF35" i="11"/>
  <c r="BQ44" i="11"/>
  <c r="BB44" i="11"/>
  <c r="BF44" i="11"/>
  <c r="CG44" i="11"/>
  <c r="BP44" i="11"/>
  <c r="BG44" i="11"/>
  <c r="BO44" i="11"/>
  <c r="BQ49" i="7"/>
  <c r="BR49" i="7" s="1"/>
  <c r="BS49" i="7" s="1"/>
  <c r="BT49" i="7" s="1"/>
  <c r="BU49" i="7" s="1"/>
  <c r="L52" i="7"/>
  <c r="BE52" i="7"/>
  <c r="BE54" i="7"/>
  <c r="L56" i="7"/>
  <c r="BE56" i="7"/>
  <c r="Y60" i="8"/>
  <c r="BA60" i="8"/>
  <c r="BA69" i="8"/>
  <c r="BA61" i="8"/>
  <c r="BE5" i="8"/>
  <c r="BQ13" i="8"/>
  <c r="BR13" i="8" s="1"/>
  <c r="BS13" i="8" s="1"/>
  <c r="BT13" i="8" s="1"/>
  <c r="BU13" i="8" s="1"/>
  <c r="BE15" i="8"/>
  <c r="BB23" i="8"/>
  <c r="BH23" i="8"/>
  <c r="BI23" i="8" s="1"/>
  <c r="BJ23" i="8" s="1"/>
  <c r="BK23" i="8" s="1"/>
  <c r="BL23" i="8" s="1"/>
  <c r="BQ23" i="8"/>
  <c r="BR23" i="8" s="1"/>
  <c r="BS23" i="8" s="1"/>
  <c r="BT23" i="8" s="1"/>
  <c r="BU23" i="8" s="1"/>
  <c r="BB25" i="8"/>
  <c r="BH25" i="8"/>
  <c r="BI25" i="8" s="1"/>
  <c r="BJ25" i="8" s="1"/>
  <c r="BK25" i="8" s="1"/>
  <c r="BL25" i="8" s="1"/>
  <c r="BQ25" i="8"/>
  <c r="BR25" i="8" s="1"/>
  <c r="BS25" i="8" s="1"/>
  <c r="BT25" i="8" s="1"/>
  <c r="BU25" i="8" s="1"/>
  <c r="BE35" i="8"/>
  <c r="BE37" i="8"/>
  <c r="BB39" i="8"/>
  <c r="BH39" i="8"/>
  <c r="BI39" i="8" s="1"/>
  <c r="BJ39" i="8" s="1"/>
  <c r="BK39" i="8" s="1"/>
  <c r="BL39" i="8" s="1"/>
  <c r="BQ39" i="8"/>
  <c r="BR39" i="8" s="1"/>
  <c r="BS39" i="8" s="1"/>
  <c r="BT39" i="8" s="1"/>
  <c r="BU39" i="8" s="1"/>
  <c r="BF43" i="8"/>
  <c r="BO43" i="8"/>
  <c r="BZ48" i="8"/>
  <c r="CA48" i="8" s="1"/>
  <c r="CB48" i="8" s="1"/>
  <c r="CC48" i="8" s="1"/>
  <c r="CD48" i="8" s="1"/>
  <c r="BQ48" i="8"/>
  <c r="BR48" i="8" s="1"/>
  <c r="BS48" i="8" s="1"/>
  <c r="BT48" i="8" s="1"/>
  <c r="BU48" i="8" s="1"/>
  <c r="CF48" i="8"/>
  <c r="P53" i="8"/>
  <c r="Q53" i="8" s="1"/>
  <c r="BF54" i="8"/>
  <c r="BO54" i="8"/>
  <c r="AG55" i="8"/>
  <c r="AG57" i="8"/>
  <c r="AG53" i="8"/>
  <c r="AG48" i="8"/>
  <c r="AG46" i="8"/>
  <c r="AG44" i="8"/>
  <c r="AG42" i="8"/>
  <c r="BF5" i="9"/>
  <c r="BO5" i="9"/>
  <c r="BZ6" i="9"/>
  <c r="CA6" i="9" s="1"/>
  <c r="CB6" i="9" s="1"/>
  <c r="CC6" i="9" s="1"/>
  <c r="CD6" i="9" s="1"/>
  <c r="BQ6" i="9"/>
  <c r="BH6" i="9"/>
  <c r="BI6" i="9" s="1"/>
  <c r="BJ6" i="9" s="1"/>
  <c r="BK6" i="9" s="1"/>
  <c r="BL6" i="9" s="1"/>
  <c r="L9" i="9"/>
  <c r="BN12" i="9"/>
  <c r="BE12" i="9"/>
  <c r="L12" i="9"/>
  <c r="BN16" i="9"/>
  <c r="BE16" i="9"/>
  <c r="L16" i="9"/>
  <c r="BQ17" i="9"/>
  <c r="BR17" i="9" s="1"/>
  <c r="BS17" i="9" s="1"/>
  <c r="BT17" i="9" s="1"/>
  <c r="BU17" i="9" s="1"/>
  <c r="BP17" i="9"/>
  <c r="BO19" i="9"/>
  <c r="L21" i="9"/>
  <c r="BE21" i="9"/>
  <c r="L24" i="9"/>
  <c r="L26" i="9"/>
  <c r="BN27" i="9"/>
  <c r="BE27" i="9"/>
  <c r="BZ28" i="9"/>
  <c r="CA28" i="9" s="1"/>
  <c r="CB28" i="9" s="1"/>
  <c r="CC28" i="9" s="1"/>
  <c r="CD28" i="9" s="1"/>
  <c r="BQ28" i="9"/>
  <c r="BR28" i="9" s="1"/>
  <c r="BS28" i="9" s="1"/>
  <c r="BT28" i="9" s="1"/>
  <c r="BU28" i="9" s="1"/>
  <c r="BH28" i="9"/>
  <c r="BB28" i="9"/>
  <c r="BN29" i="9"/>
  <c r="BE29" i="9"/>
  <c r="BZ30" i="9"/>
  <c r="CA30" i="9" s="1"/>
  <c r="CB30" i="9" s="1"/>
  <c r="CC30" i="9" s="1"/>
  <c r="CD30" i="9" s="1"/>
  <c r="BQ30" i="9"/>
  <c r="BR30" i="9" s="1"/>
  <c r="BS30" i="9" s="1"/>
  <c r="BT30" i="9" s="1"/>
  <c r="BU30" i="9" s="1"/>
  <c r="BH30" i="9"/>
  <c r="BI30" i="9" s="1"/>
  <c r="BJ30" i="9" s="1"/>
  <c r="BK30" i="9" s="1"/>
  <c r="BL30" i="9" s="1"/>
  <c r="BB30" i="9"/>
  <c r="BZ32" i="9"/>
  <c r="CA32" i="9" s="1"/>
  <c r="CB32" i="9" s="1"/>
  <c r="CC32" i="9" s="1"/>
  <c r="CD32" i="9" s="1"/>
  <c r="BQ32" i="9"/>
  <c r="BR32" i="9" s="1"/>
  <c r="BS32" i="9" s="1"/>
  <c r="BT32" i="9" s="1"/>
  <c r="BU32" i="9" s="1"/>
  <c r="BH32" i="9"/>
  <c r="BI32" i="9" s="1"/>
  <c r="BJ32" i="9" s="1"/>
  <c r="BK32" i="9" s="1"/>
  <c r="BL32" i="9" s="1"/>
  <c r="BO33" i="9"/>
  <c r="BN36" i="9"/>
  <c r="BE36" i="9"/>
  <c r="L36" i="9"/>
  <c r="CG36" i="9"/>
  <c r="BN40" i="9"/>
  <c r="BE40" i="9"/>
  <c r="L40" i="9"/>
  <c r="CF40" i="9"/>
  <c r="BZ40" i="9"/>
  <c r="CA40" i="9" s="1"/>
  <c r="CB40" i="9" s="1"/>
  <c r="CC40" i="9" s="1"/>
  <c r="CD40" i="9" s="1"/>
  <c r="BQ40" i="9"/>
  <c r="BR40" i="9" s="1"/>
  <c r="BS40" i="9" s="1"/>
  <c r="BT40" i="9" s="1"/>
  <c r="BU40" i="9" s="1"/>
  <c r="BH40" i="9"/>
  <c r="BI40" i="9" s="1"/>
  <c r="BJ40" i="9" s="1"/>
  <c r="BK40" i="9" s="1"/>
  <c r="BL40" i="9" s="1"/>
  <c r="BB40" i="9"/>
  <c r="BZ48" i="9"/>
  <c r="CA48" i="9" s="1"/>
  <c r="CB48" i="9" s="1"/>
  <c r="CC48" i="9" s="1"/>
  <c r="CD48" i="9" s="1"/>
  <c r="BQ48" i="9"/>
  <c r="BR48" i="9" s="1"/>
  <c r="BS48" i="9" s="1"/>
  <c r="BT48" i="9" s="1"/>
  <c r="BU48" i="9" s="1"/>
  <c r="CF48" i="9"/>
  <c r="AG55" i="9"/>
  <c r="AG40" i="9"/>
  <c r="AG33" i="9"/>
  <c r="AG30" i="9"/>
  <c r="AG28" i="9"/>
  <c r="AG10" i="9"/>
  <c r="AG57" i="9"/>
  <c r="AG53" i="9"/>
  <c r="AG48" i="9"/>
  <c r="AG46" i="9"/>
  <c r="AG44" i="9"/>
  <c r="AG42" i="9"/>
  <c r="AG38" i="9"/>
  <c r="AG36" i="9"/>
  <c r="AG32" i="9"/>
  <c r="AG31" i="9"/>
  <c r="AG29" i="9"/>
  <c r="AG27" i="9"/>
  <c r="AG19" i="9"/>
  <c r="AG18" i="9"/>
  <c r="AG16" i="9"/>
  <c r="AG14" i="9"/>
  <c r="AG12" i="9"/>
  <c r="AG9" i="9"/>
  <c r="AG6" i="9"/>
  <c r="AG4" i="9"/>
  <c r="BG8" i="10"/>
  <c r="BF8" i="10"/>
  <c r="BP8" i="10"/>
  <c r="BO8" i="10"/>
  <c r="BF12" i="10"/>
  <c r="BO12" i="10"/>
  <c r="CG15" i="10"/>
  <c r="CG17" i="10"/>
  <c r="L19" i="10"/>
  <c r="BF23" i="10"/>
  <c r="BO23" i="10"/>
  <c r="BG25" i="10"/>
  <c r="BF25" i="10"/>
  <c r="BB30" i="10"/>
  <c r="BG35" i="10"/>
  <c r="BF35" i="10"/>
  <c r="BB36" i="10"/>
  <c r="BN38" i="10"/>
  <c r="BE38" i="10"/>
  <c r="BP39" i="10"/>
  <c r="BO39" i="10"/>
  <c r="BO43" i="10"/>
  <c r="BZ46" i="10"/>
  <c r="CA46" i="10" s="1"/>
  <c r="CB46" i="10" s="1"/>
  <c r="CC46" i="10" s="1"/>
  <c r="CD46" i="10" s="1"/>
  <c r="BQ46" i="10"/>
  <c r="BR46" i="10" s="1"/>
  <c r="BS46" i="10" s="1"/>
  <c r="BT46" i="10" s="1"/>
  <c r="BU46" i="10" s="1"/>
  <c r="BH46" i="10"/>
  <c r="BI46" i="10" s="1"/>
  <c r="BJ46" i="10" s="1"/>
  <c r="BK46" i="10" s="1"/>
  <c r="BL46" i="10" s="1"/>
  <c r="BP49" i="10"/>
  <c r="BO49" i="10"/>
  <c r="L56" i="10"/>
  <c r="BN7" i="11"/>
  <c r="BE7" i="11"/>
  <c r="BB7" i="11"/>
  <c r="BB11" i="11"/>
  <c r="CF27" i="11"/>
  <c r="BZ27" i="11"/>
  <c r="CA27" i="11" s="1"/>
  <c r="CB27" i="11" s="1"/>
  <c r="CC27" i="11" s="1"/>
  <c r="CD27" i="11" s="1"/>
  <c r="BQ27" i="11"/>
  <c r="BR27" i="11" s="1"/>
  <c r="BS27" i="11" s="1"/>
  <c r="BT27" i="11" s="1"/>
  <c r="BU27" i="11" s="1"/>
  <c r="BH27" i="11"/>
  <c r="BI27" i="11" s="1"/>
  <c r="BJ27" i="11" s="1"/>
  <c r="BK27" i="11" s="1"/>
  <c r="BL27" i="11" s="1"/>
  <c r="BB27" i="11"/>
  <c r="BP28" i="11"/>
  <c r="BO28" i="11"/>
  <c r="L32" i="11"/>
  <c r="BN32" i="11"/>
  <c r="BZ34" i="11"/>
  <c r="CA34" i="11" s="1"/>
  <c r="CB34" i="11" s="1"/>
  <c r="CC34" i="11" s="1"/>
  <c r="CD34" i="11" s="1"/>
  <c r="BQ34" i="11"/>
  <c r="BR34" i="11" s="1"/>
  <c r="BS34" i="11" s="1"/>
  <c r="BT34" i="11" s="1"/>
  <c r="BU34" i="11" s="1"/>
  <c r="BH34" i="11"/>
  <c r="BI34" i="11" s="1"/>
  <c r="BJ34" i="11" s="1"/>
  <c r="BK34" i="11" s="1"/>
  <c r="BL34" i="11" s="1"/>
  <c r="BB34" i="11"/>
  <c r="BP41" i="11"/>
  <c r="BO41" i="11"/>
  <c r="BN43" i="11"/>
  <c r="BE43" i="11"/>
  <c r="BB43" i="11"/>
  <c r="L43" i="11"/>
  <c r="L48" i="11"/>
  <c r="CA4" i="12"/>
  <c r="BG23" i="12"/>
  <c r="BF23" i="12"/>
  <c r="BP23" i="12"/>
  <c r="BO23" i="12"/>
  <c r="BY47" i="8"/>
  <c r="BD20" i="9"/>
  <c r="BH20" i="9"/>
  <c r="BI20" i="9" s="1"/>
  <c r="BJ20" i="9" s="1"/>
  <c r="BK20" i="9" s="1"/>
  <c r="BL20" i="9" s="1"/>
  <c r="BQ20" i="9"/>
  <c r="BR20" i="9" s="1"/>
  <c r="BS20" i="9" s="1"/>
  <c r="BT20" i="9" s="1"/>
  <c r="BU20" i="9" s="1"/>
  <c r="BY47" i="9"/>
  <c r="U60" i="10"/>
  <c r="AG60" i="10"/>
  <c r="CF60" i="10"/>
  <c r="BZ23" i="10"/>
  <c r="CA23" i="10" s="1"/>
  <c r="CB23" i="10" s="1"/>
  <c r="CC23" i="10" s="1"/>
  <c r="CD23" i="10" s="1"/>
  <c r="BQ23" i="10"/>
  <c r="BR23" i="10" s="1"/>
  <c r="BS23" i="10" s="1"/>
  <c r="BT23" i="10" s="1"/>
  <c r="BU23" i="10" s="1"/>
  <c r="BH36" i="10"/>
  <c r="BI36" i="10" s="1"/>
  <c r="BJ36" i="10" s="1"/>
  <c r="BK36" i="10" s="1"/>
  <c r="BL36" i="10" s="1"/>
  <c r="BQ36" i="10"/>
  <c r="BR36" i="10" s="1"/>
  <c r="BS36" i="10" s="1"/>
  <c r="BT36" i="10" s="1"/>
  <c r="BU36" i="10" s="1"/>
  <c r="BH38" i="10"/>
  <c r="BQ38" i="10"/>
  <c r="BZ38" i="10"/>
  <c r="CA38" i="10" s="1"/>
  <c r="CB38" i="10" s="1"/>
  <c r="CC38" i="10" s="1"/>
  <c r="CD38" i="10" s="1"/>
  <c r="BN40" i="10"/>
  <c r="BE40" i="10"/>
  <c r="L40" i="10"/>
  <c r="CG46" i="10"/>
  <c r="BG50" i="10"/>
  <c r="BF50" i="10"/>
  <c r="BP50" i="10"/>
  <c r="BO50" i="10"/>
  <c r="CG6" i="11"/>
  <c r="BB8" i="11"/>
  <c r="BP10" i="11"/>
  <c r="BO10" i="11"/>
  <c r="CF13" i="11"/>
  <c r="BZ13" i="11"/>
  <c r="CA13" i="11" s="1"/>
  <c r="CB13" i="11" s="1"/>
  <c r="CC13" i="11" s="1"/>
  <c r="CD13" i="11" s="1"/>
  <c r="BQ13" i="11"/>
  <c r="BR13" i="11" s="1"/>
  <c r="BS13" i="11" s="1"/>
  <c r="BT13" i="11" s="1"/>
  <c r="BU13" i="11" s="1"/>
  <c r="BH13" i="11"/>
  <c r="BI13" i="11" s="1"/>
  <c r="BJ13" i="11" s="1"/>
  <c r="BK13" i="11" s="1"/>
  <c r="BL13" i="11" s="1"/>
  <c r="CG20" i="11"/>
  <c r="CG23" i="11"/>
  <c r="BZ23" i="11"/>
  <c r="CA23" i="11" s="1"/>
  <c r="CB23" i="11" s="1"/>
  <c r="CC23" i="11" s="1"/>
  <c r="CD23" i="11" s="1"/>
  <c r="BQ23" i="11"/>
  <c r="BH23" i="11"/>
  <c r="BN29" i="11"/>
  <c r="BE29" i="11"/>
  <c r="CF29" i="11"/>
  <c r="BZ29" i="11"/>
  <c r="CA29" i="11" s="1"/>
  <c r="CB29" i="11" s="1"/>
  <c r="CC29" i="11" s="1"/>
  <c r="CD29" i="11" s="1"/>
  <c r="BQ29" i="11"/>
  <c r="BH29" i="11"/>
  <c r="BI29" i="11" s="1"/>
  <c r="BJ29" i="11" s="1"/>
  <c r="BK29" i="11" s="1"/>
  <c r="BL29" i="11" s="1"/>
  <c r="BB29" i="11"/>
  <c r="BP35" i="11"/>
  <c r="BO35" i="11"/>
  <c r="BN37" i="11"/>
  <c r="BE37" i="11"/>
  <c r="BN47" i="11"/>
  <c r="BE47" i="11"/>
  <c r="L47" i="11"/>
  <c r="BN53" i="11"/>
  <c r="BE53" i="11"/>
  <c r="L53" i="11"/>
  <c r="BB53" i="11"/>
  <c r="BE57" i="11"/>
  <c r="BB57" i="11"/>
  <c r="AV64" i="11"/>
  <c r="BI4" i="12"/>
  <c r="BH15" i="12"/>
  <c r="BI15" i="12" s="1"/>
  <c r="BJ15" i="12" s="1"/>
  <c r="BK15" i="12" s="1"/>
  <c r="BL15" i="12" s="1"/>
  <c r="BG15" i="12"/>
  <c r="BF15" i="12"/>
  <c r="BN25" i="12"/>
  <c r="BE25" i="12"/>
  <c r="BB25" i="12"/>
  <c r="L25" i="12"/>
  <c r="BR25" i="12"/>
  <c r="BS25" i="12" s="1"/>
  <c r="BT25" i="12" s="1"/>
  <c r="BU25" i="12" s="1"/>
  <c r="BB41" i="8"/>
  <c r="BH41" i="8"/>
  <c r="BI41" i="8" s="1"/>
  <c r="BJ41" i="8" s="1"/>
  <c r="BK41" i="8" s="1"/>
  <c r="BL41" i="8" s="1"/>
  <c r="BQ41" i="8"/>
  <c r="BR41" i="8" s="1"/>
  <c r="BS41" i="8" s="1"/>
  <c r="BT41" i="8" s="1"/>
  <c r="BU41" i="8" s="1"/>
  <c r="BB43" i="8"/>
  <c r="BQ43" i="8"/>
  <c r="BR43" i="8" s="1"/>
  <c r="BS43" i="8" s="1"/>
  <c r="BT43" i="8" s="1"/>
  <c r="BU43" i="8" s="1"/>
  <c r="BB52" i="8"/>
  <c r="BH52" i="8"/>
  <c r="BI52" i="8" s="1"/>
  <c r="BJ52" i="8" s="1"/>
  <c r="BK52" i="8" s="1"/>
  <c r="BL52" i="8" s="1"/>
  <c r="BQ52" i="8"/>
  <c r="BR52" i="8" s="1"/>
  <c r="BS52" i="8" s="1"/>
  <c r="BT52" i="8" s="1"/>
  <c r="BU52" i="8" s="1"/>
  <c r="BB54" i="8"/>
  <c r="BB56" i="8"/>
  <c r="BH56" i="8"/>
  <c r="BI56" i="8" s="1"/>
  <c r="BJ56" i="8" s="1"/>
  <c r="BK56" i="8" s="1"/>
  <c r="BL56" i="8" s="1"/>
  <c r="BQ56" i="8"/>
  <c r="BR56" i="8" s="1"/>
  <c r="BS56" i="8" s="1"/>
  <c r="BT56" i="8" s="1"/>
  <c r="BU56" i="8" s="1"/>
  <c r="BB5" i="9"/>
  <c r="BH5" i="9"/>
  <c r="BI5" i="9" s="1"/>
  <c r="BJ5" i="9" s="1"/>
  <c r="BK5" i="9" s="1"/>
  <c r="BL5" i="9" s="1"/>
  <c r="BQ5" i="9"/>
  <c r="BR5" i="9" s="1"/>
  <c r="BS5" i="9" s="1"/>
  <c r="BT5" i="9" s="1"/>
  <c r="BU5" i="9" s="1"/>
  <c r="BB15" i="9"/>
  <c r="BQ15" i="9"/>
  <c r="BR15" i="9" s="1"/>
  <c r="BS15" i="9" s="1"/>
  <c r="BT15" i="9" s="1"/>
  <c r="BU15" i="9" s="1"/>
  <c r="BE20" i="9"/>
  <c r="BQ22" i="9"/>
  <c r="BR22" i="9" s="1"/>
  <c r="BS22" i="9" s="1"/>
  <c r="BT22" i="9" s="1"/>
  <c r="BU22" i="9" s="1"/>
  <c r="BB24" i="9"/>
  <c r="BH24" i="9"/>
  <c r="BI24" i="9" s="1"/>
  <c r="BJ24" i="9" s="1"/>
  <c r="BK24" i="9" s="1"/>
  <c r="BL24" i="9" s="1"/>
  <c r="BQ24" i="9"/>
  <c r="BR24" i="9" s="1"/>
  <c r="BS24" i="9" s="1"/>
  <c r="BT24" i="9" s="1"/>
  <c r="BU24" i="9" s="1"/>
  <c r="BB26" i="9"/>
  <c r="BH26" i="9"/>
  <c r="BI26" i="9" s="1"/>
  <c r="BJ26" i="9" s="1"/>
  <c r="BK26" i="9" s="1"/>
  <c r="BL26" i="9" s="1"/>
  <c r="BQ26" i="9"/>
  <c r="BR26" i="9" s="1"/>
  <c r="BS26" i="9" s="1"/>
  <c r="BT26" i="9" s="1"/>
  <c r="BU26" i="9" s="1"/>
  <c r="L28" i="9"/>
  <c r="BE28" i="9"/>
  <c r="L30" i="9"/>
  <c r="BE30" i="9"/>
  <c r="L33" i="9"/>
  <c r="BE33" i="9"/>
  <c r="BB35" i="9"/>
  <c r="BH35" i="9"/>
  <c r="BI35" i="9" s="1"/>
  <c r="BJ35" i="9" s="1"/>
  <c r="BK35" i="9" s="1"/>
  <c r="BL35" i="9" s="1"/>
  <c r="BQ35" i="9"/>
  <c r="BR35" i="9" s="1"/>
  <c r="BS35" i="9" s="1"/>
  <c r="BT35" i="9" s="1"/>
  <c r="BU35" i="9" s="1"/>
  <c r="BB37" i="9"/>
  <c r="BH37" i="9"/>
  <c r="BI37" i="9" s="1"/>
  <c r="BJ37" i="9" s="1"/>
  <c r="BK37" i="9" s="1"/>
  <c r="BL37" i="9" s="1"/>
  <c r="BQ37" i="9"/>
  <c r="BR37" i="9" s="1"/>
  <c r="BS37" i="9" s="1"/>
  <c r="BT37" i="9" s="1"/>
  <c r="BU37" i="9" s="1"/>
  <c r="BB41" i="9"/>
  <c r="BH41" i="9"/>
  <c r="BI41" i="9" s="1"/>
  <c r="BJ41" i="9" s="1"/>
  <c r="BK41" i="9" s="1"/>
  <c r="BL41" i="9" s="1"/>
  <c r="BQ41" i="9"/>
  <c r="BR41" i="9" s="1"/>
  <c r="BS41" i="9" s="1"/>
  <c r="BT41" i="9" s="1"/>
  <c r="BU41" i="9" s="1"/>
  <c r="BB43" i="9"/>
  <c r="BQ43" i="9"/>
  <c r="BR43" i="9" s="1"/>
  <c r="BS43" i="9" s="1"/>
  <c r="BT43" i="9" s="1"/>
  <c r="BU43" i="9" s="1"/>
  <c r="BB52" i="9"/>
  <c r="BH52" i="9"/>
  <c r="BI52" i="9" s="1"/>
  <c r="BJ52" i="9" s="1"/>
  <c r="BK52" i="9" s="1"/>
  <c r="BL52" i="9" s="1"/>
  <c r="BQ52" i="9"/>
  <c r="BR52" i="9" s="1"/>
  <c r="BS52" i="9" s="1"/>
  <c r="BT52" i="9" s="1"/>
  <c r="BU52" i="9" s="1"/>
  <c r="BB54" i="9"/>
  <c r="BB56" i="9"/>
  <c r="BH56" i="9"/>
  <c r="BI56" i="9" s="1"/>
  <c r="BJ56" i="9" s="1"/>
  <c r="BK56" i="9" s="1"/>
  <c r="BL56" i="9" s="1"/>
  <c r="BQ56" i="9"/>
  <c r="BR56" i="9" s="1"/>
  <c r="BS56" i="9" s="1"/>
  <c r="BT56" i="9" s="1"/>
  <c r="BU56" i="9" s="1"/>
  <c r="CG4" i="10"/>
  <c r="BB5" i="10"/>
  <c r="BH5" i="10"/>
  <c r="BI5" i="10" s="1"/>
  <c r="BJ5" i="10" s="1"/>
  <c r="BK5" i="10" s="1"/>
  <c r="BL5" i="10" s="1"/>
  <c r="BQ5" i="10"/>
  <c r="BR5" i="10" s="1"/>
  <c r="BS5" i="10" s="1"/>
  <c r="BT5" i="10" s="1"/>
  <c r="BU5" i="10" s="1"/>
  <c r="BB12" i="10"/>
  <c r="BH12" i="10"/>
  <c r="BI12" i="10" s="1"/>
  <c r="BJ12" i="10" s="1"/>
  <c r="BK12" i="10" s="1"/>
  <c r="BL12" i="10" s="1"/>
  <c r="BQ12" i="10"/>
  <c r="BR12" i="10" s="1"/>
  <c r="BS12" i="10" s="1"/>
  <c r="BT12" i="10" s="1"/>
  <c r="BU12" i="10" s="1"/>
  <c r="BB14" i="10"/>
  <c r="BH14" i="10"/>
  <c r="BI14" i="10" s="1"/>
  <c r="BJ14" i="10" s="1"/>
  <c r="BK14" i="10" s="1"/>
  <c r="BL14" i="10" s="1"/>
  <c r="BQ14" i="10"/>
  <c r="BR14" i="10" s="1"/>
  <c r="BS14" i="10" s="1"/>
  <c r="BT14" i="10" s="1"/>
  <c r="BU14" i="10" s="1"/>
  <c r="BB16" i="10"/>
  <c r="BH16" i="10"/>
  <c r="BI16" i="10" s="1"/>
  <c r="BJ16" i="10" s="1"/>
  <c r="BK16" i="10" s="1"/>
  <c r="BL16" i="10" s="1"/>
  <c r="BQ16" i="10"/>
  <c r="BR16" i="10" s="1"/>
  <c r="BS16" i="10" s="1"/>
  <c r="BT16" i="10" s="1"/>
  <c r="BU16" i="10" s="1"/>
  <c r="BB21" i="10"/>
  <c r="BH21" i="10"/>
  <c r="BI21" i="10" s="1"/>
  <c r="BJ21" i="10" s="1"/>
  <c r="BK21" i="10" s="1"/>
  <c r="BL21" i="10" s="1"/>
  <c r="BQ21" i="10"/>
  <c r="BR21" i="10" s="1"/>
  <c r="BS21" i="10" s="1"/>
  <c r="BT21" i="10" s="1"/>
  <c r="BU21" i="10" s="1"/>
  <c r="BB23" i="10"/>
  <c r="BH23" i="10"/>
  <c r="BI23" i="10" s="1"/>
  <c r="BJ23" i="10" s="1"/>
  <c r="BK23" i="10" s="1"/>
  <c r="BL23" i="10" s="1"/>
  <c r="BN24" i="10"/>
  <c r="BE24" i="10"/>
  <c r="BN28" i="10"/>
  <c r="BE28" i="10"/>
  <c r="BB28" i="10"/>
  <c r="BG29" i="10"/>
  <c r="BF29" i="10"/>
  <c r="BP29" i="10"/>
  <c r="BO29" i="10"/>
  <c r="BR31" i="10"/>
  <c r="BS31" i="10" s="1"/>
  <c r="BT31" i="10" s="1"/>
  <c r="BU31" i="10" s="1"/>
  <c r="BZ33" i="10"/>
  <c r="CA33" i="10" s="1"/>
  <c r="CB33" i="10" s="1"/>
  <c r="CC33" i="10" s="1"/>
  <c r="CD33" i="10" s="1"/>
  <c r="BH33" i="10"/>
  <c r="BB33" i="10"/>
  <c r="BN34" i="10"/>
  <c r="BE34" i="10"/>
  <c r="BB34" i="10"/>
  <c r="BZ40" i="10"/>
  <c r="CA40" i="10" s="1"/>
  <c r="CB40" i="10" s="1"/>
  <c r="CC40" i="10" s="1"/>
  <c r="CD40" i="10" s="1"/>
  <c r="BQ40" i="10"/>
  <c r="BH40" i="10"/>
  <c r="BB40" i="10"/>
  <c r="BN42" i="10"/>
  <c r="BE42" i="10"/>
  <c r="BB42" i="10"/>
  <c r="BN44" i="10"/>
  <c r="BE44" i="10"/>
  <c r="BB44" i="10"/>
  <c r="BG45" i="10"/>
  <c r="BF45" i="10"/>
  <c r="BP45" i="10"/>
  <c r="BO45" i="10"/>
  <c r="BR47" i="10"/>
  <c r="BS47" i="10" s="1"/>
  <c r="BT47" i="10" s="1"/>
  <c r="BU47" i="10" s="1"/>
  <c r="BZ51" i="10"/>
  <c r="CA51" i="10" s="1"/>
  <c r="CB51" i="10" s="1"/>
  <c r="CC51" i="10" s="1"/>
  <c r="CD51" i="10" s="1"/>
  <c r="BQ51" i="10"/>
  <c r="BH51" i="10"/>
  <c r="BA69" i="11"/>
  <c r="BA61" i="11"/>
  <c r="BA60" i="11"/>
  <c r="BZ4" i="11"/>
  <c r="BQ4" i="11"/>
  <c r="BH4" i="11"/>
  <c r="BB4" i="11"/>
  <c r="CG4" i="11"/>
  <c r="BH8" i="11"/>
  <c r="BZ8" i="11"/>
  <c r="CA8" i="11" s="1"/>
  <c r="CB8" i="11" s="1"/>
  <c r="CC8" i="11" s="1"/>
  <c r="CD8" i="11" s="1"/>
  <c r="BB13" i="11"/>
  <c r="BG15" i="11"/>
  <c r="BF15" i="11"/>
  <c r="BH15" i="11"/>
  <c r="BI15" i="11" s="1"/>
  <c r="BJ15" i="11" s="1"/>
  <c r="BK15" i="11" s="1"/>
  <c r="BL15" i="11" s="1"/>
  <c r="BF18" i="11"/>
  <c r="BG22" i="11"/>
  <c r="BF22" i="11"/>
  <c r="BB23" i="11"/>
  <c r="BP24" i="11"/>
  <c r="BO24" i="11"/>
  <c r="BH25" i="11"/>
  <c r="BI25" i="11" s="1"/>
  <c r="BJ25" i="11" s="1"/>
  <c r="BK25" i="11" s="1"/>
  <c r="BL25" i="11" s="1"/>
  <c r="BZ25" i="11"/>
  <c r="CA25" i="11" s="1"/>
  <c r="CB25" i="11" s="1"/>
  <c r="CC25" i="11" s="1"/>
  <c r="CD25" i="11" s="1"/>
  <c r="BG28" i="11"/>
  <c r="BF28" i="11"/>
  <c r="BR35" i="11"/>
  <c r="BS35" i="11" s="1"/>
  <c r="BT35" i="11" s="1"/>
  <c r="BU35" i="11" s="1"/>
  <c r="L37" i="11"/>
  <c r="BZ38" i="11"/>
  <c r="CA38" i="11" s="1"/>
  <c r="CB38" i="11" s="1"/>
  <c r="CC38" i="11" s="1"/>
  <c r="CD38" i="11" s="1"/>
  <c r="BQ38" i="11"/>
  <c r="BH38" i="11"/>
  <c r="BB38" i="11"/>
  <c r="BO38" i="11"/>
  <c r="BG38" i="11"/>
  <c r="BF38" i="11"/>
  <c r="BO54" i="11"/>
  <c r="BB12" i="12"/>
  <c r="BQ12" i="12"/>
  <c r="BR12" i="12" s="1"/>
  <c r="BS12" i="12" s="1"/>
  <c r="BT12" i="12" s="1"/>
  <c r="BU12" i="12" s="1"/>
  <c r="BZ12" i="12"/>
  <c r="CA12" i="12" s="1"/>
  <c r="CB12" i="12" s="1"/>
  <c r="CC12" i="12" s="1"/>
  <c r="CD12" i="12" s="1"/>
  <c r="BN40" i="12"/>
  <c r="BE40" i="12"/>
  <c r="L40" i="12"/>
  <c r="BE32" i="10"/>
  <c r="K69" i="11"/>
  <c r="BG6" i="11"/>
  <c r="BP6" i="11"/>
  <c r="BG20" i="11"/>
  <c r="BP20" i="11"/>
  <c r="BN23" i="11"/>
  <c r="BE23" i="11"/>
  <c r="L23" i="11"/>
  <c r="BG26" i="11"/>
  <c r="BF26" i="11"/>
  <c r="BP26" i="11"/>
  <c r="BO26" i="11"/>
  <c r="BQ31" i="11"/>
  <c r="BH31" i="11"/>
  <c r="BI31" i="11" s="1"/>
  <c r="BJ31" i="11" s="1"/>
  <c r="BK31" i="11" s="1"/>
  <c r="BL31" i="11" s="1"/>
  <c r="CF31" i="11"/>
  <c r="BZ36" i="11"/>
  <c r="CA36" i="11" s="1"/>
  <c r="CB36" i="11" s="1"/>
  <c r="CC36" i="11" s="1"/>
  <c r="CD36" i="11" s="1"/>
  <c r="BQ36" i="11"/>
  <c r="BR36" i="11" s="1"/>
  <c r="BS36" i="11" s="1"/>
  <c r="BT36" i="11" s="1"/>
  <c r="BU36" i="11" s="1"/>
  <c r="BH36" i="11"/>
  <c r="BI36" i="11" s="1"/>
  <c r="BJ36" i="11" s="1"/>
  <c r="BK36" i="11" s="1"/>
  <c r="BL36" i="11" s="1"/>
  <c r="BB36" i="11"/>
  <c r="BP36" i="11"/>
  <c r="CG36" i="11"/>
  <c r="BN39" i="11"/>
  <c r="BE39" i="11"/>
  <c r="BZ47" i="11"/>
  <c r="BY47" i="11"/>
  <c r="BX47" i="11"/>
  <c r="CF47" i="11"/>
  <c r="BZ48" i="11"/>
  <c r="CA48" i="11" s="1"/>
  <c r="CB48" i="11" s="1"/>
  <c r="CC48" i="11" s="1"/>
  <c r="CD48" i="11" s="1"/>
  <c r="BQ48" i="11"/>
  <c r="BR48" i="11" s="1"/>
  <c r="BS48" i="11" s="1"/>
  <c r="BT48" i="11" s="1"/>
  <c r="BU48" i="11" s="1"/>
  <c r="BH48" i="11"/>
  <c r="BI48" i="11" s="1"/>
  <c r="BJ48" i="11" s="1"/>
  <c r="BK48" i="11" s="1"/>
  <c r="BL48" i="11" s="1"/>
  <c r="CF48" i="11"/>
  <c r="BH54" i="11"/>
  <c r="BI54" i="11" s="1"/>
  <c r="BJ54" i="11" s="1"/>
  <c r="BK54" i="11" s="1"/>
  <c r="BL54" i="11" s="1"/>
  <c r="BG54" i="11"/>
  <c r="AG55" i="11"/>
  <c r="AG57" i="11"/>
  <c r="AG53" i="11"/>
  <c r="AG48" i="11"/>
  <c r="AG56" i="11"/>
  <c r="AG52" i="11"/>
  <c r="AG51" i="11"/>
  <c r="AG46" i="11"/>
  <c r="AG44" i="11"/>
  <c r="AG42" i="11"/>
  <c r="AG38" i="11"/>
  <c r="AG36" i="11"/>
  <c r="AG32" i="11"/>
  <c r="AG31" i="11"/>
  <c r="AG29" i="11"/>
  <c r="AG27" i="11"/>
  <c r="AG19" i="11"/>
  <c r="AG18" i="11"/>
  <c r="AG16" i="11"/>
  <c r="AG14" i="11"/>
  <c r="AG12" i="11"/>
  <c r="AG9" i="11"/>
  <c r="AG6" i="11"/>
  <c r="AG4" i="11"/>
  <c r="AG47" i="11"/>
  <c r="AG45" i="11"/>
  <c r="AG39" i="11"/>
  <c r="AG34" i="11"/>
  <c r="AG25" i="11"/>
  <c r="AG23" i="11"/>
  <c r="AG21" i="11"/>
  <c r="AG20" i="11"/>
  <c r="AG13" i="11"/>
  <c r="AG11" i="11"/>
  <c r="AG8" i="11"/>
  <c r="AG7" i="11"/>
  <c r="BR4" i="12"/>
  <c r="BG5" i="12"/>
  <c r="BF5" i="12"/>
  <c r="BP22" i="12"/>
  <c r="BO22" i="12"/>
  <c r="BI24" i="12"/>
  <c r="BJ24" i="12" s="1"/>
  <c r="BK24" i="12" s="1"/>
  <c r="BL24" i="12" s="1"/>
  <c r="BI25" i="12"/>
  <c r="BJ25" i="12" s="1"/>
  <c r="BK25" i="12" s="1"/>
  <c r="BL25" i="12" s="1"/>
  <c r="BZ33" i="12"/>
  <c r="CA33" i="12" s="1"/>
  <c r="CB33" i="12" s="1"/>
  <c r="CC33" i="12" s="1"/>
  <c r="CD33" i="12" s="1"/>
  <c r="BH33" i="12"/>
  <c r="BI33" i="12" s="1"/>
  <c r="BJ33" i="12" s="1"/>
  <c r="BK33" i="12" s="1"/>
  <c r="BL33" i="12" s="1"/>
  <c r="BB33" i="12"/>
  <c r="BF33" i="12"/>
  <c r="BP33" i="12"/>
  <c r="BG33" i="12"/>
  <c r="BN52" i="12"/>
  <c r="BE52" i="12"/>
  <c r="BB52" i="12"/>
  <c r="BB25" i="10"/>
  <c r="BH25" i="10"/>
  <c r="BI25" i="10" s="1"/>
  <c r="BJ25" i="10" s="1"/>
  <c r="BK25" i="10" s="1"/>
  <c r="BL25" i="10" s="1"/>
  <c r="BQ25" i="10"/>
  <c r="BR25" i="10" s="1"/>
  <c r="BS25" i="10" s="1"/>
  <c r="BT25" i="10" s="1"/>
  <c r="BU25" i="10" s="1"/>
  <c r="BE33" i="10"/>
  <c r="BB35" i="10"/>
  <c r="BH35" i="10"/>
  <c r="BI35" i="10" s="1"/>
  <c r="BJ35" i="10" s="1"/>
  <c r="BK35" i="10" s="1"/>
  <c r="BL35" i="10" s="1"/>
  <c r="BQ35" i="10"/>
  <c r="BR35" i="10" s="1"/>
  <c r="BS35" i="10" s="1"/>
  <c r="BT35" i="10" s="1"/>
  <c r="BU35" i="10" s="1"/>
  <c r="BB37" i="10"/>
  <c r="BH37" i="10"/>
  <c r="BI37" i="10" s="1"/>
  <c r="BJ37" i="10" s="1"/>
  <c r="BK37" i="10" s="1"/>
  <c r="BL37" i="10" s="1"/>
  <c r="BQ37" i="10"/>
  <c r="BR37" i="10" s="1"/>
  <c r="BS37" i="10" s="1"/>
  <c r="BT37" i="10" s="1"/>
  <c r="BU37" i="10" s="1"/>
  <c r="BB41" i="10"/>
  <c r="BH41" i="10"/>
  <c r="BI41" i="10" s="1"/>
  <c r="BJ41" i="10" s="1"/>
  <c r="BK41" i="10" s="1"/>
  <c r="BL41" i="10" s="1"/>
  <c r="BQ41" i="10"/>
  <c r="BR41" i="10" s="1"/>
  <c r="BS41" i="10" s="1"/>
  <c r="BT41" i="10" s="1"/>
  <c r="BU41" i="10" s="1"/>
  <c r="BB43" i="10"/>
  <c r="BQ43" i="10"/>
  <c r="BR43" i="10" s="1"/>
  <c r="BS43" i="10" s="1"/>
  <c r="BT43" i="10" s="1"/>
  <c r="BU43" i="10" s="1"/>
  <c r="L53" i="10"/>
  <c r="BE53" i="10"/>
  <c r="BB55" i="10"/>
  <c r="BH55" i="10"/>
  <c r="BI55" i="10" s="1"/>
  <c r="BJ55" i="10" s="1"/>
  <c r="BK55" i="10" s="1"/>
  <c r="BL55" i="10" s="1"/>
  <c r="BQ55" i="10"/>
  <c r="BR55" i="10" s="1"/>
  <c r="BS55" i="10" s="1"/>
  <c r="BT55" i="10" s="1"/>
  <c r="BU55" i="10" s="1"/>
  <c r="L57" i="10"/>
  <c r="BF6" i="11"/>
  <c r="BO6" i="11"/>
  <c r="L10" i="11"/>
  <c r="BN11" i="11"/>
  <c r="BE11" i="11"/>
  <c r="BZ12" i="11"/>
  <c r="CA12" i="11" s="1"/>
  <c r="CB12" i="11" s="1"/>
  <c r="CC12" i="11" s="1"/>
  <c r="CD12" i="11" s="1"/>
  <c r="BQ12" i="11"/>
  <c r="BR12" i="11" s="1"/>
  <c r="BS12" i="11" s="1"/>
  <c r="BT12" i="11" s="1"/>
  <c r="BU12" i="11" s="1"/>
  <c r="BH12" i="11"/>
  <c r="BB12" i="11"/>
  <c r="BN13" i="11"/>
  <c r="BE13" i="11"/>
  <c r="BZ14" i="11"/>
  <c r="CA14" i="11" s="1"/>
  <c r="CB14" i="11" s="1"/>
  <c r="CC14" i="11" s="1"/>
  <c r="CD14" i="11" s="1"/>
  <c r="BQ14" i="11"/>
  <c r="BH14" i="11"/>
  <c r="BI14" i="11" s="1"/>
  <c r="BJ14" i="11" s="1"/>
  <c r="BK14" i="11" s="1"/>
  <c r="BL14" i="11" s="1"/>
  <c r="BB14" i="11"/>
  <c r="BZ16" i="11"/>
  <c r="CA16" i="11" s="1"/>
  <c r="CB16" i="11" s="1"/>
  <c r="CC16" i="11" s="1"/>
  <c r="CD16" i="11" s="1"/>
  <c r="BQ16" i="11"/>
  <c r="BR16" i="11" s="1"/>
  <c r="BS16" i="11" s="1"/>
  <c r="BT16" i="11" s="1"/>
  <c r="BU16" i="11" s="1"/>
  <c r="BH16" i="11"/>
  <c r="BI16" i="11" s="1"/>
  <c r="BJ16" i="11" s="1"/>
  <c r="BK16" i="11" s="1"/>
  <c r="BL16" i="11" s="1"/>
  <c r="BB16" i="11"/>
  <c r="BZ18" i="11"/>
  <c r="CA18" i="11" s="1"/>
  <c r="CB18" i="11" s="1"/>
  <c r="CC18" i="11" s="1"/>
  <c r="CD18" i="11" s="1"/>
  <c r="BQ18" i="11"/>
  <c r="BR18" i="11" s="1"/>
  <c r="BS18" i="11" s="1"/>
  <c r="BT18" i="11" s="1"/>
  <c r="BU18" i="11" s="1"/>
  <c r="BH18" i="11"/>
  <c r="BD18" i="11"/>
  <c r="BB18" i="11"/>
  <c r="L19" i="11"/>
  <c r="BP19" i="11"/>
  <c r="BO19" i="11"/>
  <c r="BF20" i="11"/>
  <c r="BO20" i="11"/>
  <c r="BN25" i="11"/>
  <c r="BE25" i="11"/>
  <c r="L25" i="11"/>
  <c r="CG25" i="11"/>
  <c r="BO30" i="11"/>
  <c r="BZ31" i="11"/>
  <c r="CA31" i="11" s="1"/>
  <c r="CB31" i="11" s="1"/>
  <c r="CC31" i="11" s="1"/>
  <c r="CD31" i="11" s="1"/>
  <c r="BF33" i="11"/>
  <c r="BQ33" i="11"/>
  <c r="BR33" i="11" s="1"/>
  <c r="BS33" i="11" s="1"/>
  <c r="BT33" i="11" s="1"/>
  <c r="BU33" i="11" s="1"/>
  <c r="BP33" i="11"/>
  <c r="BN34" i="11"/>
  <c r="BE34" i="11"/>
  <c r="L39" i="11"/>
  <c r="BF40" i="11"/>
  <c r="BZ42" i="11"/>
  <c r="CA42" i="11" s="1"/>
  <c r="CB42" i="11" s="1"/>
  <c r="CC42" i="11" s="1"/>
  <c r="CD42" i="11" s="1"/>
  <c r="BQ42" i="11"/>
  <c r="BR42" i="11" s="1"/>
  <c r="BS42" i="11" s="1"/>
  <c r="BT42" i="11" s="1"/>
  <c r="BU42" i="11" s="1"/>
  <c r="BH42" i="11"/>
  <c r="BB42" i="11"/>
  <c r="BP42" i="11"/>
  <c r="CG42" i="11"/>
  <c r="BN45" i="11"/>
  <c r="BE45" i="11"/>
  <c r="BZ46" i="11"/>
  <c r="CA46" i="11" s="1"/>
  <c r="CB46" i="11" s="1"/>
  <c r="CC46" i="11" s="1"/>
  <c r="CD46" i="11" s="1"/>
  <c r="BQ46" i="11"/>
  <c r="BR46" i="11" s="1"/>
  <c r="BS46" i="11" s="1"/>
  <c r="BT46" i="11" s="1"/>
  <c r="BU46" i="11" s="1"/>
  <c r="BH46" i="11"/>
  <c r="BB46" i="11"/>
  <c r="BP46" i="11"/>
  <c r="CG46" i="11"/>
  <c r="BB47" i="11"/>
  <c r="BP49" i="11"/>
  <c r="BO49" i="11"/>
  <c r="BG50" i="11"/>
  <c r="BF50" i="11"/>
  <c r="BP50" i="11"/>
  <c r="BO50" i="11"/>
  <c r="BF54" i="11"/>
  <c r="AG60" i="12"/>
  <c r="BG8" i="12"/>
  <c r="BF8" i="12"/>
  <c r="BP8" i="12"/>
  <c r="BO8" i="12"/>
  <c r="BG11" i="12"/>
  <c r="BF11" i="12"/>
  <c r="BP11" i="12"/>
  <c r="BO11" i="12"/>
  <c r="BB16" i="12"/>
  <c r="BQ16" i="12"/>
  <c r="BR16" i="12" s="1"/>
  <c r="BS16" i="12" s="1"/>
  <c r="BT16" i="12" s="1"/>
  <c r="BU16" i="12" s="1"/>
  <c r="BF26" i="12"/>
  <c r="BB49" i="11"/>
  <c r="BC50" i="11" s="1"/>
  <c r="L50" i="11"/>
  <c r="BN51" i="11"/>
  <c r="BE51" i="11"/>
  <c r="P53" i="11"/>
  <c r="Q53" i="11" s="1"/>
  <c r="BH53" i="11"/>
  <c r="BI53" i="11" s="1"/>
  <c r="BJ53" i="11" s="1"/>
  <c r="BK53" i="11" s="1"/>
  <c r="BL53" i="11" s="1"/>
  <c r="BQ53" i="11"/>
  <c r="BR53" i="11" s="1"/>
  <c r="BS53" i="11" s="1"/>
  <c r="BT53" i="11" s="1"/>
  <c r="BU53" i="11" s="1"/>
  <c r="K60" i="11"/>
  <c r="BA69" i="12"/>
  <c r="BA61" i="12"/>
  <c r="BA60" i="12"/>
  <c r="CG4" i="12"/>
  <c r="BZ6" i="12"/>
  <c r="CA6" i="12" s="1"/>
  <c r="CB6" i="12" s="1"/>
  <c r="CC6" i="12" s="1"/>
  <c r="CD6" i="12" s="1"/>
  <c r="BQ6" i="12"/>
  <c r="BR6" i="12" s="1"/>
  <c r="BS6" i="12" s="1"/>
  <c r="BT6" i="12" s="1"/>
  <c r="BU6" i="12" s="1"/>
  <c r="BH6" i="12"/>
  <c r="BI6" i="12" s="1"/>
  <c r="BJ6" i="12" s="1"/>
  <c r="BK6" i="12" s="1"/>
  <c r="BL6" i="12" s="1"/>
  <c r="BN9" i="12"/>
  <c r="BE9" i="12"/>
  <c r="BG13" i="12"/>
  <c r="BF13" i="12"/>
  <c r="BP13" i="12"/>
  <c r="BO13" i="12"/>
  <c r="BZ18" i="12"/>
  <c r="CA18" i="12" s="1"/>
  <c r="CB18" i="12" s="1"/>
  <c r="CC18" i="12" s="1"/>
  <c r="CD18" i="12" s="1"/>
  <c r="BQ18" i="12"/>
  <c r="BR18" i="12" s="1"/>
  <c r="BS18" i="12" s="1"/>
  <c r="BT18" i="12" s="1"/>
  <c r="BU18" i="12" s="1"/>
  <c r="BH18" i="12"/>
  <c r="BD18" i="12"/>
  <c r="BB18" i="12"/>
  <c r="CG18" i="12"/>
  <c r="BG21" i="12"/>
  <c r="BF21" i="12"/>
  <c r="BP21" i="12"/>
  <c r="BO21" i="12"/>
  <c r="BN32" i="12"/>
  <c r="BE32" i="12"/>
  <c r="BB32" i="12"/>
  <c r="BP37" i="12"/>
  <c r="BO37" i="12"/>
  <c r="BZ41" i="12"/>
  <c r="CA41" i="12" s="1"/>
  <c r="CB41" i="12" s="1"/>
  <c r="CC41" i="12" s="1"/>
  <c r="CD41" i="12" s="1"/>
  <c r="BQ41" i="12"/>
  <c r="BH41" i="12"/>
  <c r="BI41" i="12" s="1"/>
  <c r="BJ41" i="12" s="1"/>
  <c r="BK41" i="12" s="1"/>
  <c r="BL41" i="12" s="1"/>
  <c r="BB41" i="12"/>
  <c r="CG41" i="12"/>
  <c r="BN42" i="12"/>
  <c r="BE42" i="12"/>
  <c r="BB42" i="12"/>
  <c r="U60" i="11"/>
  <c r="BE4" i="11"/>
  <c r="BN4" i="11"/>
  <c r="BB10" i="11"/>
  <c r="BH10" i="11"/>
  <c r="BI10" i="11" s="1"/>
  <c r="BJ10" i="11" s="1"/>
  <c r="BK10" i="11" s="1"/>
  <c r="BL10" i="11" s="1"/>
  <c r="BQ10" i="11"/>
  <c r="BR10" i="11" s="1"/>
  <c r="BS10" i="11" s="1"/>
  <c r="BT10" i="11" s="1"/>
  <c r="BU10" i="11" s="1"/>
  <c r="L12" i="11"/>
  <c r="BE12" i="11"/>
  <c r="BE14" i="11"/>
  <c r="BE16" i="11"/>
  <c r="BB28" i="11"/>
  <c r="BH28" i="11"/>
  <c r="BI28" i="11" s="1"/>
  <c r="BJ28" i="11" s="1"/>
  <c r="BK28" i="11" s="1"/>
  <c r="BL28" i="11" s="1"/>
  <c r="BQ28" i="11"/>
  <c r="BR28" i="11" s="1"/>
  <c r="BS28" i="11" s="1"/>
  <c r="BT28" i="11" s="1"/>
  <c r="BU28" i="11" s="1"/>
  <c r="BE49" i="11"/>
  <c r="BN55" i="11"/>
  <c r="BE55" i="11"/>
  <c r="L55" i="11"/>
  <c r="CF55" i="11"/>
  <c r="BZ55" i="11"/>
  <c r="CA55" i="11" s="1"/>
  <c r="CB55" i="11" s="1"/>
  <c r="CC55" i="11" s="1"/>
  <c r="CD55" i="11" s="1"/>
  <c r="BQ55" i="11"/>
  <c r="BR55" i="11" s="1"/>
  <c r="BS55" i="11" s="1"/>
  <c r="BT55" i="11" s="1"/>
  <c r="BU55" i="11" s="1"/>
  <c r="BH55" i="11"/>
  <c r="BI55" i="11" s="1"/>
  <c r="BJ55" i="11" s="1"/>
  <c r="BK55" i="11" s="1"/>
  <c r="BL55" i="11" s="1"/>
  <c r="BB55" i="11"/>
  <c r="P51" i="11"/>
  <c r="Q51" i="11" s="1"/>
  <c r="P49" i="11"/>
  <c r="Q49" i="11" s="1"/>
  <c r="Q60" i="11" s="1"/>
  <c r="P56" i="11"/>
  <c r="Q56" i="11" s="1"/>
  <c r="P54" i="11"/>
  <c r="Q54" i="11" s="1"/>
  <c r="P52" i="11"/>
  <c r="Q52" i="11" s="1"/>
  <c r="Y51" i="11"/>
  <c r="Y49" i="11"/>
  <c r="Y60" i="11" s="1"/>
  <c r="Y56" i="11"/>
  <c r="Y54" i="11"/>
  <c r="Y52" i="11"/>
  <c r="K68" i="12"/>
  <c r="K69" i="12"/>
  <c r="K60" i="12"/>
  <c r="BN4" i="12"/>
  <c r="BE4" i="12"/>
  <c r="L4" i="12"/>
  <c r="BB4" i="12"/>
  <c r="BN6" i="12"/>
  <c r="BE6" i="12"/>
  <c r="L6" i="12"/>
  <c r="BB6" i="12"/>
  <c r="BN7" i="12"/>
  <c r="BE7" i="12"/>
  <c r="BG34" i="12"/>
  <c r="BF34" i="12"/>
  <c r="BP34" i="12"/>
  <c r="BO34" i="12"/>
  <c r="BO41" i="12"/>
  <c r="BG53" i="12"/>
  <c r="BF53" i="12"/>
  <c r="BG57" i="12"/>
  <c r="BF57" i="12"/>
  <c r="BH9" i="12"/>
  <c r="BI9" i="12" s="1"/>
  <c r="BJ9" i="12" s="1"/>
  <c r="BK9" i="12" s="1"/>
  <c r="BL9" i="12" s="1"/>
  <c r="BQ9" i="12"/>
  <c r="BR9" i="12" s="1"/>
  <c r="BS9" i="12" s="1"/>
  <c r="BT9" i="12" s="1"/>
  <c r="BU9" i="12" s="1"/>
  <c r="BN10" i="12"/>
  <c r="BE10" i="12"/>
  <c r="L10" i="12"/>
  <c r="L26" i="12"/>
  <c r="BN27" i="12"/>
  <c r="BE27" i="12"/>
  <c r="BH27" i="12"/>
  <c r="BQ27" i="12"/>
  <c r="BZ27" i="12"/>
  <c r="CA27" i="12" s="1"/>
  <c r="CB27" i="12" s="1"/>
  <c r="CC27" i="12" s="1"/>
  <c r="CD27" i="12" s="1"/>
  <c r="BZ28" i="12"/>
  <c r="CA28" i="12" s="1"/>
  <c r="CB28" i="12" s="1"/>
  <c r="CC28" i="12" s="1"/>
  <c r="CD28" i="12" s="1"/>
  <c r="BQ28" i="12"/>
  <c r="BR28" i="12" s="1"/>
  <c r="BS28" i="12" s="1"/>
  <c r="BT28" i="12" s="1"/>
  <c r="BU28" i="12" s="1"/>
  <c r="BH28" i="12"/>
  <c r="BI28" i="12" s="1"/>
  <c r="BJ28" i="12" s="1"/>
  <c r="BK28" i="12" s="1"/>
  <c r="BL28" i="12" s="1"/>
  <c r="BB28" i="12"/>
  <c r="BN29" i="12"/>
  <c r="BE29" i="12"/>
  <c r="BH29" i="12"/>
  <c r="BI29" i="12" s="1"/>
  <c r="BJ29" i="12" s="1"/>
  <c r="BK29" i="12" s="1"/>
  <c r="BL29" i="12" s="1"/>
  <c r="BQ29" i="12"/>
  <c r="BZ29" i="12"/>
  <c r="CA29" i="12" s="1"/>
  <c r="CB29" i="12" s="1"/>
  <c r="CC29" i="12" s="1"/>
  <c r="CD29" i="12" s="1"/>
  <c r="BZ30" i="12"/>
  <c r="CA30" i="12" s="1"/>
  <c r="CB30" i="12" s="1"/>
  <c r="CC30" i="12" s="1"/>
  <c r="CD30" i="12" s="1"/>
  <c r="BQ30" i="12"/>
  <c r="BR30" i="12" s="1"/>
  <c r="BS30" i="12" s="1"/>
  <c r="BT30" i="12" s="1"/>
  <c r="BU30" i="12" s="1"/>
  <c r="BH30" i="12"/>
  <c r="BB30" i="12"/>
  <c r="BZ32" i="12"/>
  <c r="CA32" i="12" s="1"/>
  <c r="CB32" i="12" s="1"/>
  <c r="CC32" i="12" s="1"/>
  <c r="CD32" i="12" s="1"/>
  <c r="BQ32" i="12"/>
  <c r="BR32" i="12" s="1"/>
  <c r="BS32" i="12" s="1"/>
  <c r="BT32" i="12" s="1"/>
  <c r="BU32" i="12" s="1"/>
  <c r="BH32" i="12"/>
  <c r="BG38" i="12"/>
  <c r="BF38" i="12"/>
  <c r="BP38" i="12"/>
  <c r="BO38" i="12"/>
  <c r="CF40" i="12"/>
  <c r="BB40" i="12"/>
  <c r="BP41" i="12"/>
  <c r="BN54" i="12"/>
  <c r="BE54" i="12"/>
  <c r="L54" i="12"/>
  <c r="BN56" i="12"/>
  <c r="BE56" i="12"/>
  <c r="L56" i="12"/>
  <c r="BB52" i="11"/>
  <c r="BH52" i="11"/>
  <c r="BI52" i="11" s="1"/>
  <c r="BJ52" i="11" s="1"/>
  <c r="BK52" i="11" s="1"/>
  <c r="BL52" i="11" s="1"/>
  <c r="BQ52" i="11"/>
  <c r="BR52" i="11" s="1"/>
  <c r="BS52" i="11" s="1"/>
  <c r="BT52" i="11" s="1"/>
  <c r="BU52" i="11" s="1"/>
  <c r="BB54" i="11"/>
  <c r="BB56" i="11"/>
  <c r="BH56" i="11"/>
  <c r="BI56" i="11" s="1"/>
  <c r="BJ56" i="11" s="1"/>
  <c r="BK56" i="11" s="1"/>
  <c r="BL56" i="11" s="1"/>
  <c r="BQ56" i="11"/>
  <c r="BR56" i="11" s="1"/>
  <c r="BS56" i="11" s="1"/>
  <c r="BT56" i="11" s="1"/>
  <c r="BU56" i="11" s="1"/>
  <c r="CF10" i="12"/>
  <c r="CF60" i="12" s="1"/>
  <c r="BZ10" i="12"/>
  <c r="CA10" i="12" s="1"/>
  <c r="CB10" i="12" s="1"/>
  <c r="CC10" i="12" s="1"/>
  <c r="CD10" i="12" s="1"/>
  <c r="BQ10" i="12"/>
  <c r="BH10" i="12"/>
  <c r="BB10" i="12"/>
  <c r="BN12" i="12"/>
  <c r="BE12" i="12"/>
  <c r="L12" i="12"/>
  <c r="CG12" i="12"/>
  <c r="BN14" i="12"/>
  <c r="BE14" i="12"/>
  <c r="L14" i="12"/>
  <c r="CG14" i="12"/>
  <c r="BN16" i="12"/>
  <c r="BE16" i="12"/>
  <c r="L16" i="12"/>
  <c r="CG16" i="12"/>
  <c r="BN18" i="12"/>
  <c r="BE18" i="12"/>
  <c r="L18" i="12"/>
  <c r="BZ31" i="12"/>
  <c r="CA31" i="12" s="1"/>
  <c r="CB31" i="12" s="1"/>
  <c r="CC31" i="12" s="1"/>
  <c r="CD31" i="12" s="1"/>
  <c r="BQ31" i="12"/>
  <c r="BR31" i="12" s="1"/>
  <c r="BS31" i="12" s="1"/>
  <c r="BT31" i="12" s="1"/>
  <c r="BU31" i="12" s="1"/>
  <c r="CF31" i="12"/>
  <c r="BG36" i="12"/>
  <c r="BF36" i="12"/>
  <c r="BP36" i="12"/>
  <c r="BO36" i="12"/>
  <c r="L39" i="12"/>
  <c r="BN50" i="12"/>
  <c r="BE50" i="12"/>
  <c r="L50" i="12"/>
  <c r="U56" i="12"/>
  <c r="U51" i="12"/>
  <c r="U50" i="12"/>
  <c r="U49" i="12"/>
  <c r="U57" i="12"/>
  <c r="U55" i="12"/>
  <c r="U54" i="12"/>
  <c r="U52" i="12"/>
  <c r="U43" i="12"/>
  <c r="U47" i="12"/>
  <c r="U45" i="12"/>
  <c r="U41" i="12"/>
  <c r="U40" i="12"/>
  <c r="U37" i="12"/>
  <c r="U35" i="12"/>
  <c r="U46" i="12"/>
  <c r="U44" i="12"/>
  <c r="U53" i="12"/>
  <c r="U48" i="12"/>
  <c r="U38" i="12"/>
  <c r="U36" i="12"/>
  <c r="U33" i="12"/>
  <c r="U32" i="12"/>
  <c r="U31" i="12"/>
  <c r="U30" i="12"/>
  <c r="U29" i="12"/>
  <c r="U28" i="12"/>
  <c r="U27" i="12"/>
  <c r="U19" i="12"/>
  <c r="U39" i="12"/>
  <c r="U34" i="12"/>
  <c r="U18" i="12"/>
  <c r="U16" i="12"/>
  <c r="U14" i="12"/>
  <c r="U13" i="12"/>
  <c r="U12" i="12"/>
  <c r="U11" i="12"/>
  <c r="BD20" i="12"/>
  <c r="BH20" i="12"/>
  <c r="BI20" i="12" s="1"/>
  <c r="BJ20" i="12" s="1"/>
  <c r="BK20" i="12" s="1"/>
  <c r="BL20" i="12" s="1"/>
  <c r="BQ20" i="12"/>
  <c r="BR20" i="12" s="1"/>
  <c r="BS20" i="12" s="1"/>
  <c r="BT20" i="12" s="1"/>
  <c r="BU20" i="12" s="1"/>
  <c r="BR48" i="12"/>
  <c r="BS48" i="12" s="1"/>
  <c r="BT48" i="12" s="1"/>
  <c r="BU48" i="12" s="1"/>
  <c r="BZ51" i="12"/>
  <c r="CA51" i="12" s="1"/>
  <c r="CB51" i="12" s="1"/>
  <c r="CC51" i="12" s="1"/>
  <c r="CD51" i="12" s="1"/>
  <c r="BQ51" i="12"/>
  <c r="BH51" i="12"/>
  <c r="BI51" i="12" s="1"/>
  <c r="BJ51" i="12" s="1"/>
  <c r="BK51" i="12" s="1"/>
  <c r="BL51" i="12" s="1"/>
  <c r="BB51" i="12"/>
  <c r="BB15" i="12"/>
  <c r="BQ15" i="12"/>
  <c r="BR15" i="12" s="1"/>
  <c r="BS15" i="12" s="1"/>
  <c r="BT15" i="12" s="1"/>
  <c r="BU15" i="12" s="1"/>
  <c r="BB17" i="12"/>
  <c r="BE20" i="12"/>
  <c r="BQ24" i="12"/>
  <c r="BR24" i="12" s="1"/>
  <c r="BS24" i="12" s="1"/>
  <c r="BT24" i="12" s="1"/>
  <c r="BU24" i="12" s="1"/>
  <c r="BB26" i="12"/>
  <c r="BH26" i="12"/>
  <c r="BI26" i="12" s="1"/>
  <c r="BJ26" i="12" s="1"/>
  <c r="BK26" i="12" s="1"/>
  <c r="BL26" i="12" s="1"/>
  <c r="BQ26" i="12"/>
  <c r="BR26" i="12" s="1"/>
  <c r="BS26" i="12" s="1"/>
  <c r="BT26" i="12" s="1"/>
  <c r="BU26" i="12" s="1"/>
  <c r="L28" i="12"/>
  <c r="BE28" i="12"/>
  <c r="L30" i="12"/>
  <c r="BE30" i="12"/>
  <c r="CG33" i="12"/>
  <c r="BZ35" i="12"/>
  <c r="CA35" i="12" s="1"/>
  <c r="CB35" i="12" s="1"/>
  <c r="CC35" i="12" s="1"/>
  <c r="CD35" i="12" s="1"/>
  <c r="BQ35" i="12"/>
  <c r="BR35" i="12" s="1"/>
  <c r="BS35" i="12" s="1"/>
  <c r="BT35" i="12" s="1"/>
  <c r="BU35" i="12" s="1"/>
  <c r="BH35" i="12"/>
  <c r="BB35" i="12"/>
  <c r="BZ37" i="12"/>
  <c r="CA37" i="12" s="1"/>
  <c r="CB37" i="12" s="1"/>
  <c r="CC37" i="12" s="1"/>
  <c r="CD37" i="12" s="1"/>
  <c r="BQ37" i="12"/>
  <c r="BR37" i="12" s="1"/>
  <c r="BS37" i="12" s="1"/>
  <c r="BT37" i="12" s="1"/>
  <c r="BU37" i="12" s="1"/>
  <c r="BH37" i="12"/>
  <c r="BB37" i="12"/>
  <c r="BZ49" i="12"/>
  <c r="CA49" i="12" s="1"/>
  <c r="CB49" i="12" s="1"/>
  <c r="CC49" i="12" s="1"/>
  <c r="CD49" i="12" s="1"/>
  <c r="BQ49" i="12"/>
  <c r="BR49" i="12" s="1"/>
  <c r="BS49" i="12" s="1"/>
  <c r="BT49" i="12" s="1"/>
  <c r="BU49" i="12" s="1"/>
  <c r="BH49" i="12"/>
  <c r="BB49" i="12"/>
  <c r="CG49" i="12"/>
  <c r="BP53" i="12"/>
  <c r="BO53" i="12"/>
  <c r="BB54" i="12"/>
  <c r="BN45" i="12"/>
  <c r="BE45" i="12"/>
  <c r="L45" i="12"/>
  <c r="BN47" i="12"/>
  <c r="BE47" i="12"/>
  <c r="L47" i="12"/>
  <c r="L48" i="12"/>
  <c r="BO49" i="12"/>
  <c r="BZ50" i="12"/>
  <c r="CA50" i="12" s="1"/>
  <c r="CB50" i="12" s="1"/>
  <c r="CC50" i="12" s="1"/>
  <c r="CD50" i="12" s="1"/>
  <c r="BQ50" i="12"/>
  <c r="BR50" i="12" s="1"/>
  <c r="BS50" i="12" s="1"/>
  <c r="BT50" i="12" s="1"/>
  <c r="BU50" i="12" s="1"/>
  <c r="BH50" i="12"/>
  <c r="BI50" i="12" s="1"/>
  <c r="BJ50" i="12" s="1"/>
  <c r="BK50" i="12" s="1"/>
  <c r="BL50" i="12" s="1"/>
  <c r="L51" i="12"/>
  <c r="BG51" i="12"/>
  <c r="BP51" i="12"/>
  <c r="BG55" i="12"/>
  <c r="BF55" i="12"/>
  <c r="BP55" i="12"/>
  <c r="BO55" i="12"/>
  <c r="Y57" i="12"/>
  <c r="Y56" i="12"/>
  <c r="Y53" i="12"/>
  <c r="Y46" i="12"/>
  <c r="Y44" i="12"/>
  <c r="Y60" i="12" s="1"/>
  <c r="BE35" i="12"/>
  <c r="L37" i="12"/>
  <c r="BE37" i="12"/>
  <c r="BB39" i="12"/>
  <c r="BH39" i="12"/>
  <c r="BI39" i="12" s="1"/>
  <c r="BJ39" i="12" s="1"/>
  <c r="BK39" i="12" s="1"/>
  <c r="BL39" i="12" s="1"/>
  <c r="BQ39" i="12"/>
  <c r="BR39" i="12" s="1"/>
  <c r="BS39" i="12" s="1"/>
  <c r="BT39" i="12" s="1"/>
  <c r="BU39" i="12" s="1"/>
  <c r="L41" i="12"/>
  <c r="BE41" i="12"/>
  <c r="BZ42" i="12"/>
  <c r="CA42" i="12" s="1"/>
  <c r="CB42" i="12" s="1"/>
  <c r="CC42" i="12" s="1"/>
  <c r="CD42" i="12" s="1"/>
  <c r="BQ42" i="12"/>
  <c r="BR42" i="12" s="1"/>
  <c r="BS42" i="12" s="1"/>
  <c r="BT42" i="12" s="1"/>
  <c r="BU42" i="12" s="1"/>
  <c r="BH42" i="12"/>
  <c r="BI42" i="12" s="1"/>
  <c r="BJ42" i="12" s="1"/>
  <c r="BK42" i="12" s="1"/>
  <c r="BL42" i="12" s="1"/>
  <c r="BN43" i="12"/>
  <c r="BE43" i="12"/>
  <c r="L43" i="12"/>
  <c r="CG43" i="12"/>
  <c r="BH44" i="12"/>
  <c r="BI44" i="12" s="1"/>
  <c r="BJ44" i="12" s="1"/>
  <c r="BK44" i="12" s="1"/>
  <c r="BL44" i="12" s="1"/>
  <c r="BG44" i="12"/>
  <c r="CF45" i="12"/>
  <c r="BZ45" i="12"/>
  <c r="CA45" i="12" s="1"/>
  <c r="CB45" i="12" s="1"/>
  <c r="CC45" i="12" s="1"/>
  <c r="CD45" i="12" s="1"/>
  <c r="BQ45" i="12"/>
  <c r="BR45" i="12" s="1"/>
  <c r="BS45" i="12" s="1"/>
  <c r="BT45" i="12" s="1"/>
  <c r="BU45" i="12" s="1"/>
  <c r="BH45" i="12"/>
  <c r="BB45" i="12"/>
  <c r="BX47" i="12"/>
  <c r="CF47" i="12"/>
  <c r="BQ47" i="12"/>
  <c r="BR47" i="12" s="1"/>
  <c r="BS47" i="12" s="1"/>
  <c r="BT47" i="12" s="1"/>
  <c r="BU47" i="12" s="1"/>
  <c r="BH47" i="12"/>
  <c r="BI47" i="12" s="1"/>
  <c r="BJ47" i="12" s="1"/>
  <c r="BK47" i="12" s="1"/>
  <c r="BL47" i="12" s="1"/>
  <c r="BB47" i="12"/>
  <c r="BC51" i="12" s="1"/>
  <c r="BB50" i="12"/>
  <c r="BF51" i="12"/>
  <c r="BO51" i="12"/>
  <c r="CF48" i="12"/>
  <c r="BZ56" i="12"/>
  <c r="CA56" i="12" s="1"/>
  <c r="CB56" i="12" s="1"/>
  <c r="CC56" i="12" s="1"/>
  <c r="CD56" i="12" s="1"/>
  <c r="BQ56" i="12"/>
  <c r="BR56" i="12" s="1"/>
  <c r="BS56" i="12" s="1"/>
  <c r="BT56" i="12" s="1"/>
  <c r="BU56" i="12" s="1"/>
  <c r="BH56" i="12"/>
  <c r="BB56" i="12"/>
  <c r="BB57" i="12"/>
  <c r="I16" i="13"/>
  <c r="J16" i="13" s="1"/>
  <c r="K16" i="13" s="1"/>
  <c r="BB44" i="12"/>
  <c r="BB46" i="12"/>
  <c r="BH46" i="12"/>
  <c r="BI46" i="12" s="1"/>
  <c r="BJ46" i="12" s="1"/>
  <c r="BK46" i="12" s="1"/>
  <c r="BL46" i="12" s="1"/>
  <c r="BQ46" i="12"/>
  <c r="BR46" i="12" s="1"/>
  <c r="BS46" i="12" s="1"/>
  <c r="BT46" i="12" s="1"/>
  <c r="BU46" i="12" s="1"/>
  <c r="L49" i="12"/>
  <c r="BE49" i="12"/>
  <c r="BB53" i="12"/>
  <c r="BH53" i="12"/>
  <c r="BI53" i="12" s="1"/>
  <c r="BJ53" i="12" s="1"/>
  <c r="BK53" i="12" s="1"/>
  <c r="BL53" i="12" s="1"/>
  <c r="BQ53" i="12"/>
  <c r="BR53" i="12" s="1"/>
  <c r="BS53" i="12" s="1"/>
  <c r="BT53" i="12" s="1"/>
  <c r="BU53" i="12" s="1"/>
  <c r="L57" i="12"/>
  <c r="AY65" i="12"/>
  <c r="AY64" i="12"/>
  <c r="G26" i="13"/>
  <c r="H26" i="13" s="1"/>
  <c r="I26" i="13" s="1"/>
  <c r="J26" i="13" s="1"/>
  <c r="K26" i="13" s="1"/>
  <c r="H63" i="13"/>
  <c r="I63" i="13" s="1"/>
  <c r="J63" i="13" s="1"/>
  <c r="K63" i="13" s="1"/>
  <c r="G63" i="13"/>
  <c r="G17" i="14"/>
  <c r="H17" i="14" s="1"/>
  <c r="I17" i="14" s="1"/>
  <c r="J17" i="14" s="1"/>
  <c r="K17" i="14" s="1"/>
  <c r="G25" i="14"/>
  <c r="H25" i="14" s="1"/>
  <c r="I25" i="14" s="1"/>
  <c r="J25" i="14" s="1"/>
  <c r="K25" i="14" s="1"/>
  <c r="H33" i="14"/>
  <c r="I33" i="14" s="1"/>
  <c r="J33" i="14" s="1"/>
  <c r="K33" i="14" s="1"/>
  <c r="G33" i="14"/>
  <c r="H41" i="14"/>
  <c r="I41" i="14" s="1"/>
  <c r="J41" i="14" s="1"/>
  <c r="K41" i="14" s="1"/>
  <c r="G41" i="14"/>
  <c r="G49" i="14"/>
  <c r="H49" i="14" s="1"/>
  <c r="I49" i="14" s="1"/>
  <c r="J49" i="14" s="1"/>
  <c r="K49" i="14" s="1"/>
  <c r="G57" i="14"/>
  <c r="H57" i="14" s="1"/>
  <c r="I57" i="14" s="1"/>
  <c r="J57" i="14" s="1"/>
  <c r="K57" i="14" s="1"/>
  <c r="H65" i="14"/>
  <c r="I65" i="14" s="1"/>
  <c r="J65" i="14" s="1"/>
  <c r="K65" i="14" s="1"/>
  <c r="G65" i="14"/>
  <c r="E69" i="13"/>
  <c r="O69" i="13"/>
  <c r="I17" i="13"/>
  <c r="J17" i="13" s="1"/>
  <c r="K17" i="13" s="1"/>
  <c r="I20" i="13"/>
  <c r="J20" i="13" s="1"/>
  <c r="K20" i="13" s="1"/>
  <c r="G22" i="13"/>
  <c r="H22" i="13" s="1"/>
  <c r="I22" i="13" s="1"/>
  <c r="J22" i="13" s="1"/>
  <c r="K22" i="13" s="1"/>
  <c r="G34" i="13"/>
  <c r="J34" i="13"/>
  <c r="K34" i="13" s="1"/>
  <c r="G35" i="13"/>
  <c r="H35" i="13" s="1"/>
  <c r="I35" i="13" s="1"/>
  <c r="J35" i="13" s="1"/>
  <c r="K35" i="13" s="1"/>
  <c r="G42" i="13"/>
  <c r="H43" i="13"/>
  <c r="I43" i="13" s="1"/>
  <c r="J43" i="13" s="1"/>
  <c r="K43" i="13" s="1"/>
  <c r="G43" i="13"/>
  <c r="G50" i="13"/>
  <c r="H50" i="13" s="1"/>
  <c r="I50" i="13" s="1"/>
  <c r="J50" i="13" s="1"/>
  <c r="K50" i="13" s="1"/>
  <c r="G51" i="13"/>
  <c r="H51" i="13" s="1"/>
  <c r="I51" i="13" s="1"/>
  <c r="J51" i="13" s="1"/>
  <c r="K51" i="13" s="1"/>
  <c r="H59" i="13"/>
  <c r="I59" i="13" s="1"/>
  <c r="J59" i="13" s="1"/>
  <c r="K59" i="13" s="1"/>
  <c r="G59" i="13"/>
  <c r="J61" i="13"/>
  <c r="K61" i="13" s="1"/>
  <c r="G14" i="13"/>
  <c r="H14" i="13" s="1"/>
  <c r="I14" i="13" s="1"/>
  <c r="J14" i="13" s="1"/>
  <c r="K14" i="13" s="1"/>
  <c r="H15" i="13"/>
  <c r="I15" i="13" s="1"/>
  <c r="J15" i="13" s="1"/>
  <c r="K15" i="13" s="1"/>
  <c r="G18" i="13"/>
  <c r="H18" i="13" s="1"/>
  <c r="I18" i="13" s="1"/>
  <c r="J18" i="13" s="1"/>
  <c r="K18" i="13" s="1"/>
  <c r="H23" i="13"/>
  <c r="I23" i="13" s="1"/>
  <c r="J23" i="13"/>
  <c r="K23" i="13" s="1"/>
  <c r="I25" i="13"/>
  <c r="J25" i="13" s="1"/>
  <c r="K25" i="13" s="1"/>
  <c r="H55" i="13"/>
  <c r="I55" i="13" s="1"/>
  <c r="J55" i="13" s="1"/>
  <c r="K55" i="13" s="1"/>
  <c r="G55" i="13"/>
  <c r="G16" i="14"/>
  <c r="H16" i="14" s="1"/>
  <c r="I16" i="14" s="1"/>
  <c r="J16" i="14" s="1"/>
  <c r="K16" i="14" s="1"/>
  <c r="I18" i="14"/>
  <c r="J18" i="14" s="1"/>
  <c r="K18" i="14" s="1"/>
  <c r="G24" i="14"/>
  <c r="H24" i="14"/>
  <c r="I24" i="14" s="1"/>
  <c r="J24" i="14" s="1"/>
  <c r="K24" i="14" s="1"/>
  <c r="G32" i="14"/>
  <c r="H32" i="14" s="1"/>
  <c r="I32" i="14" s="1"/>
  <c r="J32" i="14" s="1"/>
  <c r="K32" i="14" s="1"/>
  <c r="I34" i="14"/>
  <c r="J34" i="14" s="1"/>
  <c r="K34" i="14" s="1"/>
  <c r="G40" i="14"/>
  <c r="H40" i="14" s="1"/>
  <c r="I40" i="14" s="1"/>
  <c r="J40" i="14" s="1"/>
  <c r="K40" i="14" s="1"/>
  <c r="I42" i="14"/>
  <c r="J42" i="14" s="1"/>
  <c r="K42" i="14" s="1"/>
  <c r="I44" i="14"/>
  <c r="J44" i="14" s="1"/>
  <c r="K44" i="14" s="1"/>
  <c r="G48" i="14"/>
  <c r="H48" i="14" s="1"/>
  <c r="I48" i="14" s="1"/>
  <c r="J48" i="14" s="1"/>
  <c r="K48" i="14" s="1"/>
  <c r="G56" i="14"/>
  <c r="H56" i="14" s="1"/>
  <c r="I56" i="14" s="1"/>
  <c r="J56" i="14" s="1"/>
  <c r="K56" i="14" s="1"/>
  <c r="I58" i="14"/>
  <c r="J58" i="14" s="1"/>
  <c r="K58" i="14" s="1"/>
  <c r="G64" i="14"/>
  <c r="I64" i="14"/>
  <c r="J64" i="14" s="1"/>
  <c r="K64" i="14" s="1"/>
  <c r="H64" i="14"/>
  <c r="G13" i="13"/>
  <c r="X69" i="13"/>
  <c r="G17" i="13"/>
  <c r="H17" i="13" s="1"/>
  <c r="H19" i="13"/>
  <c r="I19" i="13" s="1"/>
  <c r="J19" i="13" s="1"/>
  <c r="K19" i="13" s="1"/>
  <c r="J21" i="13"/>
  <c r="K21" i="13" s="1"/>
  <c r="I21" i="13"/>
  <c r="G27" i="13"/>
  <c r="H27" i="13" s="1"/>
  <c r="I27" i="13" s="1"/>
  <c r="J27" i="13" s="1"/>
  <c r="K27" i="13" s="1"/>
  <c r="I28" i="13"/>
  <c r="J28" i="13" s="1"/>
  <c r="K28" i="13" s="1"/>
  <c r="G29" i="13"/>
  <c r="H29" i="13" s="1"/>
  <c r="I29" i="13" s="1"/>
  <c r="J29" i="13" s="1"/>
  <c r="K29" i="13" s="1"/>
  <c r="G30" i="13"/>
  <c r="H30" i="13" s="1"/>
  <c r="I30" i="13" s="1"/>
  <c r="J30" i="13" s="1"/>
  <c r="K30" i="13" s="1"/>
  <c r="H31" i="13"/>
  <c r="I31" i="13" s="1"/>
  <c r="J31" i="13" s="1"/>
  <c r="K31" i="13" s="1"/>
  <c r="G31" i="13"/>
  <c r="I32" i="13"/>
  <c r="J32" i="13" s="1"/>
  <c r="K32" i="13" s="1"/>
  <c r="H34" i="13"/>
  <c r="I34" i="13" s="1"/>
  <c r="G38" i="13"/>
  <c r="H38" i="13" s="1"/>
  <c r="I38" i="13" s="1"/>
  <c r="J38" i="13"/>
  <c r="K38" i="13" s="1"/>
  <c r="H39" i="13"/>
  <c r="I39" i="13" s="1"/>
  <c r="J39" i="13" s="1"/>
  <c r="K39" i="13" s="1"/>
  <c r="G39" i="13"/>
  <c r="I40" i="13"/>
  <c r="J40" i="13" s="1"/>
  <c r="K40" i="13" s="1"/>
  <c r="H42" i="13"/>
  <c r="I42" i="13" s="1"/>
  <c r="J42" i="13" s="1"/>
  <c r="K42" i="13" s="1"/>
  <c r="G46" i="13"/>
  <c r="H46" i="13" s="1"/>
  <c r="I46" i="13" s="1"/>
  <c r="J46" i="13"/>
  <c r="K46" i="13" s="1"/>
  <c r="G47" i="13"/>
  <c r="H47" i="13" s="1"/>
  <c r="I47" i="13" s="1"/>
  <c r="J47" i="13" s="1"/>
  <c r="K47" i="13" s="1"/>
  <c r="I48" i="13"/>
  <c r="J48" i="13" s="1"/>
  <c r="K48" i="13" s="1"/>
  <c r="G54" i="13"/>
  <c r="H54" i="13" s="1"/>
  <c r="I54" i="13" s="1"/>
  <c r="J54" i="13" s="1"/>
  <c r="K54" i="13" s="1"/>
  <c r="H57" i="13"/>
  <c r="I57" i="13" s="1"/>
  <c r="J57" i="13" s="1"/>
  <c r="K57" i="13" s="1"/>
  <c r="H61" i="13"/>
  <c r="I62" i="13"/>
  <c r="J62" i="13" s="1"/>
  <c r="K62" i="13" s="1"/>
  <c r="J65" i="13"/>
  <c r="K65" i="13" s="1"/>
  <c r="J35" i="14"/>
  <c r="K35" i="14" s="1"/>
  <c r="J43" i="14"/>
  <c r="K43" i="14" s="1"/>
  <c r="I33" i="13"/>
  <c r="J33" i="13" s="1"/>
  <c r="K33" i="13" s="1"/>
  <c r="I37" i="13"/>
  <c r="J37" i="13" s="1"/>
  <c r="K37" i="13" s="1"/>
  <c r="I41" i="13"/>
  <c r="J41" i="13" s="1"/>
  <c r="K41" i="13" s="1"/>
  <c r="I45" i="13"/>
  <c r="J45" i="13" s="1"/>
  <c r="K45" i="13" s="1"/>
  <c r="I49" i="13"/>
  <c r="J49" i="13" s="1"/>
  <c r="K49" i="13" s="1"/>
  <c r="I53" i="13"/>
  <c r="J53" i="13" s="1"/>
  <c r="K53" i="13" s="1"/>
  <c r="I61" i="13"/>
  <c r="G66" i="13"/>
  <c r="H66" i="13" s="1"/>
  <c r="I66" i="13" s="1"/>
  <c r="J66" i="13" s="1"/>
  <c r="K66" i="13" s="1"/>
  <c r="E69" i="14"/>
  <c r="H13" i="14"/>
  <c r="G13" i="14"/>
  <c r="G20" i="14"/>
  <c r="H20" i="14" s="1"/>
  <c r="I20" i="14" s="1"/>
  <c r="J20" i="14" s="1"/>
  <c r="K20" i="14" s="1"/>
  <c r="G21" i="14"/>
  <c r="H21" i="14" s="1"/>
  <c r="I21" i="14" s="1"/>
  <c r="J21" i="14" s="1"/>
  <c r="K21" i="14" s="1"/>
  <c r="G28" i="14"/>
  <c r="H28" i="14" s="1"/>
  <c r="I28" i="14" s="1"/>
  <c r="J28" i="14" s="1"/>
  <c r="K28" i="14" s="1"/>
  <c r="G29" i="14"/>
  <c r="H29" i="14" s="1"/>
  <c r="I29" i="14" s="1"/>
  <c r="J29" i="14" s="1"/>
  <c r="K29" i="14" s="1"/>
  <c r="I30" i="14"/>
  <c r="J30" i="14" s="1"/>
  <c r="K30" i="14" s="1"/>
  <c r="G36" i="14"/>
  <c r="H36" i="14" s="1"/>
  <c r="I36" i="14" s="1"/>
  <c r="J36" i="14" s="1"/>
  <c r="K36" i="14" s="1"/>
  <c r="H37" i="14"/>
  <c r="I37" i="14" s="1"/>
  <c r="J37" i="14" s="1"/>
  <c r="K37" i="14" s="1"/>
  <c r="G37" i="14"/>
  <c r="G44" i="14"/>
  <c r="H44" i="14" s="1"/>
  <c r="H45" i="14"/>
  <c r="I45" i="14" s="1"/>
  <c r="J45" i="14" s="1"/>
  <c r="K45" i="14" s="1"/>
  <c r="G45" i="14"/>
  <c r="G52" i="14"/>
  <c r="H52" i="14" s="1"/>
  <c r="I52" i="14" s="1"/>
  <c r="J52" i="14" s="1"/>
  <c r="K52" i="14" s="1"/>
  <c r="G53" i="14"/>
  <c r="H53" i="14" s="1"/>
  <c r="I53" i="14" s="1"/>
  <c r="J53" i="14" s="1"/>
  <c r="K53" i="14" s="1"/>
  <c r="G60" i="14"/>
  <c r="H60" i="14" s="1"/>
  <c r="I60" i="14" s="1"/>
  <c r="J60" i="14"/>
  <c r="K60" i="14" s="1"/>
  <c r="G61" i="14"/>
  <c r="H61" i="14" s="1"/>
  <c r="I61" i="14" s="1"/>
  <c r="J61" i="14" s="1"/>
  <c r="K61" i="14" s="1"/>
  <c r="I62" i="14"/>
  <c r="J62" i="14" s="1"/>
  <c r="K62" i="14" s="1"/>
  <c r="G58" i="13"/>
  <c r="H58" i="13" s="1"/>
  <c r="I58" i="13" s="1"/>
  <c r="J58" i="13" s="1"/>
  <c r="K58" i="13" s="1"/>
  <c r="G62" i="13"/>
  <c r="H62" i="13" s="1"/>
  <c r="I64" i="13"/>
  <c r="J64" i="13"/>
  <c r="K64" i="13" s="1"/>
  <c r="T70" i="13"/>
  <c r="AD70" i="13"/>
  <c r="I65" i="13"/>
  <c r="H14" i="14"/>
  <c r="I14" i="14" s="1"/>
  <c r="J14" i="14" s="1"/>
  <c r="K14" i="14" s="1"/>
  <c r="I15" i="14"/>
  <c r="J15" i="14" s="1"/>
  <c r="K15" i="14" s="1"/>
  <c r="H18" i="14"/>
  <c r="I19" i="14"/>
  <c r="J19" i="14" s="1"/>
  <c r="K19" i="14" s="1"/>
  <c r="H22" i="14"/>
  <c r="I22" i="14" s="1"/>
  <c r="J22" i="14" s="1"/>
  <c r="K22" i="14" s="1"/>
  <c r="I23" i="14"/>
  <c r="J23" i="14" s="1"/>
  <c r="K23" i="14" s="1"/>
  <c r="H26" i="14"/>
  <c r="I26" i="14" s="1"/>
  <c r="J26" i="14" s="1"/>
  <c r="K26" i="14" s="1"/>
  <c r="I27" i="14"/>
  <c r="J27" i="14" s="1"/>
  <c r="K27" i="14" s="1"/>
  <c r="H30" i="14"/>
  <c r="I31" i="14"/>
  <c r="J31" i="14" s="1"/>
  <c r="K31" i="14" s="1"/>
  <c r="H34" i="14"/>
  <c r="I35" i="14"/>
  <c r="H38" i="14"/>
  <c r="I38" i="14" s="1"/>
  <c r="J38" i="14" s="1"/>
  <c r="K38" i="14" s="1"/>
  <c r="I39" i="14"/>
  <c r="J39" i="14" s="1"/>
  <c r="K39" i="14" s="1"/>
  <c r="H42" i="14"/>
  <c r="I43" i="14"/>
  <c r="H46" i="14"/>
  <c r="I46" i="14" s="1"/>
  <c r="J46" i="14" s="1"/>
  <c r="K46" i="14" s="1"/>
  <c r="I47" i="14"/>
  <c r="J47" i="14" s="1"/>
  <c r="K47" i="14" s="1"/>
  <c r="H50" i="14"/>
  <c r="I50" i="14" s="1"/>
  <c r="J50" i="14" s="1"/>
  <c r="K50" i="14" s="1"/>
  <c r="I51" i="14"/>
  <c r="J51" i="14" s="1"/>
  <c r="K51" i="14" s="1"/>
  <c r="H54" i="14"/>
  <c r="I54" i="14" s="1"/>
  <c r="J54" i="14" s="1"/>
  <c r="K54" i="14" s="1"/>
  <c r="I55" i="14"/>
  <c r="J55" i="14" s="1"/>
  <c r="K55" i="14" s="1"/>
  <c r="H58" i="14"/>
  <c r="I59" i="14"/>
  <c r="J59" i="14" s="1"/>
  <c r="K59" i="14" s="1"/>
  <c r="H62" i="14"/>
  <c r="I63" i="14"/>
  <c r="J63" i="14" s="1"/>
  <c r="K63" i="14" s="1"/>
  <c r="H66" i="14"/>
  <c r="I66" i="14" s="1"/>
  <c r="J66" i="14" s="1"/>
  <c r="K66" i="14" s="1"/>
  <c r="D26" i="12" l="1"/>
  <c r="D26" i="10"/>
  <c r="D26" i="9"/>
  <c r="D26" i="11"/>
  <c r="D26" i="8"/>
  <c r="D26" i="7"/>
  <c r="D26" i="6"/>
  <c r="E35" i="2"/>
  <c r="F35" i="1"/>
  <c r="D11" i="12"/>
  <c r="D11" i="11"/>
  <c r="D11" i="10"/>
  <c r="D11" i="9"/>
  <c r="D11" i="8"/>
  <c r="D11" i="7"/>
  <c r="D11" i="6"/>
  <c r="E20" i="2"/>
  <c r="F20" i="1"/>
  <c r="BW14" i="6"/>
  <c r="F57" i="4"/>
  <c r="D27" i="12"/>
  <c r="D27" i="11"/>
  <c r="D27" i="10"/>
  <c r="D27" i="9"/>
  <c r="D27" i="8"/>
  <c r="D27" i="7"/>
  <c r="D27" i="6"/>
  <c r="E36" i="2"/>
  <c r="F36" i="1"/>
  <c r="D13" i="11"/>
  <c r="D13" i="12"/>
  <c r="D13" i="10"/>
  <c r="D13" i="8"/>
  <c r="D13" i="9"/>
  <c r="D13" i="7"/>
  <c r="D13" i="6"/>
  <c r="E22" i="2"/>
  <c r="F22" i="1"/>
  <c r="BW40" i="8"/>
  <c r="D31" i="11"/>
  <c r="D31" i="10"/>
  <c r="D31" i="12"/>
  <c r="D31" i="9"/>
  <c r="D31" i="8"/>
  <c r="D31" i="7"/>
  <c r="D31" i="6"/>
  <c r="E40" i="2"/>
  <c r="F40" i="1"/>
  <c r="D24" i="12"/>
  <c r="D24" i="11"/>
  <c r="D24" i="10"/>
  <c r="D24" i="9"/>
  <c r="D24" i="8"/>
  <c r="D24" i="7"/>
  <c r="D24" i="6"/>
  <c r="E33" i="2"/>
  <c r="F33" i="1"/>
  <c r="D19" i="12"/>
  <c r="D19" i="11"/>
  <c r="D19" i="10"/>
  <c r="D19" i="9"/>
  <c r="D19" i="8"/>
  <c r="D19" i="7"/>
  <c r="D19" i="6"/>
  <c r="E28" i="2"/>
  <c r="F28" i="1"/>
  <c r="BG37" i="12"/>
  <c r="BF37" i="12"/>
  <c r="BE69" i="11"/>
  <c r="BG4" i="11"/>
  <c r="BF4" i="11"/>
  <c r="BE60" i="11"/>
  <c r="BF34" i="11"/>
  <c r="BG34" i="11"/>
  <c r="BG53" i="10"/>
  <c r="BF53" i="10"/>
  <c r="BF32" i="10"/>
  <c r="BG32" i="10"/>
  <c r="BA64" i="11"/>
  <c r="BA65" i="11"/>
  <c r="BO42" i="10"/>
  <c r="BP42" i="10"/>
  <c r="BP43" i="11"/>
  <c r="BO43" i="11"/>
  <c r="BR8" i="11"/>
  <c r="BS8" i="11" s="1"/>
  <c r="BT8" i="11" s="1"/>
  <c r="BU8" i="11" s="1"/>
  <c r="BF52" i="7"/>
  <c r="BG52" i="7"/>
  <c r="BO6" i="10"/>
  <c r="BP6" i="10"/>
  <c r="CA47" i="7"/>
  <c r="CB47" i="7" s="1"/>
  <c r="CC47" i="7" s="1"/>
  <c r="CD47" i="7" s="1"/>
  <c r="BR47" i="7"/>
  <c r="BS47" i="7" s="1"/>
  <c r="BT47" i="7" s="1"/>
  <c r="BU47" i="7" s="1"/>
  <c r="BW27" i="11"/>
  <c r="BW13" i="10"/>
  <c r="BG49" i="9"/>
  <c r="BF49" i="9"/>
  <c r="BW51" i="10"/>
  <c r="BW6" i="9"/>
  <c r="BG49" i="8"/>
  <c r="BF49" i="8"/>
  <c r="BA64" i="9"/>
  <c r="BA65" i="9"/>
  <c r="L20" i="8"/>
  <c r="BZ69" i="10"/>
  <c r="CA4" i="10"/>
  <c r="L57" i="8"/>
  <c r="L10" i="8"/>
  <c r="BF28" i="8"/>
  <c r="BG28" i="8"/>
  <c r="BG10" i="7"/>
  <c r="BF10" i="7"/>
  <c r="BW33" i="7"/>
  <c r="BP43" i="6"/>
  <c r="BO43" i="6"/>
  <c r="BG26" i="6"/>
  <c r="BF26" i="6"/>
  <c r="BG22" i="6"/>
  <c r="BF22" i="6"/>
  <c r="BG17" i="6"/>
  <c r="BF17" i="6"/>
  <c r="BW55" i="7"/>
  <c r="BW54" i="6"/>
  <c r="BG41" i="6"/>
  <c r="BF41" i="6"/>
  <c r="BQ69" i="8"/>
  <c r="BO22" i="7"/>
  <c r="BP22" i="7"/>
  <c r="BC6" i="6"/>
  <c r="BC7" i="6"/>
  <c r="AM54" i="12"/>
  <c r="AM51" i="8"/>
  <c r="AM46" i="11"/>
  <c r="AM5" i="6"/>
  <c r="BG16" i="6"/>
  <c r="BF16" i="6"/>
  <c r="AM44" i="10"/>
  <c r="AM43" i="10"/>
  <c r="AM42" i="12"/>
  <c r="AM40" i="6"/>
  <c r="AM30" i="8"/>
  <c r="AM23" i="8"/>
  <c r="AK69" i="10"/>
  <c r="AK60" i="10"/>
  <c r="AN4" i="10"/>
  <c r="BG38" i="6"/>
  <c r="BF38" i="6"/>
  <c r="AM18" i="6"/>
  <c r="BW4" i="6"/>
  <c r="AM48" i="8"/>
  <c r="AM48" i="12"/>
  <c r="AN42" i="8"/>
  <c r="AM39" i="6"/>
  <c r="AM39" i="10"/>
  <c r="AM28" i="9"/>
  <c r="AM27" i="7"/>
  <c r="AM27" i="10"/>
  <c r="AM21" i="6"/>
  <c r="AM21" i="8"/>
  <c r="AM20" i="7"/>
  <c r="AM20" i="11"/>
  <c r="AM19" i="9"/>
  <c r="AM9" i="10"/>
  <c r="AM38" i="6"/>
  <c r="AM14" i="6"/>
  <c r="AM57" i="8"/>
  <c r="AM57" i="12"/>
  <c r="AM56" i="9"/>
  <c r="AM55" i="6"/>
  <c r="AM55" i="10"/>
  <c r="AM47" i="8"/>
  <c r="AM47" i="12"/>
  <c r="AN39" i="6"/>
  <c r="AN39" i="10"/>
  <c r="AM38" i="8"/>
  <c r="AM38" i="12"/>
  <c r="AM37" i="8"/>
  <c r="AM36" i="7"/>
  <c r="AM36" i="11"/>
  <c r="AM35" i="8"/>
  <c r="AM35" i="12"/>
  <c r="AM34" i="8"/>
  <c r="AM33" i="6"/>
  <c r="AM33" i="10"/>
  <c r="AM32" i="8"/>
  <c r="AM32" i="12"/>
  <c r="AN27" i="10"/>
  <c r="AM26" i="7"/>
  <c r="AM26" i="12"/>
  <c r="AM18" i="7"/>
  <c r="AM18" i="11"/>
  <c r="AM17" i="8"/>
  <c r="AM17" i="12"/>
  <c r="AM16" i="10"/>
  <c r="AM15" i="7"/>
  <c r="AM15" i="11"/>
  <c r="AM14" i="9"/>
  <c r="AM13" i="6"/>
  <c r="AM13" i="8"/>
  <c r="AN9" i="10"/>
  <c r="AM8" i="8"/>
  <c r="D69" i="6"/>
  <c r="D69" i="10"/>
  <c r="AN33" i="6"/>
  <c r="S85" i="3"/>
  <c r="H48" i="4"/>
  <c r="G48" i="4"/>
  <c r="E59" i="1"/>
  <c r="G38" i="4"/>
  <c r="H38" i="4" s="1"/>
  <c r="E49" i="1"/>
  <c r="D22" i="12"/>
  <c r="D22" i="11"/>
  <c r="D22" i="9"/>
  <c r="D22" i="10"/>
  <c r="D22" i="8"/>
  <c r="D22" i="7"/>
  <c r="D22" i="6"/>
  <c r="E31" i="2"/>
  <c r="F31" i="1"/>
  <c r="D10" i="12"/>
  <c r="D10" i="11"/>
  <c r="D10" i="9"/>
  <c r="D10" i="10"/>
  <c r="D10" i="8"/>
  <c r="D10" i="6"/>
  <c r="D10" i="7"/>
  <c r="E19" i="2"/>
  <c r="F19" i="1"/>
  <c r="D9" i="11"/>
  <c r="D9" i="12"/>
  <c r="D9" i="10"/>
  <c r="D9" i="9"/>
  <c r="D9" i="8"/>
  <c r="D9" i="7"/>
  <c r="D9" i="6"/>
  <c r="E18" i="2"/>
  <c r="F18" i="1"/>
  <c r="D8" i="12"/>
  <c r="D8" i="11"/>
  <c r="D8" i="9"/>
  <c r="D8" i="8"/>
  <c r="D8" i="10"/>
  <c r="D8" i="7"/>
  <c r="D8" i="6"/>
  <c r="E17" i="2"/>
  <c r="F17" i="1"/>
  <c r="X85" i="3"/>
  <c r="Y21" i="3"/>
  <c r="Z21" i="3"/>
  <c r="BW45" i="12"/>
  <c r="BO16" i="12"/>
  <c r="BP16" i="12"/>
  <c r="BO12" i="12"/>
  <c r="BP12" i="12"/>
  <c r="BW54" i="12"/>
  <c r="BF27" i="12"/>
  <c r="BG27" i="12"/>
  <c r="BE60" i="12"/>
  <c r="BE69" i="12"/>
  <c r="BF4" i="12"/>
  <c r="BG4" i="12"/>
  <c r="BW55" i="11"/>
  <c r="BF14" i="11"/>
  <c r="BG14" i="11"/>
  <c r="BG32" i="12"/>
  <c r="BF32" i="12"/>
  <c r="BW50" i="11"/>
  <c r="BW39" i="11"/>
  <c r="BF13" i="11"/>
  <c r="BG13" i="11"/>
  <c r="BS4" i="12"/>
  <c r="BC6" i="11"/>
  <c r="BC7" i="11"/>
  <c r="BO44" i="10"/>
  <c r="BP44" i="10"/>
  <c r="BF34" i="10"/>
  <c r="BG34" i="10"/>
  <c r="BF28" i="10"/>
  <c r="BG28" i="10"/>
  <c r="BF29" i="9"/>
  <c r="BG29" i="9"/>
  <c r="BF35" i="8"/>
  <c r="BG35" i="8"/>
  <c r="BH15" i="8"/>
  <c r="BI15" i="8" s="1"/>
  <c r="BJ15" i="8" s="1"/>
  <c r="BK15" i="8" s="1"/>
  <c r="BL15" i="8" s="1"/>
  <c r="BG15" i="8"/>
  <c r="BF15" i="8"/>
  <c r="BW46" i="9"/>
  <c r="BF38" i="9"/>
  <c r="BG38" i="9"/>
  <c r="BP18" i="9"/>
  <c r="BO18" i="9"/>
  <c r="BO4" i="9"/>
  <c r="BN69" i="9"/>
  <c r="BN60" i="9"/>
  <c r="BP4" i="9"/>
  <c r="BG9" i="11"/>
  <c r="BF9" i="11"/>
  <c r="BW54" i="10"/>
  <c r="BO30" i="10"/>
  <c r="BP30" i="10"/>
  <c r="BW21" i="11"/>
  <c r="BF51" i="9"/>
  <c r="BG51" i="9"/>
  <c r="L52" i="8"/>
  <c r="L41" i="8"/>
  <c r="L17" i="8"/>
  <c r="L13" i="8"/>
  <c r="L11" i="8"/>
  <c r="L8" i="8"/>
  <c r="L5" i="8"/>
  <c r="L54" i="8"/>
  <c r="L47" i="8"/>
  <c r="L43" i="8"/>
  <c r="L31" i="8"/>
  <c r="L27" i="8"/>
  <c r="L7" i="8"/>
  <c r="L25" i="8"/>
  <c r="L56" i="8"/>
  <c r="L45" i="8"/>
  <c r="L34" i="8"/>
  <c r="L32" i="8"/>
  <c r="L29" i="8"/>
  <c r="L23" i="8"/>
  <c r="L19" i="8"/>
  <c r="L16" i="8"/>
  <c r="L21" i="8"/>
  <c r="L38" i="8"/>
  <c r="L9" i="8"/>
  <c r="L4" i="8"/>
  <c r="BG21" i="7"/>
  <c r="BF21" i="7"/>
  <c r="BG13" i="7"/>
  <c r="BF13" i="7"/>
  <c r="BG8" i="7"/>
  <c r="BF8" i="7"/>
  <c r="BP55" i="8"/>
  <c r="BO55" i="8"/>
  <c r="BW50" i="7"/>
  <c r="BW53" i="6"/>
  <c r="BG24" i="6"/>
  <c r="BF24" i="6"/>
  <c r="BE69" i="7"/>
  <c r="BP46" i="6"/>
  <c r="BO46" i="6"/>
  <c r="BG34" i="6"/>
  <c r="BF34" i="6"/>
  <c r="BG27" i="6"/>
  <c r="BF27" i="6"/>
  <c r="BW13" i="6"/>
  <c r="BW6" i="6"/>
  <c r="AM52" i="10"/>
  <c r="AM24" i="6"/>
  <c r="AM12" i="12"/>
  <c r="AM7" i="7"/>
  <c r="AM5" i="9"/>
  <c r="AN53" i="9"/>
  <c r="AM49" i="11"/>
  <c r="AM42" i="8"/>
  <c r="AN31" i="10"/>
  <c r="AM29" i="10"/>
  <c r="AM23" i="6"/>
  <c r="AM22" i="11"/>
  <c r="AN12" i="7"/>
  <c r="AM10" i="10"/>
  <c r="BP14" i="6"/>
  <c r="BO14" i="6"/>
  <c r="H69" i="14"/>
  <c r="H79" i="14"/>
  <c r="I13" i="14"/>
  <c r="G79" i="13"/>
  <c r="G69" i="13"/>
  <c r="H13" i="13"/>
  <c r="BF28" i="12"/>
  <c r="BG28" i="12"/>
  <c r="BC6" i="12"/>
  <c r="BC7" i="12"/>
  <c r="BG12" i="11"/>
  <c r="BF12" i="11"/>
  <c r="BG42" i="12"/>
  <c r="BF42" i="12"/>
  <c r="BP32" i="12"/>
  <c r="BO32" i="12"/>
  <c r="BW25" i="11"/>
  <c r="BW53" i="10"/>
  <c r="CA47" i="11"/>
  <c r="CB47" i="11" s="1"/>
  <c r="CC47" i="11" s="1"/>
  <c r="CD47" i="11" s="1"/>
  <c r="BR47" i="11"/>
  <c r="BS47" i="11" s="1"/>
  <c r="BT47" i="11" s="1"/>
  <c r="BU47" i="11" s="1"/>
  <c r="BW23" i="11"/>
  <c r="BW40" i="12"/>
  <c r="BI8" i="11"/>
  <c r="BJ8" i="11" s="1"/>
  <c r="BK8" i="11" s="1"/>
  <c r="BL8" i="11" s="1"/>
  <c r="BO28" i="10"/>
  <c r="BP28" i="10"/>
  <c r="BG30" i="9"/>
  <c r="BF30" i="9"/>
  <c r="BW25" i="12"/>
  <c r="BJ4" i="12"/>
  <c r="BF47" i="11"/>
  <c r="BG47" i="11"/>
  <c r="BG37" i="11"/>
  <c r="BF37" i="11"/>
  <c r="BW40" i="10"/>
  <c r="BR38" i="10"/>
  <c r="BS38" i="10" s="1"/>
  <c r="BT38" i="10" s="1"/>
  <c r="BU38" i="10" s="1"/>
  <c r="BW43" i="11"/>
  <c r="BW32" i="11"/>
  <c r="BW56" i="10"/>
  <c r="BO38" i="10"/>
  <c r="BP38" i="10"/>
  <c r="BW40" i="9"/>
  <c r="BW36" i="9"/>
  <c r="BO29" i="9"/>
  <c r="BP29" i="9"/>
  <c r="BW24" i="9"/>
  <c r="BF16" i="9"/>
  <c r="BG16" i="9"/>
  <c r="BW12" i="9"/>
  <c r="L35" i="8"/>
  <c r="L15" i="8"/>
  <c r="BW56" i="7"/>
  <c r="BW52" i="7"/>
  <c r="BF36" i="10"/>
  <c r="BG36" i="10"/>
  <c r="BG26" i="10"/>
  <c r="BF26" i="10"/>
  <c r="BF17" i="10"/>
  <c r="BG17" i="10"/>
  <c r="BO15" i="10"/>
  <c r="BP15" i="10"/>
  <c r="BO7" i="10"/>
  <c r="BQ7" i="10"/>
  <c r="BR7" i="10" s="1"/>
  <c r="BS7" i="10" s="1"/>
  <c r="BT7" i="10" s="1"/>
  <c r="BU7" i="10" s="1"/>
  <c r="BP7" i="10"/>
  <c r="L47" i="10"/>
  <c r="L31" i="10"/>
  <c r="L27" i="10"/>
  <c r="L45" i="10"/>
  <c r="L35" i="10"/>
  <c r="L32" i="10"/>
  <c r="L25" i="10"/>
  <c r="L18" i="10"/>
  <c r="L16" i="10"/>
  <c r="L14" i="10"/>
  <c r="L10" i="10"/>
  <c r="L7" i="10"/>
  <c r="L5" i="10"/>
  <c r="L34" i="10"/>
  <c r="L29" i="10"/>
  <c r="L23" i="10"/>
  <c r="L12" i="10"/>
  <c r="L41" i="10"/>
  <c r="L48" i="10"/>
  <c r="L39" i="10"/>
  <c r="L37" i="10"/>
  <c r="L21" i="10"/>
  <c r="L43" i="10"/>
  <c r="L8" i="10"/>
  <c r="L49" i="10"/>
  <c r="BF46" i="9"/>
  <c r="BG46" i="9"/>
  <c r="BO38" i="9"/>
  <c r="BP38" i="9"/>
  <c r="BO34" i="9"/>
  <c r="BP34" i="9"/>
  <c r="BG32" i="9"/>
  <c r="BF32" i="9"/>
  <c r="BW10" i="9"/>
  <c r="BO9" i="9"/>
  <c r="BP9" i="9"/>
  <c r="BF53" i="8"/>
  <c r="BG53" i="8"/>
  <c r="L46" i="8"/>
  <c r="BF42" i="8"/>
  <c r="BG42" i="8"/>
  <c r="BF8" i="11"/>
  <c r="BG8" i="11"/>
  <c r="BP9" i="11"/>
  <c r="BO9" i="11"/>
  <c r="BP5" i="11"/>
  <c r="BO5" i="11"/>
  <c r="BO46" i="10"/>
  <c r="BP46" i="10"/>
  <c r="BG27" i="11"/>
  <c r="BF27" i="11"/>
  <c r="BF21" i="11"/>
  <c r="BG21" i="11"/>
  <c r="L11" i="10"/>
  <c r="BF9" i="10"/>
  <c r="BG9" i="10"/>
  <c r="BG55" i="9"/>
  <c r="BF55" i="9"/>
  <c r="BO51" i="9"/>
  <c r="BP51" i="9"/>
  <c r="BF13" i="10"/>
  <c r="BG13" i="10"/>
  <c r="BP49" i="9"/>
  <c r="BO49" i="9"/>
  <c r="BG51" i="10"/>
  <c r="BF51" i="10"/>
  <c r="BG6" i="9"/>
  <c r="BF6" i="9"/>
  <c r="BP49" i="8"/>
  <c r="BO49" i="8"/>
  <c r="L36" i="8"/>
  <c r="BZ69" i="9"/>
  <c r="CA4" i="9"/>
  <c r="BF30" i="8"/>
  <c r="BG30" i="8"/>
  <c r="BG26" i="8"/>
  <c r="BF26" i="8"/>
  <c r="BF20" i="8"/>
  <c r="BG20" i="8"/>
  <c r="BF18" i="8"/>
  <c r="BG18" i="8"/>
  <c r="BO24" i="8"/>
  <c r="BP24" i="8"/>
  <c r="BG16" i="8"/>
  <c r="BF16" i="8"/>
  <c r="BE69" i="8"/>
  <c r="BE60" i="8"/>
  <c r="BG4" i="8"/>
  <c r="BF4" i="8"/>
  <c r="BR4" i="10"/>
  <c r="BQ69" i="10"/>
  <c r="BF57" i="8"/>
  <c r="BG57" i="8"/>
  <c r="BF51" i="8"/>
  <c r="BG51" i="8"/>
  <c r="BF10" i="8"/>
  <c r="BG10" i="8"/>
  <c r="BO6" i="8"/>
  <c r="BP6" i="8"/>
  <c r="BN69" i="8"/>
  <c r="BG30" i="7"/>
  <c r="BF30" i="7"/>
  <c r="BW25" i="7"/>
  <c r="BW21" i="7"/>
  <c r="BZ69" i="7"/>
  <c r="CA4" i="7"/>
  <c r="L47" i="7"/>
  <c r="L45" i="7"/>
  <c r="L43" i="7"/>
  <c r="L41" i="7"/>
  <c r="L39" i="7"/>
  <c r="L37" i="7"/>
  <c r="L35" i="7"/>
  <c r="L49" i="7"/>
  <c r="L48" i="7"/>
  <c r="L34" i="7"/>
  <c r="L51" i="7"/>
  <c r="L44" i="7"/>
  <c r="L40" i="7"/>
  <c r="L32" i="7"/>
  <c r="L17" i="7"/>
  <c r="L15" i="7"/>
  <c r="L13" i="7"/>
  <c r="L11" i="7"/>
  <c r="L8" i="7"/>
  <c r="L5" i="7"/>
  <c r="L14" i="7"/>
  <c r="L16" i="7"/>
  <c r="L10" i="7"/>
  <c r="L42" i="7"/>
  <c r="L18" i="7"/>
  <c r="L4" i="7"/>
  <c r="L12" i="7"/>
  <c r="L6" i="7"/>
  <c r="BF33" i="8"/>
  <c r="BG33" i="8"/>
  <c r="BJ4" i="8"/>
  <c r="BO27" i="7"/>
  <c r="BP27" i="7"/>
  <c r="L44" i="8"/>
  <c r="BO28" i="8"/>
  <c r="BP28" i="8"/>
  <c r="AG60" i="8"/>
  <c r="BG18" i="7"/>
  <c r="BF18" i="7"/>
  <c r="BG6" i="7"/>
  <c r="BF6" i="7"/>
  <c r="BF40" i="8"/>
  <c r="BG40" i="8"/>
  <c r="BF33" i="7"/>
  <c r="BG33" i="7"/>
  <c r="BG26" i="7"/>
  <c r="BF26" i="7"/>
  <c r="BO69" i="7"/>
  <c r="BG53" i="6"/>
  <c r="BF53" i="6"/>
  <c r="BR39" i="6"/>
  <c r="BS39" i="6" s="1"/>
  <c r="BT39" i="6" s="1"/>
  <c r="BU39" i="6" s="1"/>
  <c r="BW37" i="6"/>
  <c r="BW17" i="6"/>
  <c r="BG5" i="6"/>
  <c r="BF5" i="6"/>
  <c r="BF55" i="7"/>
  <c r="BG55" i="7"/>
  <c r="BP38" i="7"/>
  <c r="BO38" i="7"/>
  <c r="BG54" i="6"/>
  <c r="BH54" i="6"/>
  <c r="BI54" i="6" s="1"/>
  <c r="BJ54" i="6" s="1"/>
  <c r="BK54" i="6" s="1"/>
  <c r="BL54" i="6" s="1"/>
  <c r="BF54" i="6"/>
  <c r="BG44" i="6"/>
  <c r="BH44" i="6"/>
  <c r="BI44" i="6" s="1"/>
  <c r="BJ44" i="6" s="1"/>
  <c r="BK44" i="6" s="1"/>
  <c r="BL44" i="6" s="1"/>
  <c r="BF44" i="6"/>
  <c r="BP22" i="8"/>
  <c r="BO22" i="8"/>
  <c r="L29" i="7"/>
  <c r="L7" i="7"/>
  <c r="BE60" i="7"/>
  <c r="BC51" i="6"/>
  <c r="BP41" i="6"/>
  <c r="BO41" i="6"/>
  <c r="BG7" i="6"/>
  <c r="BF7" i="6"/>
  <c r="BH7" i="6"/>
  <c r="BS4" i="8"/>
  <c r="BW52" i="6"/>
  <c r="BW42" i="6"/>
  <c r="BG36" i="6"/>
  <c r="BF36" i="6"/>
  <c r="BW12" i="6"/>
  <c r="BW10" i="6"/>
  <c r="BF6" i="6"/>
  <c r="BG6" i="6"/>
  <c r="AM54" i="9"/>
  <c r="AM53" i="6"/>
  <c r="AM53" i="10"/>
  <c r="AM52" i="7"/>
  <c r="AM52" i="11"/>
  <c r="AM51" i="9"/>
  <c r="AM51" i="12"/>
  <c r="AM50" i="9"/>
  <c r="AM46" i="8"/>
  <c r="AM46" i="12"/>
  <c r="AM45" i="9"/>
  <c r="AN38" i="6"/>
  <c r="AN38" i="8"/>
  <c r="AN36" i="7"/>
  <c r="AM31" i="7"/>
  <c r="AM31" i="11"/>
  <c r="AM25" i="6"/>
  <c r="AM25" i="11"/>
  <c r="AM24" i="7"/>
  <c r="AM24" i="11"/>
  <c r="AN18" i="6"/>
  <c r="AN14" i="6"/>
  <c r="AM12" i="9"/>
  <c r="AM11" i="6"/>
  <c r="AM11" i="10"/>
  <c r="AM7" i="10"/>
  <c r="AM7" i="12"/>
  <c r="AM6" i="10"/>
  <c r="AM5" i="7"/>
  <c r="AM5" i="10"/>
  <c r="AL69" i="8"/>
  <c r="AL60" i="8"/>
  <c r="AO30" i="8" s="1"/>
  <c r="AP30" i="8" s="1"/>
  <c r="AM4" i="8"/>
  <c r="BW18" i="6"/>
  <c r="BP16" i="6"/>
  <c r="BO16" i="6"/>
  <c r="BQ60" i="6"/>
  <c r="AN51" i="9"/>
  <c r="AM49" i="9"/>
  <c r="AM49" i="12"/>
  <c r="AM44" i="7"/>
  <c r="AM44" i="11"/>
  <c r="AM43" i="11"/>
  <c r="AM43" i="12"/>
  <c r="AM42" i="9"/>
  <c r="AM41" i="6"/>
  <c r="AM41" i="10"/>
  <c r="AM40" i="7"/>
  <c r="AM40" i="11"/>
  <c r="AM30" i="10"/>
  <c r="AM29" i="7"/>
  <c r="AM29" i="12"/>
  <c r="AN25" i="8"/>
  <c r="AN24" i="6"/>
  <c r="AM23" i="7"/>
  <c r="AM23" i="10"/>
  <c r="AM22" i="8"/>
  <c r="AO22" i="8"/>
  <c r="AP22" i="8" s="1"/>
  <c r="AM22" i="12"/>
  <c r="AN12" i="9"/>
  <c r="AN12" i="12"/>
  <c r="AM10" i="6"/>
  <c r="AM10" i="9"/>
  <c r="AN7" i="7"/>
  <c r="AN7" i="11"/>
  <c r="AN5" i="9"/>
  <c r="AK69" i="6"/>
  <c r="AK60" i="6"/>
  <c r="AN4" i="6"/>
  <c r="AK69" i="11"/>
  <c r="AK60" i="11"/>
  <c r="AN4" i="11"/>
  <c r="BP38" i="6"/>
  <c r="BO38" i="6"/>
  <c r="AM16" i="6"/>
  <c r="BW11" i="6"/>
  <c r="BE69" i="6"/>
  <c r="BE60" i="6"/>
  <c r="BG4" i="6"/>
  <c r="BF4" i="6"/>
  <c r="AN49" i="8"/>
  <c r="AN49" i="11"/>
  <c r="AM48" i="9"/>
  <c r="AN44" i="6"/>
  <c r="AN44" i="10"/>
  <c r="AN43" i="7"/>
  <c r="AN43" i="10"/>
  <c r="AN42" i="9"/>
  <c r="AN42" i="12"/>
  <c r="AN41" i="9"/>
  <c r="AN40" i="6"/>
  <c r="AN40" i="10"/>
  <c r="AM39" i="7"/>
  <c r="AM39" i="11"/>
  <c r="AN30" i="8"/>
  <c r="AN30" i="12"/>
  <c r="AM28" i="6"/>
  <c r="AM28" i="10"/>
  <c r="AO27" i="8"/>
  <c r="AP27" i="8" s="1"/>
  <c r="AM27" i="8"/>
  <c r="AM27" i="11"/>
  <c r="AN23" i="8"/>
  <c r="AN22" i="7"/>
  <c r="AM21" i="7"/>
  <c r="AM21" i="10"/>
  <c r="AM20" i="9"/>
  <c r="AM20" i="12"/>
  <c r="AM19" i="10"/>
  <c r="AN10" i="9"/>
  <c r="AM9" i="7"/>
  <c r="AM9" i="12"/>
  <c r="AM57" i="9"/>
  <c r="AM56" i="6"/>
  <c r="AM56" i="10"/>
  <c r="AM55" i="7"/>
  <c r="AM55" i="12"/>
  <c r="AN48" i="10"/>
  <c r="AN48" i="12"/>
  <c r="AM47" i="9"/>
  <c r="AN39" i="7"/>
  <c r="AN39" i="11"/>
  <c r="AM38" i="9"/>
  <c r="AM37" i="6"/>
  <c r="AM37" i="9"/>
  <c r="AO36" i="8"/>
  <c r="AP36" i="8" s="1"/>
  <c r="AM36" i="8"/>
  <c r="AM36" i="12"/>
  <c r="AM35" i="9"/>
  <c r="AM34" i="6"/>
  <c r="AM34" i="10"/>
  <c r="AM33" i="8"/>
  <c r="AO33" i="8"/>
  <c r="AP33" i="8" s="1"/>
  <c r="AM33" i="11"/>
  <c r="AM32" i="9"/>
  <c r="AN28" i="7"/>
  <c r="AN28" i="11"/>
  <c r="AN27" i="9"/>
  <c r="AN27" i="12"/>
  <c r="AM26" i="8"/>
  <c r="AO26" i="8"/>
  <c r="AP26" i="8" s="1"/>
  <c r="AN21" i="8"/>
  <c r="AN21" i="12"/>
  <c r="AN20" i="10"/>
  <c r="AN19" i="6"/>
  <c r="AN19" i="10"/>
  <c r="AO18" i="8"/>
  <c r="AM18" i="8"/>
  <c r="AM18" i="12"/>
  <c r="AM17" i="10"/>
  <c r="AM16" i="7"/>
  <c r="AM16" i="11"/>
  <c r="AM15" i="8"/>
  <c r="AO15" i="8"/>
  <c r="AM15" i="12"/>
  <c r="AM14" i="10"/>
  <c r="AM13" i="7"/>
  <c r="AM13" i="10"/>
  <c r="AN9" i="8"/>
  <c r="AM8" i="6"/>
  <c r="AM8" i="9"/>
  <c r="D69" i="7"/>
  <c r="D69" i="11"/>
  <c r="Q73" i="3"/>
  <c r="L65" i="2"/>
  <c r="G43" i="4"/>
  <c r="H43" i="4" s="1"/>
  <c r="E54" i="1"/>
  <c r="L63" i="2"/>
  <c r="H46" i="4"/>
  <c r="G46" i="4"/>
  <c r="E57" i="1"/>
  <c r="D29" i="11"/>
  <c r="D29" i="12"/>
  <c r="D29" i="9"/>
  <c r="D29" i="10"/>
  <c r="D29" i="8"/>
  <c r="D29" i="7"/>
  <c r="D29" i="6"/>
  <c r="E38" i="2"/>
  <c r="F38" i="1"/>
  <c r="AM29" i="6"/>
  <c r="Z82" i="3"/>
  <c r="Y82" i="3"/>
  <c r="L44" i="2"/>
  <c r="N69" i="1"/>
  <c r="R74" i="1" s="1"/>
  <c r="BW41" i="12"/>
  <c r="BO50" i="12"/>
  <c r="BP50" i="12"/>
  <c r="BO14" i="12"/>
  <c r="BP14" i="12"/>
  <c r="BP6" i="12"/>
  <c r="BO6" i="12"/>
  <c r="BO9" i="12"/>
  <c r="BP9" i="12"/>
  <c r="BP24" i="10"/>
  <c r="BO24" i="10"/>
  <c r="BW33" i="9"/>
  <c r="BP25" i="12"/>
  <c r="BO25" i="12"/>
  <c r="BP29" i="11"/>
  <c r="BO29" i="11"/>
  <c r="BF15" i="10"/>
  <c r="BG15" i="10"/>
  <c r="BH15" i="10"/>
  <c r="BI15" i="10" s="1"/>
  <c r="BJ15" i="10" s="1"/>
  <c r="BK15" i="10" s="1"/>
  <c r="BL15" i="10" s="1"/>
  <c r="BF7" i="10"/>
  <c r="BH7" i="10"/>
  <c r="BI7" i="10" s="1"/>
  <c r="BJ7" i="10" s="1"/>
  <c r="BK7" i="10" s="1"/>
  <c r="BL7" i="10" s="1"/>
  <c r="BG7" i="10"/>
  <c r="BF34" i="9"/>
  <c r="BG34" i="9"/>
  <c r="BO20" i="10"/>
  <c r="BP20" i="10"/>
  <c r="BW9" i="10"/>
  <c r="BW55" i="9"/>
  <c r="BO14" i="9"/>
  <c r="BP14" i="9"/>
  <c r="BR4" i="9"/>
  <c r="BQ69" i="9"/>
  <c r="L30" i="8"/>
  <c r="L26" i="8"/>
  <c r="BF24" i="8"/>
  <c r="BG24" i="8"/>
  <c r="BW30" i="7"/>
  <c r="BG11" i="7"/>
  <c r="BF11" i="7"/>
  <c r="L14" i="8"/>
  <c r="L12" i="8"/>
  <c r="BP28" i="7"/>
  <c r="BO28" i="7"/>
  <c r="L39" i="8"/>
  <c r="BG38" i="7"/>
  <c r="BF38" i="7"/>
  <c r="BP20" i="7"/>
  <c r="BO20" i="7"/>
  <c r="BW44" i="6"/>
  <c r="BG22" i="8"/>
  <c r="BF22" i="8"/>
  <c r="BO24" i="7"/>
  <c r="BP24" i="7"/>
  <c r="BG9" i="6"/>
  <c r="BF9" i="6"/>
  <c r="AO54" i="8"/>
  <c r="AM54" i="8"/>
  <c r="AM52" i="6"/>
  <c r="AO50" i="8"/>
  <c r="AM50" i="8"/>
  <c r="AO45" i="8"/>
  <c r="AP45" i="8" s="1"/>
  <c r="AM45" i="8"/>
  <c r="AM31" i="10"/>
  <c r="AM12" i="7"/>
  <c r="AM11" i="9"/>
  <c r="AM7" i="11"/>
  <c r="AL69" i="9"/>
  <c r="AM4" i="9"/>
  <c r="AL60" i="9"/>
  <c r="AO19" i="9" s="1"/>
  <c r="AP19" i="9" s="1"/>
  <c r="AM36" i="6"/>
  <c r="AN51" i="8"/>
  <c r="AO49" i="8"/>
  <c r="AP49" i="8" s="1"/>
  <c r="AM49" i="8"/>
  <c r="AM44" i="6"/>
  <c r="AM43" i="7"/>
  <c r="AM41" i="9"/>
  <c r="AM40" i="10"/>
  <c r="AM30" i="12"/>
  <c r="AM22" i="7"/>
  <c r="U80" i="3"/>
  <c r="V80" i="3"/>
  <c r="BG49" i="12"/>
  <c r="BF49" i="12"/>
  <c r="BG45" i="12"/>
  <c r="BF45" i="12"/>
  <c r="BF54" i="12"/>
  <c r="BG54" i="12"/>
  <c r="BH54" i="12"/>
  <c r="BI54" i="12" s="1"/>
  <c r="BJ54" i="12" s="1"/>
  <c r="BK54" i="12" s="1"/>
  <c r="BL54" i="12" s="1"/>
  <c r="BR27" i="12"/>
  <c r="BS27" i="12" s="1"/>
  <c r="BT27" i="12" s="1"/>
  <c r="BU27" i="12" s="1"/>
  <c r="BW10" i="12"/>
  <c r="BW49" i="12"/>
  <c r="BI45" i="12"/>
  <c r="BJ45" i="12" s="1"/>
  <c r="BK45" i="12" s="1"/>
  <c r="BL45" i="12" s="1"/>
  <c r="BF43" i="12"/>
  <c r="BG43" i="12"/>
  <c r="BH43" i="12"/>
  <c r="BI43" i="12" s="1"/>
  <c r="BJ43" i="12" s="1"/>
  <c r="BK43" i="12" s="1"/>
  <c r="BL43" i="12" s="1"/>
  <c r="BG35" i="12"/>
  <c r="BF35" i="12"/>
  <c r="BG47" i="12"/>
  <c r="BF47" i="12"/>
  <c r="BO45" i="12"/>
  <c r="BP45" i="12"/>
  <c r="BC50" i="12"/>
  <c r="BW28" i="12"/>
  <c r="BR51" i="12"/>
  <c r="BS51" i="12" s="1"/>
  <c r="BT51" i="12" s="1"/>
  <c r="BU51" i="12" s="1"/>
  <c r="BW50" i="12"/>
  <c r="BW18" i="12"/>
  <c r="BW16" i="12"/>
  <c r="BW14" i="12"/>
  <c r="BW12" i="12"/>
  <c r="BI10" i="12"/>
  <c r="BJ10" i="12" s="1"/>
  <c r="BK10" i="12" s="1"/>
  <c r="BL10" i="12" s="1"/>
  <c r="BF56" i="12"/>
  <c r="BG56" i="12"/>
  <c r="BO54" i="12"/>
  <c r="BP54" i="12"/>
  <c r="BF29" i="12"/>
  <c r="BG29" i="12"/>
  <c r="BI27" i="12"/>
  <c r="BJ27" i="12" s="1"/>
  <c r="BK27" i="12" s="1"/>
  <c r="BL27" i="12" s="1"/>
  <c r="BW26" i="12"/>
  <c r="BF10" i="12"/>
  <c r="BG10" i="12"/>
  <c r="BW6" i="12"/>
  <c r="L46" i="12"/>
  <c r="L44" i="12"/>
  <c r="L35" i="12"/>
  <c r="L34" i="12"/>
  <c r="L33" i="12"/>
  <c r="L24" i="12"/>
  <c r="L22" i="12"/>
  <c r="L20" i="12"/>
  <c r="L55" i="12"/>
  <c r="L31" i="12"/>
  <c r="L29" i="12"/>
  <c r="L27" i="12"/>
  <c r="L19" i="12"/>
  <c r="L17" i="12"/>
  <c r="L15" i="12"/>
  <c r="L13" i="12"/>
  <c r="L11" i="12"/>
  <c r="L36" i="12"/>
  <c r="L53" i="12"/>
  <c r="L9" i="12"/>
  <c r="L23" i="12"/>
  <c r="L8" i="12"/>
  <c r="L7" i="12"/>
  <c r="L38" i="12"/>
  <c r="L5" i="12"/>
  <c r="L21" i="12"/>
  <c r="BP55" i="11"/>
  <c r="BO55" i="11"/>
  <c r="BW12" i="11"/>
  <c r="BP42" i="12"/>
  <c r="BO42" i="12"/>
  <c r="BR41" i="12"/>
  <c r="BS41" i="12" s="1"/>
  <c r="BT41" i="12" s="1"/>
  <c r="BU41" i="12" s="1"/>
  <c r="L32" i="12"/>
  <c r="BI18" i="12"/>
  <c r="BJ18" i="12" s="1"/>
  <c r="BK18" i="12" s="1"/>
  <c r="BL18" i="12" s="1"/>
  <c r="L56" i="11"/>
  <c r="L52" i="11"/>
  <c r="L51" i="11"/>
  <c r="L46" i="11"/>
  <c r="L44" i="11"/>
  <c r="L42" i="11"/>
  <c r="L40" i="11"/>
  <c r="L38" i="11"/>
  <c r="L36" i="11"/>
  <c r="L16" i="11"/>
  <c r="L14" i="11"/>
  <c r="L4" i="11"/>
  <c r="L54" i="11"/>
  <c r="L26" i="11"/>
  <c r="L20" i="11"/>
  <c r="L24" i="11"/>
  <c r="L30" i="11"/>
  <c r="L22" i="11"/>
  <c r="L49" i="11"/>
  <c r="L41" i="11"/>
  <c r="L17" i="11"/>
  <c r="L13" i="11"/>
  <c r="L45" i="11"/>
  <c r="L33" i="11"/>
  <c r="L15" i="11"/>
  <c r="L28" i="11"/>
  <c r="L11" i="11"/>
  <c r="L8" i="11"/>
  <c r="BF51" i="11"/>
  <c r="BG51" i="11"/>
  <c r="BF45" i="11"/>
  <c r="BG45" i="11"/>
  <c r="L35" i="11"/>
  <c r="BF25" i="11"/>
  <c r="BG25" i="11"/>
  <c r="BR14" i="11"/>
  <c r="BS14" i="11" s="1"/>
  <c r="BT14" i="11" s="1"/>
  <c r="BU14" i="11" s="1"/>
  <c r="BF11" i="11"/>
  <c r="BG11" i="11"/>
  <c r="L33" i="10"/>
  <c r="BQ69" i="12"/>
  <c r="BR31" i="11"/>
  <c r="BS31" i="11" s="1"/>
  <c r="BT31" i="11" s="1"/>
  <c r="BU31" i="11" s="1"/>
  <c r="BF23" i="11"/>
  <c r="BG23" i="11"/>
  <c r="L6" i="11"/>
  <c r="BF40" i="12"/>
  <c r="BG40" i="12"/>
  <c r="BI38" i="11"/>
  <c r="BJ38" i="11" s="1"/>
  <c r="BK38" i="11" s="1"/>
  <c r="BL38" i="11" s="1"/>
  <c r="BQ69" i="11"/>
  <c r="BR4" i="11"/>
  <c r="BI51" i="10"/>
  <c r="BJ51" i="10" s="1"/>
  <c r="BK51" i="10" s="1"/>
  <c r="BL51" i="10" s="1"/>
  <c r="L50" i="10"/>
  <c r="L44" i="10"/>
  <c r="L42" i="10"/>
  <c r="BI40" i="10"/>
  <c r="BJ40" i="10" s="1"/>
  <c r="BK40" i="10" s="1"/>
  <c r="BL40" i="10" s="1"/>
  <c r="BC34" i="10"/>
  <c r="L24" i="10"/>
  <c r="BW30" i="9"/>
  <c r="L57" i="11"/>
  <c r="BF53" i="11"/>
  <c r="BG53" i="11"/>
  <c r="BO47" i="11"/>
  <c r="BP47" i="11"/>
  <c r="BP37" i="11"/>
  <c r="BO37" i="11"/>
  <c r="L29" i="11"/>
  <c r="BI23" i="11"/>
  <c r="BJ23" i="11" s="1"/>
  <c r="BK23" i="11" s="1"/>
  <c r="BL23" i="11" s="1"/>
  <c r="BG40" i="10"/>
  <c r="BF40" i="10"/>
  <c r="BI38" i="10"/>
  <c r="BJ38" i="10" s="1"/>
  <c r="BK38" i="10" s="1"/>
  <c r="BL38" i="10" s="1"/>
  <c r="BZ69" i="12"/>
  <c r="L18" i="11"/>
  <c r="L7" i="11"/>
  <c r="L55" i="10"/>
  <c r="BF40" i="9"/>
  <c r="BG40" i="9"/>
  <c r="BF36" i="9"/>
  <c r="BG36" i="9"/>
  <c r="BF27" i="9"/>
  <c r="BG27" i="9"/>
  <c r="BG21" i="9"/>
  <c r="BF21" i="9"/>
  <c r="BO16" i="9"/>
  <c r="BP16" i="9"/>
  <c r="BF12" i="9"/>
  <c r="BG12" i="9"/>
  <c r="BG37" i="8"/>
  <c r="BF37" i="8"/>
  <c r="BA64" i="8"/>
  <c r="BA65" i="8"/>
  <c r="BH54" i="7"/>
  <c r="BI54" i="7" s="1"/>
  <c r="BJ54" i="7" s="1"/>
  <c r="BK54" i="7" s="1"/>
  <c r="BL54" i="7" s="1"/>
  <c r="BF54" i="7"/>
  <c r="BG54" i="7"/>
  <c r="BR11" i="11"/>
  <c r="BS11" i="11" s="1"/>
  <c r="BT11" i="11" s="1"/>
  <c r="BU11" i="11" s="1"/>
  <c r="BO36" i="10"/>
  <c r="BP36" i="10"/>
  <c r="BP26" i="10"/>
  <c r="BO26" i="10"/>
  <c r="BO17" i="10"/>
  <c r="BP17" i="10"/>
  <c r="BQ17" i="10"/>
  <c r="BR17" i="10" s="1"/>
  <c r="BS17" i="10" s="1"/>
  <c r="BT17" i="10" s="1"/>
  <c r="BU17" i="10" s="1"/>
  <c r="L6" i="10"/>
  <c r="L4" i="10"/>
  <c r="BW53" i="9"/>
  <c r="BO46" i="9"/>
  <c r="BP46" i="9"/>
  <c r="BW42" i="9"/>
  <c r="BP32" i="9"/>
  <c r="BO32" i="9"/>
  <c r="BW18" i="9"/>
  <c r="BF10" i="9"/>
  <c r="BG10" i="9"/>
  <c r="BW4" i="9"/>
  <c r="BO53" i="8"/>
  <c r="BP53" i="8"/>
  <c r="BF46" i="8"/>
  <c r="BG46" i="8"/>
  <c r="BO42" i="8"/>
  <c r="BP42" i="8"/>
  <c r="BI20" i="11"/>
  <c r="BJ20" i="11" s="1"/>
  <c r="BK20" i="11" s="1"/>
  <c r="BL20" i="11" s="1"/>
  <c r="BO8" i="11"/>
  <c r="BP8" i="11"/>
  <c r="L5" i="11"/>
  <c r="BG54" i="10"/>
  <c r="BF54" i="10"/>
  <c r="BH54" i="10"/>
  <c r="BI54" i="10" s="1"/>
  <c r="BJ54" i="10" s="1"/>
  <c r="BK54" i="10" s="1"/>
  <c r="BL54" i="10" s="1"/>
  <c r="BR53" i="10"/>
  <c r="BS53" i="10" s="1"/>
  <c r="BT53" i="10" s="1"/>
  <c r="BU53" i="10" s="1"/>
  <c r="BR25" i="11"/>
  <c r="BS25" i="11" s="1"/>
  <c r="BT25" i="11" s="1"/>
  <c r="BU25" i="11" s="1"/>
  <c r="L30" i="10"/>
  <c r="L20" i="10"/>
  <c r="BP27" i="11"/>
  <c r="BO27" i="11"/>
  <c r="BO21" i="11"/>
  <c r="BP21" i="11"/>
  <c r="L22" i="10"/>
  <c r="BG11" i="10"/>
  <c r="BF11" i="10"/>
  <c r="BO9" i="10"/>
  <c r="BP9" i="10"/>
  <c r="BR55" i="9"/>
  <c r="BS55" i="9" s="1"/>
  <c r="BT55" i="9" s="1"/>
  <c r="BU55" i="9" s="1"/>
  <c r="BP55" i="9"/>
  <c r="BO55" i="9"/>
  <c r="BW44" i="9"/>
  <c r="BR42" i="9"/>
  <c r="BS42" i="9" s="1"/>
  <c r="BT42" i="9" s="1"/>
  <c r="BU42" i="9" s="1"/>
  <c r="BR38" i="9"/>
  <c r="BS38" i="9" s="1"/>
  <c r="BT38" i="9" s="1"/>
  <c r="BU38" i="9" s="1"/>
  <c r="BI36" i="9"/>
  <c r="BJ36" i="9" s="1"/>
  <c r="BK36" i="9" s="1"/>
  <c r="BL36" i="9" s="1"/>
  <c r="BR27" i="9"/>
  <c r="BS27" i="9" s="1"/>
  <c r="BT27" i="9" s="1"/>
  <c r="BU27" i="9" s="1"/>
  <c r="BO13" i="10"/>
  <c r="BP13" i="10"/>
  <c r="BW14" i="9"/>
  <c r="BP51" i="10"/>
  <c r="BO51" i="10"/>
  <c r="L22" i="9"/>
  <c r="L20" i="9"/>
  <c r="L52" i="9"/>
  <c r="L48" i="9"/>
  <c r="L41" i="9"/>
  <c r="L37" i="9"/>
  <c r="L34" i="9"/>
  <c r="L32" i="9"/>
  <c r="L17" i="9"/>
  <c r="L13" i="9"/>
  <c r="L54" i="9"/>
  <c r="L47" i="9"/>
  <c r="L43" i="9"/>
  <c r="L39" i="9"/>
  <c r="L11" i="9"/>
  <c r="L8" i="9"/>
  <c r="L5" i="9"/>
  <c r="L56" i="9"/>
  <c r="L45" i="9"/>
  <c r="L31" i="9"/>
  <c r="L27" i="9"/>
  <c r="L25" i="9"/>
  <c r="L23" i="9"/>
  <c r="L35" i="9"/>
  <c r="L15" i="9"/>
  <c r="L29" i="9"/>
  <c r="L7" i="9"/>
  <c r="BF7" i="9"/>
  <c r="BH7" i="9"/>
  <c r="BI7" i="9" s="1"/>
  <c r="BJ7" i="9" s="1"/>
  <c r="BK7" i="9" s="1"/>
  <c r="BL7" i="9" s="1"/>
  <c r="BG7" i="9"/>
  <c r="BP6" i="9"/>
  <c r="BO6" i="9"/>
  <c r="BR42" i="8"/>
  <c r="BS42" i="8" s="1"/>
  <c r="BT42" i="8" s="1"/>
  <c r="BU42" i="8" s="1"/>
  <c r="BI37" i="8"/>
  <c r="BJ37" i="8" s="1"/>
  <c r="BK37" i="8" s="1"/>
  <c r="BL37" i="8" s="1"/>
  <c r="BI26" i="8"/>
  <c r="BJ26" i="8" s="1"/>
  <c r="BK26" i="8" s="1"/>
  <c r="BL26" i="8" s="1"/>
  <c r="L18" i="8"/>
  <c r="L50" i="9"/>
  <c r="L50" i="8"/>
  <c r="BO30" i="8"/>
  <c r="BP30" i="8"/>
  <c r="BP26" i="8"/>
  <c r="BO26" i="8"/>
  <c r="BO20" i="8"/>
  <c r="BP20" i="8"/>
  <c r="BO18" i="8"/>
  <c r="BP18" i="8"/>
  <c r="BR9" i="11"/>
  <c r="BS9" i="11" s="1"/>
  <c r="BT9" i="11" s="1"/>
  <c r="BU9" i="11" s="1"/>
  <c r="BG38" i="8"/>
  <c r="BF38" i="8"/>
  <c r="BC6" i="10"/>
  <c r="BC7" i="10"/>
  <c r="BO51" i="8"/>
  <c r="BP51" i="8"/>
  <c r="BP14" i="8"/>
  <c r="BO14" i="8"/>
  <c r="BO10" i="8"/>
  <c r="BP10" i="8"/>
  <c r="L6" i="8"/>
  <c r="BR48" i="7"/>
  <c r="BS48" i="7" s="1"/>
  <c r="BT48" i="7" s="1"/>
  <c r="BU48" i="7" s="1"/>
  <c r="BP30" i="7"/>
  <c r="BO30" i="7"/>
  <c r="BG23" i="7"/>
  <c r="BF23" i="7"/>
  <c r="BQ69" i="7"/>
  <c r="BR4" i="7"/>
  <c r="BO33" i="8"/>
  <c r="BQ33" i="8"/>
  <c r="BR33" i="8" s="1"/>
  <c r="BS33" i="8" s="1"/>
  <c r="BT33" i="8" s="1"/>
  <c r="BU33" i="8" s="1"/>
  <c r="BP33" i="8"/>
  <c r="CB4" i="8"/>
  <c r="CA69" i="8"/>
  <c r="BI30" i="7"/>
  <c r="BJ30" i="7" s="1"/>
  <c r="BK30" i="7" s="1"/>
  <c r="BL30" i="7" s="1"/>
  <c r="BI27" i="7"/>
  <c r="BJ27" i="7" s="1"/>
  <c r="BK27" i="7" s="1"/>
  <c r="BL27" i="7" s="1"/>
  <c r="BA65" i="7"/>
  <c r="BA64" i="7"/>
  <c r="L55" i="8"/>
  <c r="L48" i="8"/>
  <c r="BF44" i="8"/>
  <c r="BH44" i="8"/>
  <c r="BI44" i="8" s="1"/>
  <c r="BJ44" i="8" s="1"/>
  <c r="BK44" i="8" s="1"/>
  <c r="BL44" i="8" s="1"/>
  <c r="BG44" i="8"/>
  <c r="BR10" i="8"/>
  <c r="BS10" i="8" s="1"/>
  <c r="BT10" i="8" s="1"/>
  <c r="BU10" i="8" s="1"/>
  <c r="BF40" i="7"/>
  <c r="BG40" i="7"/>
  <c r="L28" i="7"/>
  <c r="BP40" i="8"/>
  <c r="BO40" i="8"/>
  <c r="BI52" i="7"/>
  <c r="BJ52" i="7" s="1"/>
  <c r="BK52" i="7" s="1"/>
  <c r="BL52" i="7" s="1"/>
  <c r="BO33" i="7"/>
  <c r="BP33" i="7"/>
  <c r="BQ33" i="7"/>
  <c r="BR33" i="7" s="1"/>
  <c r="BS33" i="7" s="1"/>
  <c r="BT33" i="7" s="1"/>
  <c r="BU33" i="7" s="1"/>
  <c r="BI26" i="7"/>
  <c r="BJ26" i="7" s="1"/>
  <c r="BK26" i="7" s="1"/>
  <c r="BL26" i="7" s="1"/>
  <c r="BP26" i="7"/>
  <c r="BO26" i="7"/>
  <c r="BR24" i="7"/>
  <c r="BS24" i="7" s="1"/>
  <c r="BT24" i="7" s="1"/>
  <c r="BU24" i="7" s="1"/>
  <c r="U60" i="7"/>
  <c r="BP53" i="6"/>
  <c r="BO53" i="6"/>
  <c r="BI49" i="6"/>
  <c r="BJ49" i="6" s="1"/>
  <c r="BK49" i="6" s="1"/>
  <c r="BL49" i="6" s="1"/>
  <c r="BW43" i="6"/>
  <c r="BO40" i="6"/>
  <c r="BP40" i="6"/>
  <c r="BI39" i="6"/>
  <c r="BJ39" i="6" s="1"/>
  <c r="BK39" i="6" s="1"/>
  <c r="BL39" i="6" s="1"/>
  <c r="BG35" i="6"/>
  <c r="BF35" i="6"/>
  <c r="BH15" i="6"/>
  <c r="BI15" i="6" s="1"/>
  <c r="BJ15" i="6" s="1"/>
  <c r="BK15" i="6" s="1"/>
  <c r="BL15" i="6" s="1"/>
  <c r="BG15" i="6"/>
  <c r="BF15" i="6"/>
  <c r="BW5" i="6"/>
  <c r="BO55" i="7"/>
  <c r="BP55" i="7"/>
  <c r="L38" i="7"/>
  <c r="BR35" i="7"/>
  <c r="BS35" i="7" s="1"/>
  <c r="BT35" i="7" s="1"/>
  <c r="BU35" i="7" s="1"/>
  <c r="L20" i="7"/>
  <c r="L19" i="7"/>
  <c r="BP54" i="6"/>
  <c r="BO54" i="6"/>
  <c r="BO47" i="6"/>
  <c r="BP47" i="6"/>
  <c r="BP44" i="6"/>
  <c r="BO44" i="6"/>
  <c r="BF29" i="7"/>
  <c r="BG29" i="7"/>
  <c r="L24" i="7"/>
  <c r="BW46" i="6"/>
  <c r="BW45" i="6"/>
  <c r="BR46" i="8"/>
  <c r="BS46" i="8" s="1"/>
  <c r="BT46" i="8" s="1"/>
  <c r="BU46" i="8" s="1"/>
  <c r="BQ60" i="8"/>
  <c r="L22" i="7"/>
  <c r="BW56" i="6"/>
  <c r="BG52" i="6"/>
  <c r="BF52" i="6"/>
  <c r="BG42" i="6"/>
  <c r="BF42" i="6"/>
  <c r="BP36" i="6"/>
  <c r="BO36" i="6"/>
  <c r="AM32" i="6"/>
  <c r="BI30" i="6"/>
  <c r="BJ30" i="6" s="1"/>
  <c r="BK30" i="6" s="1"/>
  <c r="BL30" i="6" s="1"/>
  <c r="BG12" i="6"/>
  <c r="BF12" i="6"/>
  <c r="BF10" i="6"/>
  <c r="BG10" i="6"/>
  <c r="BO6" i="6"/>
  <c r="BP6" i="6"/>
  <c r="AN57" i="8"/>
  <c r="AM54" i="6"/>
  <c r="AM54" i="10"/>
  <c r="AM53" i="7"/>
  <c r="AM53" i="11"/>
  <c r="AO52" i="8"/>
  <c r="AP52" i="8" s="1"/>
  <c r="AM52" i="8"/>
  <c r="AM52" i="12"/>
  <c r="AM51" i="7"/>
  <c r="AM50" i="6"/>
  <c r="AM50" i="10"/>
  <c r="AN47" i="8"/>
  <c r="AN47" i="12"/>
  <c r="AM46" i="9"/>
  <c r="AO46" i="9"/>
  <c r="AM45" i="6"/>
  <c r="AM45" i="7"/>
  <c r="AN37" i="8"/>
  <c r="AN32" i="6"/>
  <c r="AO31" i="8"/>
  <c r="AM31" i="8"/>
  <c r="AM31" i="12"/>
  <c r="AM25" i="7"/>
  <c r="AM25" i="10"/>
  <c r="AM24" i="8"/>
  <c r="AO24" i="8"/>
  <c r="AM24" i="12"/>
  <c r="AN18" i="7"/>
  <c r="AN17" i="8"/>
  <c r="AN17" i="12"/>
  <c r="AN15" i="7"/>
  <c r="AM12" i="10"/>
  <c r="AM11" i="7"/>
  <c r="AM11" i="11"/>
  <c r="AN8" i="8"/>
  <c r="AO7" i="8"/>
  <c r="AM7" i="8"/>
  <c r="AO6" i="8"/>
  <c r="AM6" i="8"/>
  <c r="AM6" i="11"/>
  <c r="AM5" i="8"/>
  <c r="AO5" i="8"/>
  <c r="AP5" i="8" s="1"/>
  <c r="AM5" i="12"/>
  <c r="AL60" i="10"/>
  <c r="AO44" i="10" s="1"/>
  <c r="AP44" i="10" s="1"/>
  <c r="AM4" i="10"/>
  <c r="AL69" i="10"/>
  <c r="BF18" i="6"/>
  <c r="BG18" i="6"/>
  <c r="BW8" i="6"/>
  <c r="BQ69" i="6"/>
  <c r="AN54" i="8"/>
  <c r="AN54" i="12"/>
  <c r="AN53" i="7"/>
  <c r="AN52" i="7"/>
  <c r="AN52" i="10"/>
  <c r="AN51" i="7"/>
  <c r="AN51" i="10"/>
  <c r="AN50" i="8"/>
  <c r="AN50" i="12"/>
  <c r="AM49" i="7"/>
  <c r="AN46" i="6"/>
  <c r="AN46" i="7"/>
  <c r="AN45" i="7"/>
  <c r="AN45" i="10"/>
  <c r="AM44" i="8"/>
  <c r="AO44" i="8"/>
  <c r="AM44" i="12"/>
  <c r="AO43" i="8"/>
  <c r="AP43" i="8" s="1"/>
  <c r="AM43" i="8"/>
  <c r="AM42" i="6"/>
  <c r="AM42" i="10"/>
  <c r="AO42" i="10"/>
  <c r="AP42" i="10" s="1"/>
  <c r="AM41" i="7"/>
  <c r="AM41" i="11"/>
  <c r="AM40" i="8"/>
  <c r="AO40" i="8"/>
  <c r="AP40" i="8" s="1"/>
  <c r="AM40" i="12"/>
  <c r="AN31" i="8"/>
  <c r="AM30" i="6"/>
  <c r="AM30" i="9"/>
  <c r="AO30" i="9"/>
  <c r="AP30" i="9" s="1"/>
  <c r="AO29" i="8"/>
  <c r="AM29" i="8"/>
  <c r="AM29" i="11"/>
  <c r="AN25" i="6"/>
  <c r="AN25" i="9"/>
  <c r="AN24" i="7"/>
  <c r="AN24" i="11"/>
  <c r="AO23" i="9"/>
  <c r="AP23" i="9" s="1"/>
  <c r="AM23" i="9"/>
  <c r="AM23" i="12"/>
  <c r="AM22" i="10"/>
  <c r="AO22" i="10"/>
  <c r="AN12" i="8"/>
  <c r="AN11" i="6"/>
  <c r="AN11" i="11"/>
  <c r="AM10" i="7"/>
  <c r="AM10" i="11"/>
  <c r="AN7" i="8"/>
  <c r="AN7" i="12"/>
  <c r="AN6" i="8"/>
  <c r="AN5" i="8"/>
  <c r="AN5" i="10"/>
  <c r="AK60" i="7"/>
  <c r="AK69" i="7"/>
  <c r="AN4" i="7"/>
  <c r="AK60" i="8"/>
  <c r="AK69" i="8"/>
  <c r="AN4" i="8"/>
  <c r="BW39" i="6"/>
  <c r="AN30" i="6"/>
  <c r="BI28" i="6"/>
  <c r="BJ28" i="6" s="1"/>
  <c r="BK28" i="6" s="1"/>
  <c r="BL28" i="6" s="1"/>
  <c r="BN60" i="6"/>
  <c r="BN69" i="6"/>
  <c r="BP4" i="6"/>
  <c r="BO4" i="6"/>
  <c r="AN49" i="9"/>
  <c r="AM48" i="6"/>
  <c r="AM48" i="10"/>
  <c r="AO48" i="10"/>
  <c r="AP48" i="10" s="1"/>
  <c r="AN44" i="7"/>
  <c r="AN44" i="11"/>
  <c r="AN43" i="12"/>
  <c r="AN43" i="11"/>
  <c r="AN42" i="7"/>
  <c r="AN41" i="7"/>
  <c r="AN41" i="10"/>
  <c r="AN40" i="7"/>
  <c r="AN40" i="11"/>
  <c r="AO39" i="8"/>
  <c r="AP39" i="8" s="1"/>
  <c r="AM39" i="8"/>
  <c r="AM39" i="12"/>
  <c r="AN30" i="10"/>
  <c r="AN29" i="8"/>
  <c r="AM28" i="7"/>
  <c r="AM28" i="11"/>
  <c r="AM27" i="9"/>
  <c r="AO27" i="9"/>
  <c r="AP27" i="9" s="1"/>
  <c r="AN23" i="6"/>
  <c r="AN23" i="10"/>
  <c r="AN22" i="6"/>
  <c r="AN22" i="11"/>
  <c r="AO21" i="9"/>
  <c r="AP21" i="9" s="1"/>
  <c r="AM21" i="9"/>
  <c r="AM21" i="12"/>
  <c r="AO20" i="8"/>
  <c r="AP20" i="8" s="1"/>
  <c r="AM20" i="8"/>
  <c r="AM19" i="7"/>
  <c r="AM19" i="12"/>
  <c r="AN10" i="10"/>
  <c r="AO9" i="8"/>
  <c r="AP9" i="8" s="1"/>
  <c r="AM9" i="8"/>
  <c r="AM9" i="11"/>
  <c r="BJ4" i="6"/>
  <c r="AM57" i="6"/>
  <c r="AM57" i="11"/>
  <c r="AM56" i="7"/>
  <c r="AM56" i="11"/>
  <c r="AM55" i="8"/>
  <c r="AO55" i="8"/>
  <c r="AP55" i="8" s="1"/>
  <c r="AM55" i="11"/>
  <c r="AN48" i="7"/>
  <c r="AM47" i="6"/>
  <c r="AO47" i="10"/>
  <c r="AM47" i="10"/>
  <c r="AN39" i="8"/>
  <c r="AN39" i="12"/>
  <c r="AM38" i="10"/>
  <c r="AO38" i="10"/>
  <c r="AP38" i="10" s="1"/>
  <c r="AM37" i="11"/>
  <c r="AO37" i="10"/>
  <c r="AP37" i="10" s="1"/>
  <c r="AM37" i="10"/>
  <c r="AM36" i="10"/>
  <c r="AO36" i="10"/>
  <c r="AP36" i="10" s="1"/>
  <c r="AM35" i="6"/>
  <c r="AM35" i="11"/>
  <c r="AO34" i="9"/>
  <c r="AP34" i="9" s="1"/>
  <c r="AM34" i="9"/>
  <c r="AM34" i="11"/>
  <c r="AM33" i="7"/>
  <c r="AM33" i="12"/>
  <c r="AO32" i="10"/>
  <c r="AP32" i="10" s="1"/>
  <c r="AM32" i="10"/>
  <c r="AN28" i="8"/>
  <c r="AN28" i="12"/>
  <c r="AN27" i="8"/>
  <c r="AM26" i="6"/>
  <c r="AO26" i="9"/>
  <c r="AM26" i="9"/>
  <c r="AN21" i="10"/>
  <c r="AN20" i="6"/>
  <c r="AN20" i="11"/>
  <c r="AN19" i="7"/>
  <c r="AN19" i="11"/>
  <c r="AM18" i="9"/>
  <c r="AO18" i="9"/>
  <c r="AP18" i="9" s="1"/>
  <c r="AM17" i="6"/>
  <c r="AO17" i="9"/>
  <c r="AM17" i="9"/>
  <c r="AO16" i="8"/>
  <c r="AP16" i="8" s="1"/>
  <c r="AM16" i="8"/>
  <c r="AM16" i="12"/>
  <c r="AM15" i="10"/>
  <c r="AO15" i="10"/>
  <c r="AP15" i="10" s="1"/>
  <c r="AO14" i="8"/>
  <c r="AP14" i="8" s="1"/>
  <c r="AM14" i="8"/>
  <c r="AM14" i="11"/>
  <c r="AM13" i="11"/>
  <c r="AM13" i="12"/>
  <c r="AN9" i="6"/>
  <c r="AN9" i="9"/>
  <c r="AM8" i="7"/>
  <c r="AM8" i="11"/>
  <c r="D69" i="8"/>
  <c r="D69" i="12"/>
  <c r="H53" i="4"/>
  <c r="G53" i="4"/>
  <c r="E64" i="1"/>
  <c r="AM6" i="6"/>
  <c r="T84" i="3"/>
  <c r="U41" i="3"/>
  <c r="T88" i="3"/>
  <c r="T90" i="3" s="1"/>
  <c r="T69" i="3"/>
  <c r="V41" i="3"/>
  <c r="L62" i="2"/>
  <c r="L48" i="2"/>
  <c r="AL60" i="6"/>
  <c r="AO33" i="6" s="1"/>
  <c r="AP33" i="6" s="1"/>
  <c r="AD85" i="3"/>
  <c r="AD86" i="3" s="1"/>
  <c r="AD47" i="3" s="1"/>
  <c r="AE21" i="3"/>
  <c r="L66" i="2"/>
  <c r="AD41" i="3"/>
  <c r="AE30" i="3"/>
  <c r="L60" i="2"/>
  <c r="BW30" i="12"/>
  <c r="BO18" i="12"/>
  <c r="BP18" i="12"/>
  <c r="BO7" i="12"/>
  <c r="BQ7" i="12"/>
  <c r="BR7" i="12" s="1"/>
  <c r="BS7" i="12" s="1"/>
  <c r="BT7" i="12" s="1"/>
  <c r="BU7" i="12" s="1"/>
  <c r="BP7" i="12"/>
  <c r="BW10" i="11"/>
  <c r="BF52" i="12"/>
  <c r="BG52" i="12"/>
  <c r="BO39" i="11"/>
  <c r="BP39" i="11"/>
  <c r="BW28" i="9"/>
  <c r="BF20" i="9"/>
  <c r="BG20" i="9"/>
  <c r="CA69" i="12"/>
  <c r="CB4" i="12"/>
  <c r="BP32" i="11"/>
  <c r="BO32" i="11"/>
  <c r="BQ7" i="11"/>
  <c r="BR7" i="11" s="1"/>
  <c r="BS7" i="11" s="1"/>
  <c r="BT7" i="11" s="1"/>
  <c r="BU7" i="11" s="1"/>
  <c r="BP7" i="11"/>
  <c r="BO7" i="11"/>
  <c r="BF38" i="10"/>
  <c r="BG38" i="10"/>
  <c r="BW26" i="9"/>
  <c r="BW16" i="9"/>
  <c r="BW9" i="9"/>
  <c r="BF56" i="7"/>
  <c r="BG56" i="7"/>
  <c r="BW36" i="10"/>
  <c r="BW26" i="10"/>
  <c r="BW17" i="10"/>
  <c r="BN69" i="10"/>
  <c r="BN60" i="10"/>
  <c r="BO4" i="10"/>
  <c r="BO69" i="10" s="1"/>
  <c r="BP4" i="10"/>
  <c r="BO53" i="9"/>
  <c r="BP53" i="9"/>
  <c r="BO42" i="9"/>
  <c r="BP42" i="9"/>
  <c r="BF9" i="9"/>
  <c r="BG9" i="9"/>
  <c r="BW53" i="8"/>
  <c r="BW42" i="8"/>
  <c r="BG5" i="11"/>
  <c r="BF5" i="11"/>
  <c r="BF46" i="10"/>
  <c r="BG46" i="10"/>
  <c r="BC32" i="11"/>
  <c r="BC34" i="11"/>
  <c r="BP22" i="10"/>
  <c r="BO22" i="10"/>
  <c r="BO44" i="9"/>
  <c r="BP44" i="9"/>
  <c r="L51" i="8"/>
  <c r="BF6" i="8"/>
  <c r="BG6" i="8"/>
  <c r="BW46" i="7"/>
  <c r="BG25" i="7"/>
  <c r="BF25" i="7"/>
  <c r="BC7" i="7"/>
  <c r="BC6" i="7"/>
  <c r="L33" i="8"/>
  <c r="BW53" i="7"/>
  <c r="BG42" i="7"/>
  <c r="BF42" i="7"/>
  <c r="BF69" i="7" s="1"/>
  <c r="BP32" i="7"/>
  <c r="BO32" i="7"/>
  <c r="BW9" i="7"/>
  <c r="BG37" i="6"/>
  <c r="BF37" i="6"/>
  <c r="BW27" i="7"/>
  <c r="BP56" i="6"/>
  <c r="BO56" i="6"/>
  <c r="BW36" i="6"/>
  <c r="AM53" i="9"/>
  <c r="AO53" i="9"/>
  <c r="AP53" i="9" s="1"/>
  <c r="AM51" i="11"/>
  <c r="AM50" i="12"/>
  <c r="AM46" i="7"/>
  <c r="AM45" i="12"/>
  <c r="AO25" i="8"/>
  <c r="AP25" i="8" s="1"/>
  <c r="AM25" i="8"/>
  <c r="AM24" i="10"/>
  <c r="AO24" i="10"/>
  <c r="AP24" i="10" s="1"/>
  <c r="AM6" i="9"/>
  <c r="AO6" i="9"/>
  <c r="AL60" i="12"/>
  <c r="AO48" i="12" s="1"/>
  <c r="AP48" i="12" s="1"/>
  <c r="AL69" i="12"/>
  <c r="AM4" i="12"/>
  <c r="AO19" i="6"/>
  <c r="AP19" i="6" s="1"/>
  <c r="AM19" i="6"/>
  <c r="BR69" i="6"/>
  <c r="BS4" i="6"/>
  <c r="AN24" i="10"/>
  <c r="BW43" i="12"/>
  <c r="BW37" i="12"/>
  <c r="BW56" i="12"/>
  <c r="BO27" i="12"/>
  <c r="BP27" i="12"/>
  <c r="BN69" i="12"/>
  <c r="BN60" i="12"/>
  <c r="BO4" i="12"/>
  <c r="BP4" i="12"/>
  <c r="BF55" i="11"/>
  <c r="BG55" i="11"/>
  <c r="BO34" i="11"/>
  <c r="BP34" i="11"/>
  <c r="BO13" i="11"/>
  <c r="BP13" i="11"/>
  <c r="BG33" i="10"/>
  <c r="BF33" i="10"/>
  <c r="BO52" i="12"/>
  <c r="BP52" i="12"/>
  <c r="BQ60" i="12"/>
  <c r="BW37" i="11"/>
  <c r="BI4" i="11"/>
  <c r="BO34" i="10"/>
  <c r="BP34" i="10"/>
  <c r="BW53" i="11"/>
  <c r="G79" i="14"/>
  <c r="G69" i="14"/>
  <c r="BI56" i="12"/>
  <c r="BJ56" i="12" s="1"/>
  <c r="BK56" i="12" s="1"/>
  <c r="BL56" i="12" s="1"/>
  <c r="BO43" i="12"/>
  <c r="BP43" i="12"/>
  <c r="BG41" i="12"/>
  <c r="BF41" i="12"/>
  <c r="BW51" i="12"/>
  <c r="BO47" i="12"/>
  <c r="BP47" i="12"/>
  <c r="BI49" i="12"/>
  <c r="BJ49" i="12" s="1"/>
  <c r="BK49" i="12" s="1"/>
  <c r="BL49" i="12" s="1"/>
  <c r="BI37" i="12"/>
  <c r="BJ37" i="12" s="1"/>
  <c r="BK37" i="12" s="1"/>
  <c r="BL37" i="12" s="1"/>
  <c r="BI35" i="12"/>
  <c r="BJ35" i="12" s="1"/>
  <c r="BK35" i="12" s="1"/>
  <c r="BL35" i="12" s="1"/>
  <c r="BF30" i="12"/>
  <c r="BG30" i="12"/>
  <c r="BF20" i="12"/>
  <c r="BG20" i="12"/>
  <c r="BG50" i="12"/>
  <c r="BF50" i="12"/>
  <c r="BW39" i="12"/>
  <c r="BF18" i="12"/>
  <c r="BG18" i="12"/>
  <c r="BF16" i="12"/>
  <c r="BG16" i="12"/>
  <c r="BF14" i="12"/>
  <c r="BG14" i="12"/>
  <c r="BF12" i="12"/>
  <c r="BG12" i="12"/>
  <c r="BR10" i="12"/>
  <c r="BS10" i="12" s="1"/>
  <c r="BT10" i="12" s="1"/>
  <c r="BU10" i="12" s="1"/>
  <c r="BO56" i="12"/>
  <c r="BP56" i="12"/>
  <c r="BI32" i="12"/>
  <c r="BJ32" i="12" s="1"/>
  <c r="BK32" i="12" s="1"/>
  <c r="BL32" i="12" s="1"/>
  <c r="BI30" i="12"/>
  <c r="BJ30" i="12" s="1"/>
  <c r="BK30" i="12" s="1"/>
  <c r="BL30" i="12" s="1"/>
  <c r="BR29" i="12"/>
  <c r="BS29" i="12" s="1"/>
  <c r="BT29" i="12" s="1"/>
  <c r="BU29" i="12" s="1"/>
  <c r="BO29" i="12"/>
  <c r="BP29" i="12"/>
  <c r="BP10" i="12"/>
  <c r="BO10" i="12"/>
  <c r="U60" i="12"/>
  <c r="BF7" i="12"/>
  <c r="BH7" i="12"/>
  <c r="BI7" i="12" s="1"/>
  <c r="BJ7" i="12" s="1"/>
  <c r="BK7" i="12" s="1"/>
  <c r="BL7" i="12" s="1"/>
  <c r="BG7" i="12"/>
  <c r="BG6" i="12"/>
  <c r="BF6" i="12"/>
  <c r="BW4" i="12"/>
  <c r="BG49" i="11"/>
  <c r="BF49" i="11"/>
  <c r="BG16" i="11"/>
  <c r="BF16" i="11"/>
  <c r="BN69" i="11"/>
  <c r="BN60" i="11"/>
  <c r="BP4" i="11"/>
  <c r="BO4" i="11"/>
  <c r="L42" i="12"/>
  <c r="L60" i="12" s="1"/>
  <c r="BC32" i="12"/>
  <c r="BC34" i="12"/>
  <c r="BF9" i="12"/>
  <c r="BG9" i="12"/>
  <c r="BA65" i="12"/>
  <c r="BA64" i="12"/>
  <c r="BO51" i="11"/>
  <c r="BP51" i="11"/>
  <c r="BC51" i="11"/>
  <c r="BI46" i="11"/>
  <c r="BJ46" i="11" s="1"/>
  <c r="BK46" i="11" s="1"/>
  <c r="BL46" i="11" s="1"/>
  <c r="BO45" i="11"/>
  <c r="BP45" i="11"/>
  <c r="BI42" i="11"/>
  <c r="BJ42" i="11" s="1"/>
  <c r="BK42" i="11" s="1"/>
  <c r="BL42" i="11" s="1"/>
  <c r="L34" i="11"/>
  <c r="BO25" i="11"/>
  <c r="BP25" i="11"/>
  <c r="BI18" i="11"/>
  <c r="BJ18" i="11" s="1"/>
  <c r="BK18" i="11" s="1"/>
  <c r="BL18" i="11" s="1"/>
  <c r="BI12" i="11"/>
  <c r="BJ12" i="11" s="1"/>
  <c r="BK12" i="11" s="1"/>
  <c r="BL12" i="11" s="1"/>
  <c r="BO11" i="11"/>
  <c r="BP11" i="11"/>
  <c r="L52" i="12"/>
  <c r="AG60" i="11"/>
  <c r="BF39" i="11"/>
  <c r="BG39" i="11"/>
  <c r="L31" i="11"/>
  <c r="BO23" i="11"/>
  <c r="BP23" i="11"/>
  <c r="BO40" i="12"/>
  <c r="BP40" i="12"/>
  <c r="BR38" i="11"/>
  <c r="BS38" i="11" s="1"/>
  <c r="BT38" i="11" s="1"/>
  <c r="BU38" i="11" s="1"/>
  <c r="CA4" i="11"/>
  <c r="BZ69" i="11"/>
  <c r="BR51" i="10"/>
  <c r="BS51" i="10" s="1"/>
  <c r="BT51" i="10" s="1"/>
  <c r="BU51" i="10" s="1"/>
  <c r="BF44" i="10"/>
  <c r="BH44" i="10"/>
  <c r="BI44" i="10" s="1"/>
  <c r="BJ44" i="10" s="1"/>
  <c r="BK44" i="10" s="1"/>
  <c r="BL44" i="10" s="1"/>
  <c r="BG44" i="10"/>
  <c r="BF42" i="10"/>
  <c r="BG42" i="10"/>
  <c r="BR40" i="10"/>
  <c r="BS40" i="10" s="1"/>
  <c r="BT40" i="10" s="1"/>
  <c r="BU40" i="10" s="1"/>
  <c r="BI33" i="10"/>
  <c r="BJ33" i="10" s="1"/>
  <c r="BK33" i="10" s="1"/>
  <c r="BL33" i="10" s="1"/>
  <c r="L28" i="10"/>
  <c r="BG24" i="10"/>
  <c r="BF24" i="10"/>
  <c r="BF33" i="9"/>
  <c r="BG33" i="9"/>
  <c r="BF28" i="9"/>
  <c r="BG28" i="9"/>
  <c r="BG25" i="12"/>
  <c r="BF25" i="12"/>
  <c r="BH69" i="12"/>
  <c r="BF57" i="11"/>
  <c r="BG57" i="11"/>
  <c r="BO53" i="11"/>
  <c r="BP53" i="11"/>
  <c r="BR29" i="11"/>
  <c r="BS29" i="11" s="1"/>
  <c r="BT29" i="11" s="1"/>
  <c r="BU29" i="11" s="1"/>
  <c r="BG29" i="11"/>
  <c r="BF29" i="11"/>
  <c r="BR23" i="11"/>
  <c r="BS23" i="11" s="1"/>
  <c r="BT23" i="11" s="1"/>
  <c r="BU23" i="11" s="1"/>
  <c r="BP40" i="10"/>
  <c r="BO40" i="10"/>
  <c r="BG43" i="11"/>
  <c r="BF43" i="11"/>
  <c r="BH43" i="11"/>
  <c r="BI43" i="11" s="1"/>
  <c r="BJ43" i="11" s="1"/>
  <c r="BK43" i="11" s="1"/>
  <c r="BL43" i="11" s="1"/>
  <c r="BH7" i="11"/>
  <c r="BI7" i="11" s="1"/>
  <c r="BJ7" i="11" s="1"/>
  <c r="BK7" i="11" s="1"/>
  <c r="BL7" i="11" s="1"/>
  <c r="BG7" i="11"/>
  <c r="BF7" i="11"/>
  <c r="L52" i="10"/>
  <c r="L38" i="10"/>
  <c r="AG60" i="9"/>
  <c r="BP40" i="9"/>
  <c r="BO40" i="9"/>
  <c r="BO36" i="9"/>
  <c r="BP36" i="9"/>
  <c r="BI28" i="9"/>
  <c r="BJ28" i="9" s="1"/>
  <c r="BK28" i="9" s="1"/>
  <c r="BL28" i="9" s="1"/>
  <c r="BO27" i="9"/>
  <c r="BP27" i="9"/>
  <c r="BW21" i="9"/>
  <c r="BO12" i="9"/>
  <c r="BP12" i="9"/>
  <c r="BR6" i="9"/>
  <c r="BS6" i="9" s="1"/>
  <c r="BT6" i="9" s="1"/>
  <c r="BU6" i="9" s="1"/>
  <c r="L37" i="8"/>
  <c r="BF5" i="8"/>
  <c r="BG5" i="8"/>
  <c r="L54" i="7"/>
  <c r="BI12" i="12"/>
  <c r="BJ12" i="12" s="1"/>
  <c r="BK12" i="12" s="1"/>
  <c r="BL12" i="12" s="1"/>
  <c r="BR48" i="10"/>
  <c r="BS48" i="10" s="1"/>
  <c r="BT48" i="10" s="1"/>
  <c r="BU48" i="10" s="1"/>
  <c r="L15" i="10"/>
  <c r="BI9" i="10"/>
  <c r="BJ9" i="10" s="1"/>
  <c r="BK9" i="10" s="1"/>
  <c r="BL9" i="10" s="1"/>
  <c r="BF6" i="10"/>
  <c r="BG6" i="10"/>
  <c r="BE69" i="10"/>
  <c r="BE60" i="10"/>
  <c r="BF4" i="10"/>
  <c r="BF69" i="10" s="1"/>
  <c r="BG4" i="10"/>
  <c r="BF53" i="9"/>
  <c r="BG53" i="9"/>
  <c r="BF42" i="9"/>
  <c r="BG42" i="9"/>
  <c r="BW38" i="9"/>
  <c r="BI33" i="9"/>
  <c r="BJ33" i="9" s="1"/>
  <c r="BK33" i="9" s="1"/>
  <c r="BL33" i="9" s="1"/>
  <c r="BG18" i="9"/>
  <c r="BF18" i="9"/>
  <c r="BO10" i="9"/>
  <c r="BP10" i="9"/>
  <c r="BE69" i="9"/>
  <c r="BF4" i="9"/>
  <c r="BE60" i="9"/>
  <c r="BG4" i="9"/>
  <c r="BO46" i="8"/>
  <c r="BO69" i="8" s="1"/>
  <c r="BP46" i="8"/>
  <c r="L9" i="11"/>
  <c r="BP54" i="10"/>
  <c r="BO54" i="10"/>
  <c r="L46" i="10"/>
  <c r="BF30" i="10"/>
  <c r="BG30" i="10"/>
  <c r="BF20" i="10"/>
  <c r="BG20" i="10"/>
  <c r="BG22" i="10"/>
  <c r="BF22" i="10"/>
  <c r="BP11" i="10"/>
  <c r="BO11" i="10"/>
  <c r="BR6" i="10"/>
  <c r="BS6" i="10" s="1"/>
  <c r="BT6" i="10" s="1"/>
  <c r="BU6" i="10" s="1"/>
  <c r="BI53" i="9"/>
  <c r="BJ53" i="9" s="1"/>
  <c r="BK53" i="9" s="1"/>
  <c r="BL53" i="9" s="1"/>
  <c r="BW51" i="9"/>
  <c r="BF44" i="9"/>
  <c r="BH44" i="9"/>
  <c r="BI44" i="9" s="1"/>
  <c r="BJ44" i="9" s="1"/>
  <c r="BK44" i="9" s="1"/>
  <c r="BL44" i="9" s="1"/>
  <c r="BG44" i="9"/>
  <c r="BR31" i="9"/>
  <c r="BS31" i="9" s="1"/>
  <c r="BT31" i="9" s="1"/>
  <c r="BU31" i="9" s="1"/>
  <c r="BF57" i="9"/>
  <c r="BG57" i="9"/>
  <c r="BW49" i="9"/>
  <c r="BF14" i="9"/>
  <c r="BG14" i="9"/>
  <c r="BR36" i="9"/>
  <c r="BS36" i="9" s="1"/>
  <c r="BT36" i="9" s="1"/>
  <c r="BU36" i="9" s="1"/>
  <c r="BO7" i="9"/>
  <c r="BQ7" i="9"/>
  <c r="BR7" i="9" s="1"/>
  <c r="BS7" i="9" s="1"/>
  <c r="BT7" i="9" s="1"/>
  <c r="BU7" i="9" s="1"/>
  <c r="BP7" i="9"/>
  <c r="BC6" i="9"/>
  <c r="BC7" i="9"/>
  <c r="L49" i="8"/>
  <c r="BR37" i="8"/>
  <c r="BS37" i="8" s="1"/>
  <c r="BT37" i="8" s="1"/>
  <c r="BU37" i="8" s="1"/>
  <c r="BI18" i="9"/>
  <c r="BJ18" i="9" s="1"/>
  <c r="BK18" i="9" s="1"/>
  <c r="BL18" i="9" s="1"/>
  <c r="BI4" i="9"/>
  <c r="BH69" i="9"/>
  <c r="BH60" i="9"/>
  <c r="BI40" i="8"/>
  <c r="BJ40" i="8" s="1"/>
  <c r="BK40" i="8" s="1"/>
  <c r="BL40" i="8" s="1"/>
  <c r="BI35" i="8"/>
  <c r="BJ35" i="8" s="1"/>
  <c r="BK35" i="8" s="1"/>
  <c r="BL35" i="8" s="1"/>
  <c r="L24" i="8"/>
  <c r="BH69" i="10"/>
  <c r="BH60" i="10"/>
  <c r="BI4" i="10"/>
  <c r="BA64" i="10"/>
  <c r="BA65" i="10"/>
  <c r="BG12" i="8"/>
  <c r="BF12" i="8"/>
  <c r="L57" i="7"/>
  <c r="L36" i="7"/>
  <c r="L23" i="7"/>
  <c r="BH60" i="7"/>
  <c r="BH69" i="7"/>
  <c r="BI4" i="7"/>
  <c r="BG51" i="6"/>
  <c r="BF51" i="6"/>
  <c r="BI5" i="8"/>
  <c r="BJ5" i="8" s="1"/>
  <c r="BK5" i="8" s="1"/>
  <c r="BL5" i="8" s="1"/>
  <c r="BH69" i="8"/>
  <c r="BI37" i="7"/>
  <c r="BJ37" i="7" s="1"/>
  <c r="BK37" i="7" s="1"/>
  <c r="BL37" i="7" s="1"/>
  <c r="BG55" i="8"/>
  <c r="BF55" i="8"/>
  <c r="BO44" i="8"/>
  <c r="BP44" i="8"/>
  <c r="L28" i="8"/>
  <c r="BO40" i="7"/>
  <c r="BP40" i="7"/>
  <c r="BG32" i="7"/>
  <c r="BF32" i="7"/>
  <c r="BG28" i="7"/>
  <c r="BF28" i="7"/>
  <c r="BR52" i="7"/>
  <c r="BS52" i="7" s="1"/>
  <c r="BT52" i="7" s="1"/>
  <c r="BU52" i="7" s="1"/>
  <c r="L31" i="7"/>
  <c r="L26" i="7"/>
  <c r="BN60" i="7"/>
  <c r="BA65" i="6"/>
  <c r="BA64" i="6"/>
  <c r="BR49" i="6"/>
  <c r="BS49" i="6" s="1"/>
  <c r="BT49" i="6" s="1"/>
  <c r="BU49" i="6" s="1"/>
  <c r="BG43" i="6"/>
  <c r="BF43" i="6"/>
  <c r="BH43" i="6"/>
  <c r="BI43" i="6" s="1"/>
  <c r="BJ43" i="6" s="1"/>
  <c r="BK43" i="6" s="1"/>
  <c r="BL43" i="6" s="1"/>
  <c r="BF40" i="6"/>
  <c r="BG40" i="6"/>
  <c r="BW35" i="6"/>
  <c r="BW15" i="6"/>
  <c r="BG20" i="7"/>
  <c r="BF20" i="7"/>
  <c r="BW55" i="6"/>
  <c r="BF47" i="6"/>
  <c r="BG47" i="6"/>
  <c r="L22" i="8"/>
  <c r="BR27" i="7"/>
  <c r="BS27" i="7" s="1"/>
  <c r="BT27" i="7" s="1"/>
  <c r="BU27" i="7" s="1"/>
  <c r="BF24" i="7"/>
  <c r="BG24" i="7"/>
  <c r="BG46" i="6"/>
  <c r="BF46" i="6"/>
  <c r="BW41" i="6"/>
  <c r="BW40" i="6"/>
  <c r="BG29" i="6"/>
  <c r="BF29" i="6"/>
  <c r="BI20" i="6"/>
  <c r="BJ20" i="6" s="1"/>
  <c r="BK20" i="6" s="1"/>
  <c r="BL20" i="6" s="1"/>
  <c r="BI28" i="7"/>
  <c r="BJ28" i="7" s="1"/>
  <c r="BK28" i="7" s="1"/>
  <c r="BL28" i="7" s="1"/>
  <c r="BF22" i="7"/>
  <c r="BG22" i="7"/>
  <c r="BI5" i="7"/>
  <c r="BJ5" i="7" s="1"/>
  <c r="BK5" i="7" s="1"/>
  <c r="BL5" i="7" s="1"/>
  <c r="BG56" i="6"/>
  <c r="BF56" i="6"/>
  <c r="BP52" i="6"/>
  <c r="BO52" i="6"/>
  <c r="BP42" i="6"/>
  <c r="BO42" i="6"/>
  <c r="AO31" i="6"/>
  <c r="AM31" i="6"/>
  <c r="BR30" i="6"/>
  <c r="BS30" i="6" s="1"/>
  <c r="BT30" i="6" s="1"/>
  <c r="BU30" i="6" s="1"/>
  <c r="AO27" i="6"/>
  <c r="AM27" i="6"/>
  <c r="BP12" i="6"/>
  <c r="BO12" i="6"/>
  <c r="BO10" i="6"/>
  <c r="BP10" i="6"/>
  <c r="AN57" i="12"/>
  <c r="AN56" i="9"/>
  <c r="AN55" i="6"/>
  <c r="AN55" i="10"/>
  <c r="AM54" i="7"/>
  <c r="AM54" i="11"/>
  <c r="AM53" i="8"/>
  <c r="AO53" i="8"/>
  <c r="AP53" i="8" s="1"/>
  <c r="AO53" i="12"/>
  <c r="AP53" i="12" s="1"/>
  <c r="AM53" i="12"/>
  <c r="AO52" i="9"/>
  <c r="AP52" i="9" s="1"/>
  <c r="AM52" i="9"/>
  <c r="AO51" i="6"/>
  <c r="AP51" i="6" s="1"/>
  <c r="AM51" i="6"/>
  <c r="AM51" i="10"/>
  <c r="AO51" i="10"/>
  <c r="AP51" i="10" s="1"/>
  <c r="AM50" i="7"/>
  <c r="AM50" i="11"/>
  <c r="AM46" i="6"/>
  <c r="AO46" i="6"/>
  <c r="AP46" i="6" s="1"/>
  <c r="AM46" i="10"/>
  <c r="AO46" i="10"/>
  <c r="AM45" i="11"/>
  <c r="AO45" i="10"/>
  <c r="AP45" i="10" s="1"/>
  <c r="AM45" i="10"/>
  <c r="AN38" i="12"/>
  <c r="AN36" i="6"/>
  <c r="AN34" i="8"/>
  <c r="AN33" i="10"/>
  <c r="AM31" i="9"/>
  <c r="AO31" i="9"/>
  <c r="AN26" i="7"/>
  <c r="AO25" i="9"/>
  <c r="AM25" i="9"/>
  <c r="AO25" i="12"/>
  <c r="AM25" i="12"/>
  <c r="AO24" i="9"/>
  <c r="AP24" i="9" s="1"/>
  <c r="AM24" i="9"/>
  <c r="AN18" i="11"/>
  <c r="AN16" i="6"/>
  <c r="AN16" i="10"/>
  <c r="AN15" i="11"/>
  <c r="AN13" i="8"/>
  <c r="AO12" i="8"/>
  <c r="AM12" i="8"/>
  <c r="AM12" i="11"/>
  <c r="AO11" i="8"/>
  <c r="AM11" i="8"/>
  <c r="AO11" i="12"/>
  <c r="AP11" i="12" s="1"/>
  <c r="AM11" i="12"/>
  <c r="AO7" i="6"/>
  <c r="AM7" i="6"/>
  <c r="AO7" i="9"/>
  <c r="AP7" i="9" s="1"/>
  <c r="AM7" i="9"/>
  <c r="AM6" i="7"/>
  <c r="AM6" i="12"/>
  <c r="AO6" i="12"/>
  <c r="AM5" i="11"/>
  <c r="AL60" i="7"/>
  <c r="AO20" i="7" s="1"/>
  <c r="AP20" i="7" s="1"/>
  <c r="AL69" i="7"/>
  <c r="AM4" i="7"/>
  <c r="AM4" i="11"/>
  <c r="AL60" i="11"/>
  <c r="AO52" i="11" s="1"/>
  <c r="AP52" i="11" s="1"/>
  <c r="AL69" i="11"/>
  <c r="BO18" i="6"/>
  <c r="BP18" i="6"/>
  <c r="BW16" i="6"/>
  <c r="AN54" i="9"/>
  <c r="AN53" i="6"/>
  <c r="AN53" i="10"/>
  <c r="AN52" i="6"/>
  <c r="AN52" i="11"/>
  <c r="AN51" i="12"/>
  <c r="AN51" i="11"/>
  <c r="AN50" i="9"/>
  <c r="AO49" i="6"/>
  <c r="AP49" i="6" s="1"/>
  <c r="AM49" i="6"/>
  <c r="AO49" i="10"/>
  <c r="AM49" i="10"/>
  <c r="AN46" i="8"/>
  <c r="AN46" i="11"/>
  <c r="AN45" i="8"/>
  <c r="AN45" i="12"/>
  <c r="AM44" i="9"/>
  <c r="AO44" i="9"/>
  <c r="AO43" i="6"/>
  <c r="AM43" i="6"/>
  <c r="AO43" i="9"/>
  <c r="AP43" i="9" s="1"/>
  <c r="AM43" i="9"/>
  <c r="AO42" i="7"/>
  <c r="AP42" i="7" s="1"/>
  <c r="AM42" i="7"/>
  <c r="AM42" i="11"/>
  <c r="AO41" i="8"/>
  <c r="AM41" i="8"/>
  <c r="AM41" i="12"/>
  <c r="AO41" i="12"/>
  <c r="AM40" i="9"/>
  <c r="AO40" i="9"/>
  <c r="AP40" i="9" s="1"/>
  <c r="AN31" i="7"/>
  <c r="AN31" i="11"/>
  <c r="AM30" i="7"/>
  <c r="AO30" i="7"/>
  <c r="AP30" i="7" s="1"/>
  <c r="AO30" i="11"/>
  <c r="AP30" i="11" s="1"/>
  <c r="AM30" i="11"/>
  <c r="AM29" i="9"/>
  <c r="AO29" i="9"/>
  <c r="AP29" i="9" s="1"/>
  <c r="AN25" i="7"/>
  <c r="AN25" i="10"/>
  <c r="AN24" i="8"/>
  <c r="AN24" i="12"/>
  <c r="AM23" i="11"/>
  <c r="AO23" i="11"/>
  <c r="AP23" i="11" s="1"/>
  <c r="AM22" i="6"/>
  <c r="AO22" i="6"/>
  <c r="AO22" i="9"/>
  <c r="AM22" i="9"/>
  <c r="AN12" i="10"/>
  <c r="AN11" i="7"/>
  <c r="AN11" i="9"/>
  <c r="AM10" i="8"/>
  <c r="AO10" i="8"/>
  <c r="AP10" i="8" s="1"/>
  <c r="AM10" i="12"/>
  <c r="AO10" i="12"/>
  <c r="AN7" i="9"/>
  <c r="AN6" i="10"/>
  <c r="AN6" i="9"/>
  <c r="AN5" i="6"/>
  <c r="AN5" i="11"/>
  <c r="AK60" i="9"/>
  <c r="AN4" i="9"/>
  <c r="AK69" i="9"/>
  <c r="AK69" i="12"/>
  <c r="AK60" i="12"/>
  <c r="AN4" i="12"/>
  <c r="BW38" i="6"/>
  <c r="BR28" i="6"/>
  <c r="BS28" i="6" s="1"/>
  <c r="BT28" i="6" s="1"/>
  <c r="BU28" i="6" s="1"/>
  <c r="BG14" i="6"/>
  <c r="BF14" i="6"/>
  <c r="BI10" i="6"/>
  <c r="BJ10" i="6" s="1"/>
  <c r="BK10" i="6" s="1"/>
  <c r="BL10" i="6" s="1"/>
  <c r="AO9" i="6"/>
  <c r="AP9" i="6" s="1"/>
  <c r="AM9" i="6"/>
  <c r="L51" i="6"/>
  <c r="L49" i="6"/>
  <c r="L33" i="6"/>
  <c r="L30" i="6"/>
  <c r="L28" i="6"/>
  <c r="L26" i="6"/>
  <c r="L24" i="6"/>
  <c r="L22" i="6"/>
  <c r="L20" i="6"/>
  <c r="L48" i="6"/>
  <c r="L50" i="6"/>
  <c r="L32" i="6"/>
  <c r="L31" i="6"/>
  <c r="L27" i="6"/>
  <c r="L21" i="6"/>
  <c r="L19" i="6"/>
  <c r="L29" i="6"/>
  <c r="L23" i="6"/>
  <c r="L9" i="6"/>
  <c r="L7" i="6"/>
  <c r="L34" i="6"/>
  <c r="L25" i="6"/>
  <c r="AN49" i="6"/>
  <c r="AN49" i="10"/>
  <c r="AO48" i="7"/>
  <c r="AP48" i="7" s="1"/>
  <c r="AM48" i="7"/>
  <c r="AM48" i="11"/>
  <c r="AO48" i="11"/>
  <c r="AP48" i="11" s="1"/>
  <c r="AN44" i="8"/>
  <c r="AN44" i="12"/>
  <c r="AN43" i="8"/>
  <c r="AN42" i="6"/>
  <c r="AN42" i="10"/>
  <c r="AN41" i="6"/>
  <c r="AN41" i="11"/>
  <c r="AN40" i="8"/>
  <c r="AN40" i="12"/>
  <c r="AO39" i="9"/>
  <c r="AP39" i="9" s="1"/>
  <c r="AM39" i="9"/>
  <c r="AN30" i="9"/>
  <c r="AN29" i="7"/>
  <c r="AN29" i="10"/>
  <c r="AM28" i="8"/>
  <c r="AO28" i="8"/>
  <c r="AP28" i="8" s="1"/>
  <c r="AM28" i="12"/>
  <c r="AO28" i="12"/>
  <c r="AM27" i="12"/>
  <c r="AO27" i="12"/>
  <c r="AP27" i="12" s="1"/>
  <c r="AN23" i="7"/>
  <c r="AN23" i="9"/>
  <c r="AN22" i="8"/>
  <c r="AN22" i="12"/>
  <c r="AM21" i="11"/>
  <c r="AO21" i="11"/>
  <c r="AO20" i="6"/>
  <c r="AM20" i="6"/>
  <c r="AO20" i="10"/>
  <c r="AP20" i="10" s="1"/>
  <c r="AM20" i="10"/>
  <c r="AO19" i="8"/>
  <c r="AM19" i="8"/>
  <c r="AM19" i="11"/>
  <c r="AO19" i="11"/>
  <c r="AN10" i="7"/>
  <c r="AN10" i="11"/>
  <c r="AM9" i="9"/>
  <c r="AO9" i="9"/>
  <c r="T79" i="3"/>
  <c r="T77" i="3"/>
  <c r="U21" i="3"/>
  <c r="V21" i="3"/>
  <c r="CA69" i="6"/>
  <c r="CB4" i="6"/>
  <c r="BH69" i="6"/>
  <c r="AO57" i="7"/>
  <c r="AP57" i="7" s="1"/>
  <c r="AM57" i="7"/>
  <c r="AM57" i="10"/>
  <c r="AO57" i="10"/>
  <c r="AP57" i="10" s="1"/>
  <c r="AO56" i="8"/>
  <c r="AP56" i="8" s="1"/>
  <c r="AM56" i="8"/>
  <c r="AM56" i="12"/>
  <c r="AO56" i="12"/>
  <c r="AP56" i="12" s="1"/>
  <c r="AM55" i="9"/>
  <c r="AO55" i="9"/>
  <c r="AN48" i="6"/>
  <c r="AN48" i="8"/>
  <c r="AO47" i="7"/>
  <c r="AP47" i="7" s="1"/>
  <c r="AM47" i="7"/>
  <c r="AM47" i="11"/>
  <c r="AO47" i="11"/>
  <c r="AP47" i="11" s="1"/>
  <c r="AN39" i="9"/>
  <c r="AO38" i="7"/>
  <c r="AP38" i="7" s="1"/>
  <c r="AM38" i="7"/>
  <c r="AM38" i="11"/>
  <c r="AO38" i="11"/>
  <c r="AM37" i="7"/>
  <c r="AO37" i="7"/>
  <c r="AP37" i="7" s="1"/>
  <c r="AM37" i="12"/>
  <c r="AO37" i="12"/>
  <c r="AM36" i="9"/>
  <c r="AO36" i="9"/>
  <c r="AP36" i="9" s="1"/>
  <c r="AM35" i="7"/>
  <c r="AO35" i="7"/>
  <c r="AP35" i="7" s="1"/>
  <c r="AO35" i="10"/>
  <c r="AM35" i="10"/>
  <c r="AO34" i="7"/>
  <c r="AP34" i="7" s="1"/>
  <c r="AM34" i="7"/>
  <c r="AO34" i="12"/>
  <c r="AM34" i="12"/>
  <c r="AM33" i="9"/>
  <c r="AO33" i="9"/>
  <c r="AO32" i="7"/>
  <c r="AP32" i="7" s="1"/>
  <c r="AM32" i="7"/>
  <c r="AM32" i="11"/>
  <c r="AO32" i="11"/>
  <c r="AN28" i="9"/>
  <c r="AN27" i="7"/>
  <c r="AN27" i="11"/>
  <c r="AO26" i="11"/>
  <c r="AP26" i="11" s="1"/>
  <c r="AM26" i="11"/>
  <c r="AM26" i="10"/>
  <c r="AO26" i="10"/>
  <c r="AP26" i="10" s="1"/>
  <c r="AN21" i="6"/>
  <c r="AN21" i="9"/>
  <c r="AN20" i="7"/>
  <c r="AN20" i="9"/>
  <c r="AN19" i="9"/>
  <c r="AN19" i="12"/>
  <c r="AO18" i="10"/>
  <c r="AP18" i="10" s="1"/>
  <c r="AM18" i="10"/>
  <c r="AM17" i="7"/>
  <c r="AO17" i="7"/>
  <c r="AP17" i="7" s="1"/>
  <c r="AO17" i="11"/>
  <c r="AP17" i="11" s="1"/>
  <c r="AM17" i="11"/>
  <c r="AM16" i="9"/>
  <c r="AO16" i="9"/>
  <c r="AP16" i="9" s="1"/>
  <c r="AM15" i="6"/>
  <c r="AO15" i="6"/>
  <c r="AO15" i="9"/>
  <c r="AM15" i="9"/>
  <c r="AO14" i="7"/>
  <c r="AP14" i="7" s="1"/>
  <c r="AM14" i="7"/>
  <c r="AM14" i="12"/>
  <c r="AO14" i="12"/>
  <c r="AP14" i="12" s="1"/>
  <c r="AO13" i="9"/>
  <c r="AP13" i="9" s="1"/>
  <c r="AM13" i="9"/>
  <c r="AN9" i="7"/>
  <c r="AN9" i="12"/>
  <c r="AO8" i="10"/>
  <c r="AM8" i="10"/>
  <c r="AO8" i="12"/>
  <c r="AP8" i="12" s="1"/>
  <c r="AM8" i="12"/>
  <c r="D69" i="9"/>
  <c r="L40" i="2"/>
  <c r="L38" i="2"/>
  <c r="L37" i="2"/>
  <c r="L36" i="2"/>
  <c r="L34" i="2"/>
  <c r="L30" i="2"/>
  <c r="L28" i="2"/>
  <c r="L26" i="2"/>
  <c r="L23" i="2"/>
  <c r="L22" i="2"/>
  <c r="L20" i="2"/>
  <c r="L18" i="2"/>
  <c r="L16" i="2"/>
  <c r="L14" i="2"/>
  <c r="L42" i="2"/>
  <c r="L41" i="2"/>
  <c r="L39" i="2"/>
  <c r="L35" i="2"/>
  <c r="L33" i="2"/>
  <c r="L32" i="2"/>
  <c r="L31" i="2"/>
  <c r="L29" i="2"/>
  <c r="L27" i="2"/>
  <c r="L25" i="2"/>
  <c r="L24" i="2"/>
  <c r="L21" i="2"/>
  <c r="L19" i="2"/>
  <c r="L17" i="2"/>
  <c r="L15" i="2"/>
  <c r="L13" i="2"/>
  <c r="L58" i="2"/>
  <c r="L51" i="2"/>
  <c r="X69" i="1"/>
  <c r="L46" i="2"/>
  <c r="G37" i="4"/>
  <c r="H37" i="4" s="1"/>
  <c r="E48" i="1"/>
  <c r="AL69" i="6"/>
  <c r="P81" i="3"/>
  <c r="P75" i="3"/>
  <c r="P77" i="3" s="1"/>
  <c r="P79" i="3"/>
  <c r="P82" i="3" s="1"/>
  <c r="L59" i="2"/>
  <c r="L53" i="2"/>
  <c r="L49" i="2"/>
  <c r="L45" i="2"/>
  <c r="D32" i="11"/>
  <c r="D32" i="12"/>
  <c r="D32" i="10"/>
  <c r="D32" i="9"/>
  <c r="D32" i="8"/>
  <c r="D32" i="7"/>
  <c r="D32" i="6"/>
  <c r="E41" i="2"/>
  <c r="F41" i="1"/>
  <c r="H45" i="4"/>
  <c r="G45" i="4"/>
  <c r="G56" i="4" s="1"/>
  <c r="E56" i="1"/>
  <c r="L52" i="2"/>
  <c r="G57" i="4" l="1"/>
  <c r="D39" i="12"/>
  <c r="D39" i="11"/>
  <c r="D39" i="10"/>
  <c r="D39" i="9"/>
  <c r="D39" i="8"/>
  <c r="D39" i="7"/>
  <c r="D39" i="6"/>
  <c r="E48" i="2"/>
  <c r="F48" i="1"/>
  <c r="H56" i="4"/>
  <c r="H57" i="4" s="1"/>
  <c r="D45" i="12"/>
  <c r="D45" i="11"/>
  <c r="D45" i="7"/>
  <c r="D45" i="9"/>
  <c r="D45" i="8"/>
  <c r="D45" i="10"/>
  <c r="D45" i="6"/>
  <c r="F54" i="1"/>
  <c r="E54" i="2"/>
  <c r="D40" i="12"/>
  <c r="D40" i="11"/>
  <c r="D40" i="10"/>
  <c r="D40" i="9"/>
  <c r="D40" i="8"/>
  <c r="D40" i="6"/>
  <c r="D40" i="7"/>
  <c r="E49" i="2"/>
  <c r="F49" i="1"/>
  <c r="AE41" i="2"/>
  <c r="S41" i="2"/>
  <c r="L69" i="2"/>
  <c r="P74" i="2" s="1"/>
  <c r="V79" i="3"/>
  <c r="T82" i="3"/>
  <c r="U79" i="3"/>
  <c r="BW9" i="6"/>
  <c r="BW21" i="6"/>
  <c r="BW50" i="6"/>
  <c r="BW24" i="6"/>
  <c r="BW33" i="6"/>
  <c r="AP46" i="10"/>
  <c r="AO50" i="7"/>
  <c r="AP50" i="7" s="1"/>
  <c r="BY55" i="6"/>
  <c r="BX55" i="6"/>
  <c r="BW24" i="8"/>
  <c r="BW49" i="8"/>
  <c r="BW37" i="8"/>
  <c r="BW52" i="10"/>
  <c r="CA69" i="11"/>
  <c r="CB4" i="11"/>
  <c r="BW52" i="12"/>
  <c r="BX53" i="11"/>
  <c r="BY53" i="11"/>
  <c r="BH60" i="11"/>
  <c r="BS69" i="6"/>
  <c r="BT4" i="6"/>
  <c r="AO46" i="7"/>
  <c r="AP46" i="7" s="1"/>
  <c r="AO51" i="11"/>
  <c r="AP51" i="11" s="1"/>
  <c r="BX27" i="7"/>
  <c r="BY27" i="7"/>
  <c r="BY9" i="7"/>
  <c r="BX9" i="7"/>
  <c r="BY46" i="7"/>
  <c r="BX46" i="7"/>
  <c r="BW51" i="8"/>
  <c r="BY26" i="10"/>
  <c r="BX26" i="10"/>
  <c r="CB69" i="12"/>
  <c r="CC4" i="12"/>
  <c r="AE41" i="3"/>
  <c r="AD67" i="3"/>
  <c r="AO8" i="7"/>
  <c r="AP8" i="7" s="1"/>
  <c r="AP17" i="9"/>
  <c r="AO47" i="6"/>
  <c r="AP47" i="6" s="1"/>
  <c r="AO9" i="11"/>
  <c r="AP9" i="11" s="1"/>
  <c r="AO28" i="7"/>
  <c r="AP28" i="7" s="1"/>
  <c r="BO69" i="6"/>
  <c r="AO10" i="11"/>
  <c r="AP10" i="11" s="1"/>
  <c r="AP29" i="8"/>
  <c r="AO41" i="7"/>
  <c r="AP41" i="7" s="1"/>
  <c r="AO42" i="6"/>
  <c r="AP42" i="6" s="1"/>
  <c r="BY8" i="6"/>
  <c r="BX8" i="6"/>
  <c r="AP6" i="8"/>
  <c r="AO11" i="11"/>
  <c r="AP11" i="11" s="1"/>
  <c r="AO24" i="12"/>
  <c r="AP24" i="12" s="1"/>
  <c r="AO25" i="10"/>
  <c r="AP25" i="10" s="1"/>
  <c r="AO31" i="12"/>
  <c r="AP31" i="12" s="1"/>
  <c r="AO50" i="10"/>
  <c r="AP50" i="10" s="1"/>
  <c r="AO51" i="7"/>
  <c r="AP51" i="7" s="1"/>
  <c r="AO53" i="7"/>
  <c r="AP53" i="7" s="1"/>
  <c r="AO54" i="6"/>
  <c r="AP54" i="6" s="1"/>
  <c r="BW24" i="7"/>
  <c r="BW38" i="7"/>
  <c r="BY5" i="6"/>
  <c r="BX5" i="6"/>
  <c r="BR69" i="7"/>
  <c r="BS4" i="7"/>
  <c r="BW18" i="8"/>
  <c r="BW35" i="9"/>
  <c r="BW8" i="9"/>
  <c r="BW32" i="9"/>
  <c r="BW22" i="10"/>
  <c r="BW5" i="11"/>
  <c r="BY18" i="9"/>
  <c r="BX18" i="9"/>
  <c r="BW18" i="11"/>
  <c r="BY30" i="9"/>
  <c r="BX30" i="9"/>
  <c r="BW42" i="10"/>
  <c r="BR69" i="11"/>
  <c r="BS4" i="11"/>
  <c r="BW33" i="10"/>
  <c r="BW11" i="11"/>
  <c r="BW45" i="11"/>
  <c r="BW49" i="11"/>
  <c r="BW20" i="11"/>
  <c r="BW14" i="11"/>
  <c r="BW40" i="11"/>
  <c r="BW51" i="11"/>
  <c r="BW32" i="12"/>
  <c r="BW21" i="12"/>
  <c r="BW8" i="12"/>
  <c r="BW36" i="12"/>
  <c r="BW17" i="12"/>
  <c r="BW24" i="12"/>
  <c r="BW44" i="12"/>
  <c r="BX12" i="12"/>
  <c r="BY12" i="12"/>
  <c r="BX16" i="12"/>
  <c r="BY16" i="12"/>
  <c r="AO22" i="7"/>
  <c r="AP22" i="7" s="1"/>
  <c r="AO40" i="10"/>
  <c r="AP40" i="10" s="1"/>
  <c r="AO43" i="7"/>
  <c r="AP43" i="7" s="1"/>
  <c r="AO36" i="6"/>
  <c r="AP36" i="6" s="1"/>
  <c r="AO11" i="9"/>
  <c r="AP11" i="9" s="1"/>
  <c r="AO52" i="6"/>
  <c r="AP52" i="6" s="1"/>
  <c r="BY55" i="9"/>
  <c r="BX55" i="9"/>
  <c r="BY41" i="12"/>
  <c r="BX41" i="12"/>
  <c r="AE38" i="2"/>
  <c r="S38" i="2"/>
  <c r="AO14" i="10"/>
  <c r="AP14" i="10" s="1"/>
  <c r="AO16" i="7"/>
  <c r="AP16" i="7" s="1"/>
  <c r="AO32" i="9"/>
  <c r="AP32" i="9" s="1"/>
  <c r="AO38" i="9"/>
  <c r="AP38" i="9" s="1"/>
  <c r="AO56" i="6"/>
  <c r="AP56" i="6" s="1"/>
  <c r="AO20" i="12"/>
  <c r="AP20" i="12" s="1"/>
  <c r="AO21" i="10"/>
  <c r="AP21" i="10" s="1"/>
  <c r="AO39" i="7"/>
  <c r="AP39" i="7" s="1"/>
  <c r="AO23" i="7"/>
  <c r="AP23" i="7" s="1"/>
  <c r="AO42" i="9"/>
  <c r="AP42" i="9" s="1"/>
  <c r="AO7" i="12"/>
  <c r="AP7" i="12" s="1"/>
  <c r="AO25" i="11"/>
  <c r="AP25" i="11" s="1"/>
  <c r="AO46" i="8"/>
  <c r="AP46" i="8" s="1"/>
  <c r="AO52" i="7"/>
  <c r="AP52" i="7" s="1"/>
  <c r="AO53" i="6"/>
  <c r="AP53" i="6" s="1"/>
  <c r="BY12" i="6"/>
  <c r="BX12" i="6"/>
  <c r="BS69" i="8"/>
  <c r="BT4" i="8"/>
  <c r="BW18" i="7"/>
  <c r="BW14" i="7"/>
  <c r="BW13" i="7"/>
  <c r="BW40" i="7"/>
  <c r="BW39" i="7"/>
  <c r="BW49" i="10"/>
  <c r="BW37" i="10"/>
  <c r="BW12" i="10"/>
  <c r="BW5" i="10"/>
  <c r="BW16" i="10"/>
  <c r="BW35" i="10"/>
  <c r="BW15" i="8"/>
  <c r="BX12" i="9"/>
  <c r="BY12" i="9"/>
  <c r="BX36" i="9"/>
  <c r="BY36" i="9"/>
  <c r="I69" i="14"/>
  <c r="I70" i="14" s="1"/>
  <c r="I79" i="14"/>
  <c r="J13" i="14"/>
  <c r="AO12" i="12"/>
  <c r="AP12" i="12" s="1"/>
  <c r="BY53" i="6"/>
  <c r="BX53" i="6"/>
  <c r="L60" i="8"/>
  <c r="BW4" i="8"/>
  <c r="BW16" i="8"/>
  <c r="BW32" i="8"/>
  <c r="BW25" i="8"/>
  <c r="BW43" i="8"/>
  <c r="BW8" i="8"/>
  <c r="BW41" i="8"/>
  <c r="BX21" i="11"/>
  <c r="BY21" i="11"/>
  <c r="BY54" i="10"/>
  <c r="BX54" i="10"/>
  <c r="BZ54" i="10"/>
  <c r="BX46" i="9"/>
  <c r="BY46" i="9"/>
  <c r="BS69" i="12"/>
  <c r="BT4" i="12"/>
  <c r="BY50" i="11"/>
  <c r="BX50" i="11"/>
  <c r="BY45" i="12"/>
  <c r="BX45" i="12"/>
  <c r="AE17" i="2"/>
  <c r="S17" i="2"/>
  <c r="U18" i="1"/>
  <c r="AK18" i="1"/>
  <c r="D50" i="12"/>
  <c r="D50" i="11"/>
  <c r="D50" i="10"/>
  <c r="D50" i="9"/>
  <c r="D50" i="8"/>
  <c r="D50" i="7"/>
  <c r="D50" i="6"/>
  <c r="E59" i="2"/>
  <c r="F59" i="1"/>
  <c r="AO17" i="8"/>
  <c r="AP17" i="8" s="1"/>
  <c r="AO26" i="12"/>
  <c r="AP26" i="12" s="1"/>
  <c r="AO32" i="12"/>
  <c r="AP32" i="12" s="1"/>
  <c r="AO33" i="10"/>
  <c r="AP33" i="10" s="1"/>
  <c r="AO35" i="8"/>
  <c r="AP35" i="8" s="1"/>
  <c r="AO9" i="10"/>
  <c r="AP9" i="10" s="1"/>
  <c r="AO21" i="6"/>
  <c r="AP21" i="6" s="1"/>
  <c r="AO27" i="7"/>
  <c r="AP27" i="7" s="1"/>
  <c r="AO39" i="6"/>
  <c r="AP39" i="6" s="1"/>
  <c r="AO48" i="8"/>
  <c r="AP48" i="8" s="1"/>
  <c r="AO42" i="12"/>
  <c r="AP42" i="12" s="1"/>
  <c r="AO51" i="8"/>
  <c r="AP51" i="8" s="1"/>
  <c r="BY54" i="6"/>
  <c r="BX54" i="6"/>
  <c r="BZ54" i="6"/>
  <c r="BX33" i="7"/>
  <c r="BY33" i="7"/>
  <c r="BF69" i="11"/>
  <c r="AE40" i="2"/>
  <c r="S40" i="2"/>
  <c r="AE36" i="2"/>
  <c r="S36" i="2"/>
  <c r="AE35" i="2"/>
  <c r="S35" i="2"/>
  <c r="BW25" i="6"/>
  <c r="BW23" i="6"/>
  <c r="BW27" i="6"/>
  <c r="BW26" i="6"/>
  <c r="BW49" i="6"/>
  <c r="BY38" i="6"/>
  <c r="BX38" i="6"/>
  <c r="AP22" i="9"/>
  <c r="AP41" i="8"/>
  <c r="AP43" i="6"/>
  <c r="AP49" i="10"/>
  <c r="BY16" i="6"/>
  <c r="BX16" i="6"/>
  <c r="AP25" i="12"/>
  <c r="AO54" i="11"/>
  <c r="AP54" i="11" s="1"/>
  <c r="AP31" i="6"/>
  <c r="BX40" i="6"/>
  <c r="BY40" i="6"/>
  <c r="BW22" i="8"/>
  <c r="BY15" i="6"/>
  <c r="BX15" i="6"/>
  <c r="BW26" i="7"/>
  <c r="BW23" i="7"/>
  <c r="BI69" i="10"/>
  <c r="BJ4" i="10"/>
  <c r="BJ4" i="9"/>
  <c r="BI69" i="9"/>
  <c r="BY49" i="9"/>
  <c r="BX49" i="9"/>
  <c r="BW9" i="11"/>
  <c r="BX38" i="9"/>
  <c r="BY38" i="9"/>
  <c r="BW54" i="7"/>
  <c r="BW42" i="12"/>
  <c r="BI69" i="11"/>
  <c r="BJ4" i="11"/>
  <c r="BO69" i="12"/>
  <c r="BX37" i="12"/>
  <c r="BY37" i="12"/>
  <c r="AO4" i="12"/>
  <c r="AP4" i="12" s="1"/>
  <c r="AP6" i="9"/>
  <c r="AO45" i="12"/>
  <c r="AP45" i="12" s="1"/>
  <c r="AO50" i="12"/>
  <c r="AP50" i="12" s="1"/>
  <c r="BY53" i="7"/>
  <c r="BX53" i="7"/>
  <c r="BX53" i="8"/>
  <c r="BY53" i="8"/>
  <c r="BX17" i="10"/>
  <c r="BY17" i="10"/>
  <c r="BZ17" i="10"/>
  <c r="BX36" i="10"/>
  <c r="BY36" i="10"/>
  <c r="BX30" i="12"/>
  <c r="BY30" i="12"/>
  <c r="AO14" i="11"/>
  <c r="AP14" i="11" s="1"/>
  <c r="AO17" i="6"/>
  <c r="AP17" i="6" s="1"/>
  <c r="AP26" i="9"/>
  <c r="AO33" i="12"/>
  <c r="AP33" i="12" s="1"/>
  <c r="AO34" i="11"/>
  <c r="AP34" i="11" s="1"/>
  <c r="AO55" i="11"/>
  <c r="AP55" i="11" s="1"/>
  <c r="AO57" i="11"/>
  <c r="AP57" i="11" s="1"/>
  <c r="BJ69" i="6"/>
  <c r="BK4" i="6"/>
  <c r="AO19" i="7"/>
  <c r="AP19" i="7" s="1"/>
  <c r="AO21" i="12"/>
  <c r="AP21" i="12" s="1"/>
  <c r="AO48" i="6"/>
  <c r="AP48" i="6" s="1"/>
  <c r="AO23" i="12"/>
  <c r="AP23" i="12" s="1"/>
  <c r="AO29" i="11"/>
  <c r="AP29" i="11" s="1"/>
  <c r="AO44" i="12"/>
  <c r="AP44" i="12" s="1"/>
  <c r="AO49" i="7"/>
  <c r="AP49" i="7" s="1"/>
  <c r="AO6" i="11"/>
  <c r="AP6" i="11" s="1"/>
  <c r="AO12" i="10"/>
  <c r="AP12" i="10" s="1"/>
  <c r="AP24" i="8"/>
  <c r="AO25" i="7"/>
  <c r="AP25" i="7" s="1"/>
  <c r="AP46" i="9"/>
  <c r="AO52" i="12"/>
  <c r="AP52" i="12" s="1"/>
  <c r="AO53" i="11"/>
  <c r="AP53" i="11" s="1"/>
  <c r="BY56" i="6"/>
  <c r="BX56" i="6"/>
  <c r="BY46" i="6"/>
  <c r="BX46" i="6"/>
  <c r="BW28" i="7"/>
  <c r="BW55" i="8"/>
  <c r="BQ60" i="7"/>
  <c r="BW6" i="8"/>
  <c r="BW50" i="8"/>
  <c r="BW7" i="9"/>
  <c r="BW23" i="9"/>
  <c r="BW45" i="9"/>
  <c r="BW11" i="9"/>
  <c r="BW54" i="9"/>
  <c r="BW34" i="9"/>
  <c r="BW52" i="9"/>
  <c r="BW20" i="10"/>
  <c r="L60" i="10"/>
  <c r="BW4" i="10"/>
  <c r="BW24" i="10"/>
  <c r="BW44" i="10"/>
  <c r="BW28" i="11"/>
  <c r="BW13" i="11"/>
  <c r="BW22" i="11"/>
  <c r="BW26" i="11"/>
  <c r="BW16" i="11"/>
  <c r="BW42" i="11"/>
  <c r="BW52" i="11"/>
  <c r="BY12" i="11"/>
  <c r="BX12" i="11"/>
  <c r="BW5" i="12"/>
  <c r="BW23" i="12"/>
  <c r="BW11" i="12"/>
  <c r="BW55" i="12"/>
  <c r="BW33" i="12"/>
  <c r="BW46" i="12"/>
  <c r="BY50" i="12"/>
  <c r="BX50" i="12"/>
  <c r="BY10" i="12"/>
  <c r="BX10" i="12"/>
  <c r="AO7" i="11"/>
  <c r="AP7" i="11" s="1"/>
  <c r="AO31" i="10"/>
  <c r="AP31" i="10" s="1"/>
  <c r="BS4" i="9"/>
  <c r="BR69" i="9"/>
  <c r="Q75" i="3"/>
  <c r="Q77" i="3" s="1"/>
  <c r="Q79" i="3"/>
  <c r="AO8" i="9"/>
  <c r="AP8" i="9" s="1"/>
  <c r="AO13" i="7"/>
  <c r="AP13" i="7" s="1"/>
  <c r="AO16" i="11"/>
  <c r="AP16" i="11" s="1"/>
  <c r="AO17" i="10"/>
  <c r="AP17" i="10" s="1"/>
  <c r="AO34" i="6"/>
  <c r="AP34" i="6" s="1"/>
  <c r="AO36" i="12"/>
  <c r="AP36" i="12" s="1"/>
  <c r="AO37" i="9"/>
  <c r="AP37" i="9" s="1"/>
  <c r="AO57" i="9"/>
  <c r="AP57" i="9" s="1"/>
  <c r="AO21" i="7"/>
  <c r="AP21" i="7" s="1"/>
  <c r="AO27" i="11"/>
  <c r="AP27" i="11" s="1"/>
  <c r="AO28" i="10"/>
  <c r="AP28" i="10" s="1"/>
  <c r="AO39" i="11"/>
  <c r="AP39" i="11" s="1"/>
  <c r="AO16" i="6"/>
  <c r="AP16" i="6" s="1"/>
  <c r="AO10" i="9"/>
  <c r="AP10" i="9" s="1"/>
  <c r="AO29" i="7"/>
  <c r="AP29" i="7" s="1"/>
  <c r="AO40" i="11"/>
  <c r="AP40" i="11" s="1"/>
  <c r="AO41" i="10"/>
  <c r="AP41" i="10" s="1"/>
  <c r="AO43" i="11"/>
  <c r="AP43" i="11" s="1"/>
  <c r="AO44" i="7"/>
  <c r="AP44" i="7" s="1"/>
  <c r="AO49" i="9"/>
  <c r="AP49" i="9" s="1"/>
  <c r="AO6" i="10"/>
  <c r="AP6" i="10" s="1"/>
  <c r="AO24" i="11"/>
  <c r="AP24" i="11" s="1"/>
  <c r="AO31" i="7"/>
  <c r="AP31" i="7" s="1"/>
  <c r="AO45" i="9"/>
  <c r="AP45" i="9" s="1"/>
  <c r="AO50" i="9"/>
  <c r="AP50" i="9" s="1"/>
  <c r="AO51" i="9"/>
  <c r="AP51" i="9" s="1"/>
  <c r="BY42" i="6"/>
  <c r="BX42" i="6"/>
  <c r="BR69" i="8"/>
  <c r="BY37" i="6"/>
  <c r="BX37" i="6"/>
  <c r="BI69" i="8"/>
  <c r="BW6" i="7"/>
  <c r="BW42" i="7"/>
  <c r="BW5" i="7"/>
  <c r="BW15" i="7"/>
  <c r="BW44" i="7"/>
  <c r="BW49" i="7"/>
  <c r="BW41" i="7"/>
  <c r="CA69" i="7"/>
  <c r="CB4" i="7"/>
  <c r="BY21" i="7"/>
  <c r="BX21" i="7"/>
  <c r="BR69" i="10"/>
  <c r="BS4" i="10"/>
  <c r="BW36" i="8"/>
  <c r="BW46" i="8"/>
  <c r="BW8" i="10"/>
  <c r="BW39" i="10"/>
  <c r="BW23" i="10"/>
  <c r="BW7" i="10"/>
  <c r="BW18" i="10"/>
  <c r="BW45" i="10"/>
  <c r="BX52" i="7"/>
  <c r="BY52" i="7"/>
  <c r="BW35" i="8"/>
  <c r="BY24" i="9"/>
  <c r="BX24" i="9"/>
  <c r="BY56" i="10"/>
  <c r="BX56" i="10"/>
  <c r="BY43" i="11"/>
  <c r="BX43" i="11"/>
  <c r="BI69" i="12"/>
  <c r="BY53" i="10"/>
  <c r="BX53" i="10"/>
  <c r="H69" i="13"/>
  <c r="H70" i="13" s="1"/>
  <c r="H79" i="13"/>
  <c r="I13" i="13"/>
  <c r="AO22" i="11"/>
  <c r="AP22" i="11" s="1"/>
  <c r="AO29" i="10"/>
  <c r="AP29" i="10" s="1"/>
  <c r="AO5" i="9"/>
  <c r="AP5" i="9" s="1"/>
  <c r="AO52" i="10"/>
  <c r="AP52" i="10" s="1"/>
  <c r="BY13" i="6"/>
  <c r="BX13" i="6"/>
  <c r="BY50" i="7"/>
  <c r="BX50" i="7"/>
  <c r="BW9" i="8"/>
  <c r="BW34" i="8"/>
  <c r="BW7" i="8"/>
  <c r="BW11" i="8"/>
  <c r="BW52" i="8"/>
  <c r="BF69" i="12"/>
  <c r="AE18" i="2"/>
  <c r="S18" i="2"/>
  <c r="AK19" i="1"/>
  <c r="U19" i="1"/>
  <c r="AO13" i="6"/>
  <c r="AP13" i="6" s="1"/>
  <c r="AO15" i="11"/>
  <c r="AP15" i="11" s="1"/>
  <c r="AO16" i="10"/>
  <c r="AP16" i="10" s="1"/>
  <c r="AO18" i="7"/>
  <c r="AP18" i="7" s="1"/>
  <c r="AO26" i="7"/>
  <c r="AP26" i="7" s="1"/>
  <c r="AO34" i="8"/>
  <c r="AP34" i="8" s="1"/>
  <c r="AO36" i="7"/>
  <c r="AP36" i="7" s="1"/>
  <c r="AO38" i="12"/>
  <c r="AP38" i="12" s="1"/>
  <c r="AO55" i="6"/>
  <c r="AP55" i="6" s="1"/>
  <c r="AO57" i="12"/>
  <c r="AP57" i="12" s="1"/>
  <c r="AO14" i="6"/>
  <c r="AP14" i="6" s="1"/>
  <c r="AO20" i="11"/>
  <c r="AP20" i="11" s="1"/>
  <c r="AO28" i="9"/>
  <c r="AP28" i="9" s="1"/>
  <c r="BY4" i="6"/>
  <c r="BX4" i="6"/>
  <c r="AO18" i="6"/>
  <c r="AP18" i="6" s="1"/>
  <c r="AO23" i="8"/>
  <c r="AP23" i="8" s="1"/>
  <c r="AO40" i="6"/>
  <c r="AP40" i="6" s="1"/>
  <c r="AO46" i="11"/>
  <c r="AP46" i="11" s="1"/>
  <c r="AO54" i="12"/>
  <c r="AP54" i="12" s="1"/>
  <c r="BW10" i="8"/>
  <c r="BY6" i="9"/>
  <c r="BX6" i="9"/>
  <c r="BY27" i="11"/>
  <c r="BX27" i="11"/>
  <c r="U28" i="1"/>
  <c r="AK28" i="1"/>
  <c r="BY40" i="8"/>
  <c r="BX40" i="8"/>
  <c r="U20" i="1"/>
  <c r="AK20" i="1"/>
  <c r="D47" i="12"/>
  <c r="D47" i="10"/>
  <c r="D47" i="9"/>
  <c r="D47" i="8"/>
  <c r="D61" i="8" s="1"/>
  <c r="D47" i="7"/>
  <c r="D47" i="11"/>
  <c r="D60" i="11" s="1"/>
  <c r="D47" i="6"/>
  <c r="E56" i="2"/>
  <c r="E70" i="2" s="1"/>
  <c r="F56" i="1"/>
  <c r="G48" i="1"/>
  <c r="E69" i="1"/>
  <c r="E70" i="1"/>
  <c r="AP8" i="10"/>
  <c r="AP15" i="9"/>
  <c r="AP34" i="12"/>
  <c r="AP35" i="10"/>
  <c r="CC4" i="6"/>
  <c r="CB69" i="6"/>
  <c r="AP19" i="8"/>
  <c r="AP20" i="6"/>
  <c r="BW34" i="6"/>
  <c r="BW29" i="6"/>
  <c r="BW20" i="6"/>
  <c r="BW28" i="6"/>
  <c r="BW51" i="6"/>
  <c r="BW69" i="6" s="1"/>
  <c r="AP10" i="12"/>
  <c r="AP22" i="6"/>
  <c r="AP41" i="12"/>
  <c r="AO42" i="11"/>
  <c r="AP42" i="11" s="1"/>
  <c r="AP44" i="9"/>
  <c r="AO4" i="11"/>
  <c r="AP4" i="11" s="1"/>
  <c r="AO4" i="7"/>
  <c r="AP4" i="7" s="1"/>
  <c r="AO5" i="11"/>
  <c r="AP5" i="11" s="1"/>
  <c r="AO6" i="7"/>
  <c r="AP6" i="7" s="1"/>
  <c r="AP7" i="6"/>
  <c r="AP11" i="8"/>
  <c r="AP12" i="8"/>
  <c r="AO45" i="11"/>
  <c r="AP45" i="11" s="1"/>
  <c r="AO54" i="7"/>
  <c r="AP54" i="7" s="1"/>
  <c r="AP27" i="6"/>
  <c r="BW28" i="8"/>
  <c r="BI69" i="7"/>
  <c r="BJ4" i="7"/>
  <c r="BW36" i="7"/>
  <c r="BW46" i="10"/>
  <c r="BF69" i="9"/>
  <c r="BW15" i="10"/>
  <c r="BY21" i="9"/>
  <c r="BX21" i="9"/>
  <c r="BW28" i="10"/>
  <c r="BO69" i="11"/>
  <c r="BX4" i="12"/>
  <c r="BY4" i="12"/>
  <c r="BY39" i="12"/>
  <c r="BX39" i="12"/>
  <c r="BH69" i="11"/>
  <c r="BX43" i="12"/>
  <c r="BY43" i="12"/>
  <c r="BX9" i="9"/>
  <c r="BY9" i="9"/>
  <c r="BY26" i="9"/>
  <c r="BX26" i="9"/>
  <c r="BX28" i="9"/>
  <c r="BY28" i="9"/>
  <c r="BY10" i="11"/>
  <c r="BX10" i="11"/>
  <c r="AO8" i="11"/>
  <c r="AP8" i="11" s="1"/>
  <c r="AO13" i="12"/>
  <c r="AP13" i="12" s="1"/>
  <c r="AO26" i="6"/>
  <c r="AP26" i="6" s="1"/>
  <c r="AO35" i="11"/>
  <c r="AP35" i="11" s="1"/>
  <c r="AO37" i="11"/>
  <c r="AP37" i="11" s="1"/>
  <c r="AP47" i="10"/>
  <c r="AO56" i="11"/>
  <c r="AP56" i="11" s="1"/>
  <c r="BI69" i="6"/>
  <c r="AO19" i="12"/>
  <c r="AP19" i="12" s="1"/>
  <c r="BY39" i="6"/>
  <c r="BX39" i="6"/>
  <c r="AO10" i="7"/>
  <c r="AP10" i="7" s="1"/>
  <c r="AP22" i="10"/>
  <c r="AO40" i="12"/>
  <c r="AP40" i="12" s="1"/>
  <c r="AP44" i="8"/>
  <c r="AO4" i="10"/>
  <c r="AP4" i="10" s="1"/>
  <c r="AO5" i="12"/>
  <c r="AP5" i="12" s="1"/>
  <c r="AP7" i="8"/>
  <c r="AO11" i="7"/>
  <c r="AP11" i="7" s="1"/>
  <c r="AO45" i="7"/>
  <c r="AP45" i="7" s="1"/>
  <c r="AO50" i="6"/>
  <c r="AP50" i="6" s="1"/>
  <c r="AO54" i="10"/>
  <c r="AP54" i="10" s="1"/>
  <c r="AO32" i="6"/>
  <c r="AP32" i="6" s="1"/>
  <c r="BW20" i="7"/>
  <c r="BY43" i="6"/>
  <c r="BX43" i="6"/>
  <c r="BW50" i="9"/>
  <c r="BW29" i="9"/>
  <c r="BW25" i="9"/>
  <c r="BW56" i="9"/>
  <c r="BW39" i="9"/>
  <c r="BW13" i="9"/>
  <c r="BW37" i="9"/>
  <c r="BW20" i="9"/>
  <c r="BX14" i="9"/>
  <c r="BY14" i="9"/>
  <c r="BW30" i="10"/>
  <c r="BX4" i="9"/>
  <c r="BY4" i="9"/>
  <c r="BW6" i="10"/>
  <c r="BW55" i="10"/>
  <c r="BW29" i="11"/>
  <c r="BH60" i="12"/>
  <c r="BW50" i="10"/>
  <c r="BQ60" i="11"/>
  <c r="BW6" i="11"/>
  <c r="BW35" i="11"/>
  <c r="BW15" i="11"/>
  <c r="BW17" i="11"/>
  <c r="BW30" i="11"/>
  <c r="BW54" i="11"/>
  <c r="BW36" i="11"/>
  <c r="BW44" i="11"/>
  <c r="BW56" i="11"/>
  <c r="BW38" i="12"/>
  <c r="BW9" i="12"/>
  <c r="BW13" i="12"/>
  <c r="BW27" i="12"/>
  <c r="BW20" i="12"/>
  <c r="BW34" i="12"/>
  <c r="BY26" i="12"/>
  <c r="BX26" i="12"/>
  <c r="BX14" i="12"/>
  <c r="BY14" i="12"/>
  <c r="BX28" i="12"/>
  <c r="BY28" i="12"/>
  <c r="AO30" i="12"/>
  <c r="AP30" i="12" s="1"/>
  <c r="AO44" i="6"/>
  <c r="AP44" i="6" s="1"/>
  <c r="AO4" i="9"/>
  <c r="AP4" i="9" s="1"/>
  <c r="AO12" i="7"/>
  <c r="AP12" i="7" s="1"/>
  <c r="AP50" i="8"/>
  <c r="AP54" i="8"/>
  <c r="BY44" i="6"/>
  <c r="BZ44" i="6"/>
  <c r="BX44" i="6"/>
  <c r="BW12" i="8"/>
  <c r="BW26" i="8"/>
  <c r="BQ60" i="9"/>
  <c r="BX9" i="10"/>
  <c r="BY9" i="10"/>
  <c r="D48" i="12"/>
  <c r="D48" i="11"/>
  <c r="D48" i="10"/>
  <c r="D48" i="9"/>
  <c r="D48" i="8"/>
  <c r="D48" i="6"/>
  <c r="D48" i="7"/>
  <c r="E57" i="2"/>
  <c r="F57" i="1"/>
  <c r="AO15" i="12"/>
  <c r="AP15" i="12" s="1"/>
  <c r="AP18" i="8"/>
  <c r="AO37" i="6"/>
  <c r="AP37" i="6" s="1"/>
  <c r="AO55" i="12"/>
  <c r="AP55" i="12" s="1"/>
  <c r="AO56" i="10"/>
  <c r="AP56" i="10" s="1"/>
  <c r="AO9" i="7"/>
  <c r="AP9" i="7" s="1"/>
  <c r="AO19" i="10"/>
  <c r="AP19" i="10" s="1"/>
  <c r="AO20" i="9"/>
  <c r="AP20" i="9" s="1"/>
  <c r="AO48" i="9"/>
  <c r="AP48" i="9" s="1"/>
  <c r="BF69" i="6"/>
  <c r="BY11" i="6"/>
  <c r="BX11" i="6"/>
  <c r="AO29" i="12"/>
  <c r="AP29" i="12" s="1"/>
  <c r="AO30" i="10"/>
  <c r="AP30" i="10" s="1"/>
  <c r="AO40" i="7"/>
  <c r="AP40" i="7" s="1"/>
  <c r="AO43" i="12"/>
  <c r="AP43" i="12" s="1"/>
  <c r="AO44" i="11"/>
  <c r="AP44" i="11" s="1"/>
  <c r="AO49" i="12"/>
  <c r="AP49" i="12" s="1"/>
  <c r="AO5" i="10"/>
  <c r="AP5" i="10" s="1"/>
  <c r="AO7" i="10"/>
  <c r="AP7" i="10" s="1"/>
  <c r="AO11" i="6"/>
  <c r="AP11" i="6" s="1"/>
  <c r="AO24" i="7"/>
  <c r="AP24" i="7" s="1"/>
  <c r="AO31" i="11"/>
  <c r="AP31" i="11" s="1"/>
  <c r="AO51" i="12"/>
  <c r="AP51" i="12" s="1"/>
  <c r="AO53" i="10"/>
  <c r="AP53" i="10" s="1"/>
  <c r="BW7" i="7"/>
  <c r="BW12" i="7"/>
  <c r="BW10" i="7"/>
  <c r="BW8" i="7"/>
  <c r="BW17" i="7"/>
  <c r="BW51" i="7"/>
  <c r="BW35" i="7"/>
  <c r="BW43" i="7"/>
  <c r="BF69" i="8"/>
  <c r="BW11" i="10"/>
  <c r="BW43" i="10"/>
  <c r="BW29" i="10"/>
  <c r="BW10" i="10"/>
  <c r="BW25" i="10"/>
  <c r="BW27" i="10"/>
  <c r="BX40" i="10"/>
  <c r="BY40" i="10"/>
  <c r="BY25" i="12"/>
  <c r="BX25" i="12"/>
  <c r="BX40" i="12"/>
  <c r="BY40" i="12"/>
  <c r="BX25" i="11"/>
  <c r="BY25" i="11"/>
  <c r="H70" i="14"/>
  <c r="AO10" i="10"/>
  <c r="AP10" i="10" s="1"/>
  <c r="AO49" i="11"/>
  <c r="AP49" i="11" s="1"/>
  <c r="AO7" i="7"/>
  <c r="AP7" i="7" s="1"/>
  <c r="AO24" i="6"/>
  <c r="AP24" i="6" s="1"/>
  <c r="BW38" i="8"/>
  <c r="BW23" i="8"/>
  <c r="BW45" i="8"/>
  <c r="BW27" i="8"/>
  <c r="BW54" i="8"/>
  <c r="BW13" i="8"/>
  <c r="BR69" i="12"/>
  <c r="BX54" i="12"/>
  <c r="BY54" i="12"/>
  <c r="BZ54" i="12"/>
  <c r="X86" i="3"/>
  <c r="Z85" i="3"/>
  <c r="Y85" i="3"/>
  <c r="AE19" i="2"/>
  <c r="S19" i="2"/>
  <c r="AK31" i="1"/>
  <c r="U31" i="1"/>
  <c r="G59" i="1"/>
  <c r="V85" i="3"/>
  <c r="U85" i="3"/>
  <c r="S86" i="3"/>
  <c r="AO8" i="8"/>
  <c r="AP8" i="8" s="1"/>
  <c r="AO14" i="9"/>
  <c r="AP14" i="9" s="1"/>
  <c r="AO15" i="7"/>
  <c r="AP15" i="7" s="1"/>
  <c r="AO18" i="11"/>
  <c r="AP18" i="11" s="1"/>
  <c r="AO35" i="12"/>
  <c r="AP35" i="12" s="1"/>
  <c r="AO36" i="11"/>
  <c r="AP36" i="11" s="1"/>
  <c r="AO37" i="8"/>
  <c r="AP37" i="8" s="1"/>
  <c r="AO47" i="8"/>
  <c r="AP47" i="8" s="1"/>
  <c r="AO57" i="8"/>
  <c r="AP57" i="8" s="1"/>
  <c r="AO21" i="8"/>
  <c r="AP21" i="8" s="1"/>
  <c r="AO27" i="10"/>
  <c r="AP27" i="10" s="1"/>
  <c r="AO39" i="10"/>
  <c r="AP39" i="10" s="1"/>
  <c r="AO43" i="10"/>
  <c r="AP43" i="10" s="1"/>
  <c r="BX55" i="7"/>
  <c r="BY55" i="7"/>
  <c r="BW20" i="8"/>
  <c r="AE28" i="2"/>
  <c r="S28" i="2"/>
  <c r="AK33" i="1"/>
  <c r="U33" i="1"/>
  <c r="U22" i="1"/>
  <c r="AK22" i="1"/>
  <c r="AE20" i="2"/>
  <c r="S20" i="2"/>
  <c r="BH60" i="8"/>
  <c r="G56" i="1"/>
  <c r="AK41" i="1"/>
  <c r="U41" i="1"/>
  <c r="AP15" i="6"/>
  <c r="AP32" i="11"/>
  <c r="AP33" i="9"/>
  <c r="AP37" i="12"/>
  <c r="AP38" i="11"/>
  <c r="AP55" i="9"/>
  <c r="AP9" i="9"/>
  <c r="AP19" i="11"/>
  <c r="AP21" i="11"/>
  <c r="AP28" i="12"/>
  <c r="BW7" i="6"/>
  <c r="BW32" i="6"/>
  <c r="BW22" i="6"/>
  <c r="BW30" i="6"/>
  <c r="AP6" i="12"/>
  <c r="AO12" i="11"/>
  <c r="AP12" i="11" s="1"/>
  <c r="AP25" i="9"/>
  <c r="AP31" i="9"/>
  <c r="AO50" i="11"/>
  <c r="AP50" i="11" s="1"/>
  <c r="BY41" i="6"/>
  <c r="BX41" i="6"/>
  <c r="BY35" i="6"/>
  <c r="BX35" i="6"/>
  <c r="BX51" i="9"/>
  <c r="BY51" i="9"/>
  <c r="BW38" i="10"/>
  <c r="BW34" i="11"/>
  <c r="BY51" i="12"/>
  <c r="BX51" i="12"/>
  <c r="BY37" i="11"/>
  <c r="BX37" i="11"/>
  <c r="BX56" i="12"/>
  <c r="BY56" i="12"/>
  <c r="BY36" i="6"/>
  <c r="BX36" i="6"/>
  <c r="BW33" i="8"/>
  <c r="BX42" i="8"/>
  <c r="BY42" i="8"/>
  <c r="BX16" i="9"/>
  <c r="BY16" i="9"/>
  <c r="AO6" i="6"/>
  <c r="AP6" i="6" s="1"/>
  <c r="AO29" i="6"/>
  <c r="AP29" i="6" s="1"/>
  <c r="AO4" i="6"/>
  <c r="AP4" i="6" s="1"/>
  <c r="AO12" i="6"/>
  <c r="AP12" i="6" s="1"/>
  <c r="D55" i="12"/>
  <c r="D55" i="11"/>
  <c r="D55" i="10"/>
  <c r="D55" i="9"/>
  <c r="D60" i="9" s="1"/>
  <c r="D55" i="8"/>
  <c r="D55" i="7"/>
  <c r="D55" i="6"/>
  <c r="E64" i="2"/>
  <c r="F64" i="1"/>
  <c r="D68" i="12"/>
  <c r="AO13" i="11"/>
  <c r="AP13" i="11" s="1"/>
  <c r="AO16" i="12"/>
  <c r="AP16" i="12" s="1"/>
  <c r="AO33" i="7"/>
  <c r="AP33" i="7" s="1"/>
  <c r="AO35" i="6"/>
  <c r="AP35" i="6" s="1"/>
  <c r="AO56" i="7"/>
  <c r="AP56" i="7" s="1"/>
  <c r="AO57" i="6"/>
  <c r="AP57" i="6" s="1"/>
  <c r="AO28" i="11"/>
  <c r="AP28" i="11" s="1"/>
  <c r="AO39" i="12"/>
  <c r="AP39" i="12" s="1"/>
  <c r="AO30" i="6"/>
  <c r="AP30" i="6" s="1"/>
  <c r="AO41" i="11"/>
  <c r="AP41" i="11" s="1"/>
  <c r="AP31" i="8"/>
  <c r="AO45" i="6"/>
  <c r="AP45" i="6" s="1"/>
  <c r="BW22" i="7"/>
  <c r="BX45" i="6"/>
  <c r="BY45" i="6"/>
  <c r="CC4" i="8"/>
  <c r="CB69" i="8"/>
  <c r="BW15" i="9"/>
  <c r="BW27" i="9"/>
  <c r="BW5" i="9"/>
  <c r="BW43" i="9"/>
  <c r="BW17" i="9"/>
  <c r="BW41" i="9"/>
  <c r="BW22" i="9"/>
  <c r="BX44" i="9"/>
  <c r="BZ44" i="9"/>
  <c r="BY44" i="9"/>
  <c r="L60" i="9"/>
  <c r="BX42" i="9"/>
  <c r="BY42" i="9"/>
  <c r="BX53" i="9"/>
  <c r="BY53" i="9"/>
  <c r="BW7" i="11"/>
  <c r="BW8" i="11"/>
  <c r="BW33" i="11"/>
  <c r="BW41" i="11"/>
  <c r="BW24" i="11"/>
  <c r="L60" i="11"/>
  <c r="BW4" i="11"/>
  <c r="BW38" i="11"/>
  <c r="BW46" i="11"/>
  <c r="BW7" i="12"/>
  <c r="BW53" i="12"/>
  <c r="BW15" i="12"/>
  <c r="BW29" i="12"/>
  <c r="BW22" i="12"/>
  <c r="BW35" i="12"/>
  <c r="BY6" i="12"/>
  <c r="BX6" i="12"/>
  <c r="BX18" i="12"/>
  <c r="BY18" i="12"/>
  <c r="BY49" i="12"/>
  <c r="BX49" i="12"/>
  <c r="AO41" i="9"/>
  <c r="AP41" i="9" s="1"/>
  <c r="BW39" i="8"/>
  <c r="BW14" i="8"/>
  <c r="BY30" i="7"/>
  <c r="BX30" i="7"/>
  <c r="BW30" i="8"/>
  <c r="BX33" i="9"/>
  <c r="BY33" i="9"/>
  <c r="U38" i="1"/>
  <c r="AK38" i="1"/>
  <c r="D60" i="7"/>
  <c r="E13" i="7" s="1"/>
  <c r="AO8" i="6"/>
  <c r="AP8" i="6" s="1"/>
  <c r="AO13" i="10"/>
  <c r="AP13" i="10" s="1"/>
  <c r="AP15" i="8"/>
  <c r="AO18" i="12"/>
  <c r="AP18" i="12" s="1"/>
  <c r="AO33" i="11"/>
  <c r="AP33" i="11" s="1"/>
  <c r="AO34" i="10"/>
  <c r="AP34" i="10" s="1"/>
  <c r="AO35" i="9"/>
  <c r="AP35" i="9" s="1"/>
  <c r="AO47" i="9"/>
  <c r="AP47" i="9" s="1"/>
  <c r="AO55" i="7"/>
  <c r="AP55" i="7" s="1"/>
  <c r="AO9" i="12"/>
  <c r="AP9" i="12" s="1"/>
  <c r="AO28" i="6"/>
  <c r="AP28" i="6" s="1"/>
  <c r="AO10" i="6"/>
  <c r="AP10" i="6" s="1"/>
  <c r="AO22" i="12"/>
  <c r="AP22" i="12" s="1"/>
  <c r="AO23" i="10"/>
  <c r="AP23" i="10" s="1"/>
  <c r="AO41" i="6"/>
  <c r="AP41" i="6" s="1"/>
  <c r="BX18" i="6"/>
  <c r="BY18" i="6"/>
  <c r="AO4" i="8"/>
  <c r="AP4" i="8" s="1"/>
  <c r="AO5" i="7"/>
  <c r="AP5" i="7" s="1"/>
  <c r="AO11" i="10"/>
  <c r="AP11" i="10" s="1"/>
  <c r="AO12" i="9"/>
  <c r="AP12" i="9" s="1"/>
  <c r="AO25" i="6"/>
  <c r="AP25" i="6" s="1"/>
  <c r="AO46" i="12"/>
  <c r="AP46" i="12" s="1"/>
  <c r="AO54" i="9"/>
  <c r="AP54" i="9" s="1"/>
  <c r="BX10" i="6"/>
  <c r="BY10" i="6"/>
  <c r="BY52" i="6"/>
  <c r="BX52" i="6"/>
  <c r="BI7" i="6"/>
  <c r="BH60" i="6"/>
  <c r="BW29" i="7"/>
  <c r="BZ17" i="6"/>
  <c r="BY17" i="6"/>
  <c r="BX17" i="6"/>
  <c r="BW44" i="8"/>
  <c r="BJ69" i="8"/>
  <c r="BK4" i="8"/>
  <c r="L60" i="7"/>
  <c r="BW4" i="7"/>
  <c r="BW16" i="7"/>
  <c r="BW11" i="7"/>
  <c r="BW32" i="7"/>
  <c r="BW34" i="7"/>
  <c r="BW37" i="7"/>
  <c r="BW45" i="7"/>
  <c r="BY25" i="7"/>
  <c r="BX25" i="7"/>
  <c r="BQ60" i="10"/>
  <c r="CB4" i="9"/>
  <c r="CA69" i="9"/>
  <c r="BX10" i="9"/>
  <c r="BY10" i="9"/>
  <c r="BW21" i="10"/>
  <c r="BW41" i="10"/>
  <c r="BW34" i="10"/>
  <c r="BW14" i="10"/>
  <c r="BW32" i="10"/>
  <c r="BX56" i="7"/>
  <c r="BY56" i="7"/>
  <c r="BX40" i="9"/>
  <c r="BY40" i="9"/>
  <c r="BY32" i="11"/>
  <c r="BX32" i="11"/>
  <c r="BJ69" i="12"/>
  <c r="BK4" i="12"/>
  <c r="BX23" i="11"/>
  <c r="BY23" i="11"/>
  <c r="AO23" i="6"/>
  <c r="AP23" i="6" s="1"/>
  <c r="AO42" i="8"/>
  <c r="AP42" i="8" s="1"/>
  <c r="BX6" i="6"/>
  <c r="BY6" i="6"/>
  <c r="BW21" i="8"/>
  <c r="BW29" i="8"/>
  <c r="BW56" i="8"/>
  <c r="BW5" i="8"/>
  <c r="BW17" i="8"/>
  <c r="BO69" i="9"/>
  <c r="BX39" i="11"/>
  <c r="BY39" i="11"/>
  <c r="BY55" i="11"/>
  <c r="BX55" i="11"/>
  <c r="AK17" i="1"/>
  <c r="F70" i="1"/>
  <c r="U17" i="1"/>
  <c r="F69" i="1"/>
  <c r="H20" i="1" s="1"/>
  <c r="E9" i="7"/>
  <c r="E10" i="7"/>
  <c r="AE31" i="2"/>
  <c r="S31" i="2"/>
  <c r="G49" i="1"/>
  <c r="D60" i="10"/>
  <c r="D60" i="6"/>
  <c r="E13" i="6" s="1"/>
  <c r="AO13" i="8"/>
  <c r="AP13" i="8" s="1"/>
  <c r="AO17" i="12"/>
  <c r="AP17" i="12" s="1"/>
  <c r="AO32" i="8"/>
  <c r="AP32" i="8" s="1"/>
  <c r="AO38" i="8"/>
  <c r="AP38" i="8" s="1"/>
  <c r="AO47" i="12"/>
  <c r="AP47" i="12" s="1"/>
  <c r="AO55" i="10"/>
  <c r="AP55" i="10" s="1"/>
  <c r="AO56" i="9"/>
  <c r="AP56" i="9" s="1"/>
  <c r="AO38" i="6"/>
  <c r="AP38" i="6" s="1"/>
  <c r="L60" i="6"/>
  <c r="AO5" i="6"/>
  <c r="AP5" i="6" s="1"/>
  <c r="CB4" i="10"/>
  <c r="CA69" i="10"/>
  <c r="BY51" i="10"/>
  <c r="BX51" i="10"/>
  <c r="BX13" i="10"/>
  <c r="BY13" i="10"/>
  <c r="E19" i="10"/>
  <c r="AE33" i="2"/>
  <c r="S33" i="2"/>
  <c r="U40" i="1"/>
  <c r="AK40" i="1"/>
  <c r="AE22" i="2"/>
  <c r="S22" i="2"/>
  <c r="U36" i="1"/>
  <c r="AK36" i="1"/>
  <c r="BY14" i="6"/>
  <c r="BX14" i="6"/>
  <c r="E11" i="6"/>
  <c r="U35" i="1"/>
  <c r="H35" i="1"/>
  <c r="AK35" i="1"/>
  <c r="E38" i="11" l="1"/>
  <c r="E35" i="11"/>
  <c r="E7" i="11"/>
  <c r="E33" i="11"/>
  <c r="E18" i="11"/>
  <c r="E4" i="11"/>
  <c r="E44" i="11"/>
  <c r="E30" i="11"/>
  <c r="E20" i="11"/>
  <c r="E15" i="11"/>
  <c r="E46" i="11"/>
  <c r="E53" i="11"/>
  <c r="E56" i="11"/>
  <c r="E51" i="11"/>
  <c r="E57" i="11"/>
  <c r="E28" i="11"/>
  <c r="E16" i="11"/>
  <c r="E42" i="11"/>
  <c r="E17" i="11"/>
  <c r="E49" i="11"/>
  <c r="E36" i="11"/>
  <c r="E5" i="11"/>
  <c r="E41" i="11"/>
  <c r="E37" i="11"/>
  <c r="E54" i="11"/>
  <c r="E12" i="11"/>
  <c r="E43" i="11"/>
  <c r="E14" i="11"/>
  <c r="E25" i="11"/>
  <c r="E21" i="11"/>
  <c r="E52" i="11"/>
  <c r="E23" i="11"/>
  <c r="E34" i="11"/>
  <c r="E6" i="11"/>
  <c r="E11" i="11"/>
  <c r="E26" i="11"/>
  <c r="E27" i="11"/>
  <c r="E29" i="11"/>
  <c r="E31" i="11"/>
  <c r="E9" i="11"/>
  <c r="E24" i="11"/>
  <c r="E8" i="11"/>
  <c r="E32" i="11"/>
  <c r="E19" i="11"/>
  <c r="E22" i="11"/>
  <c r="E13" i="11"/>
  <c r="E10" i="11"/>
  <c r="E41" i="9"/>
  <c r="E33" i="9"/>
  <c r="E49" i="9"/>
  <c r="E23" i="9"/>
  <c r="E20" i="9"/>
  <c r="E5" i="9"/>
  <c r="E25" i="9"/>
  <c r="E14" i="9"/>
  <c r="E46" i="9"/>
  <c r="E44" i="9"/>
  <c r="E17" i="9"/>
  <c r="E53" i="9"/>
  <c r="E43" i="9"/>
  <c r="E37" i="9"/>
  <c r="E52" i="9"/>
  <c r="E7" i="9"/>
  <c r="E18" i="9"/>
  <c r="E34" i="9"/>
  <c r="E6" i="9"/>
  <c r="E56" i="9"/>
  <c r="E38" i="9"/>
  <c r="E16" i="9"/>
  <c r="E21" i="9"/>
  <c r="E30" i="9"/>
  <c r="E15" i="9"/>
  <c r="E12" i="9"/>
  <c r="E57" i="9"/>
  <c r="E36" i="9"/>
  <c r="E42" i="9"/>
  <c r="E28" i="9"/>
  <c r="E35" i="9"/>
  <c r="E54" i="9"/>
  <c r="E51" i="9"/>
  <c r="E4" i="9"/>
  <c r="E32" i="9"/>
  <c r="E31" i="9"/>
  <c r="E26" i="9"/>
  <c r="E11" i="9"/>
  <c r="E22" i="9"/>
  <c r="E13" i="9"/>
  <c r="E10" i="9"/>
  <c r="E27" i="9"/>
  <c r="E29" i="9"/>
  <c r="E19" i="9"/>
  <c r="E8" i="9"/>
  <c r="E9" i="9"/>
  <c r="E24" i="9"/>
  <c r="E20" i="10"/>
  <c r="E17" i="10"/>
  <c r="E51" i="10"/>
  <c r="E37" i="10"/>
  <c r="E6" i="10"/>
  <c r="E42" i="10"/>
  <c r="E38" i="10"/>
  <c r="E14" i="10"/>
  <c r="E5" i="10"/>
  <c r="E28" i="10"/>
  <c r="E56" i="10"/>
  <c r="E16" i="10"/>
  <c r="E25" i="10"/>
  <c r="E49" i="10"/>
  <c r="E44" i="10"/>
  <c r="E35" i="10"/>
  <c r="E15" i="10"/>
  <c r="E41" i="10"/>
  <c r="E23" i="10"/>
  <c r="E34" i="10"/>
  <c r="E53" i="10"/>
  <c r="E18" i="10"/>
  <c r="E43" i="10"/>
  <c r="E21" i="10"/>
  <c r="E7" i="10"/>
  <c r="E54" i="10"/>
  <c r="E4" i="10"/>
  <c r="E30" i="10"/>
  <c r="E57" i="10"/>
  <c r="E36" i="10"/>
  <c r="E52" i="10"/>
  <c r="E46" i="10"/>
  <c r="E33" i="10"/>
  <c r="E12" i="10"/>
  <c r="BY14" i="10"/>
  <c r="BX14" i="10"/>
  <c r="BY45" i="7"/>
  <c r="BX45" i="7"/>
  <c r="BY34" i="7"/>
  <c r="BX34" i="7"/>
  <c r="BY11" i="7"/>
  <c r="BX11" i="7"/>
  <c r="AP69" i="8"/>
  <c r="AP60" i="8"/>
  <c r="BY22" i="12"/>
  <c r="BX22" i="12"/>
  <c r="BX7" i="12"/>
  <c r="BY7" i="12"/>
  <c r="BX38" i="11"/>
  <c r="BY38" i="11"/>
  <c r="BY24" i="11"/>
  <c r="BX24" i="11"/>
  <c r="CA44" i="9"/>
  <c r="CB44" i="9" s="1"/>
  <c r="CC44" i="9" s="1"/>
  <c r="CD44" i="9" s="1"/>
  <c r="BR44" i="9"/>
  <c r="BY43" i="9"/>
  <c r="BX43" i="9"/>
  <c r="E55" i="7"/>
  <c r="E55" i="11"/>
  <c r="BX33" i="8"/>
  <c r="BY33" i="8"/>
  <c r="H41" i="1"/>
  <c r="E26" i="10"/>
  <c r="E27" i="7"/>
  <c r="H22" i="1"/>
  <c r="E10" i="10"/>
  <c r="E9" i="10"/>
  <c r="BY13" i="8"/>
  <c r="BX13" i="8"/>
  <c r="BY27" i="8"/>
  <c r="BX27" i="8"/>
  <c r="BY23" i="8"/>
  <c r="BX23" i="8"/>
  <c r="BY27" i="10"/>
  <c r="BX27" i="10"/>
  <c r="BY11" i="10"/>
  <c r="BX11" i="10"/>
  <c r="BX17" i="7"/>
  <c r="BZ17" i="7"/>
  <c r="BY17" i="7"/>
  <c r="BY7" i="7"/>
  <c r="BX7" i="7"/>
  <c r="D61" i="7"/>
  <c r="E48" i="6"/>
  <c r="E48" i="11"/>
  <c r="BY26" i="8"/>
  <c r="BX26" i="8"/>
  <c r="CA44" i="6"/>
  <c r="CB44" i="6" s="1"/>
  <c r="CC44" i="6" s="1"/>
  <c r="CD44" i="6" s="1"/>
  <c r="BR44" i="6"/>
  <c r="BY13" i="12"/>
  <c r="BX13" i="12"/>
  <c r="BY38" i="12"/>
  <c r="BX38" i="12"/>
  <c r="BZ54" i="11"/>
  <c r="BY54" i="11"/>
  <c r="BX54" i="11"/>
  <c r="BY17" i="11"/>
  <c r="BX17" i="11"/>
  <c r="BZ17" i="11"/>
  <c r="BY35" i="11"/>
  <c r="BX35" i="11"/>
  <c r="BY39" i="9"/>
  <c r="BX39" i="9"/>
  <c r="BY25" i="9"/>
  <c r="BX25" i="9"/>
  <c r="BY50" i="9"/>
  <c r="BX50" i="9"/>
  <c r="BY20" i="7"/>
  <c r="BX20" i="7"/>
  <c r="BX46" i="10"/>
  <c r="BY46" i="10"/>
  <c r="BJ69" i="7"/>
  <c r="BK4" i="7"/>
  <c r="G65" i="1"/>
  <c r="G61" i="1"/>
  <c r="G45" i="1"/>
  <c r="G35" i="1"/>
  <c r="I35" i="1" s="1"/>
  <c r="AA35" i="1" s="1"/>
  <c r="G33" i="1"/>
  <c r="G21" i="1"/>
  <c r="G19" i="1"/>
  <c r="G63" i="1"/>
  <c r="G55" i="1"/>
  <c r="G47" i="1"/>
  <c r="G43" i="1"/>
  <c r="G29" i="1"/>
  <c r="G17" i="1"/>
  <c r="G53" i="1"/>
  <c r="G51" i="1"/>
  <c r="G41" i="1"/>
  <c r="G39" i="1"/>
  <c r="G37" i="1"/>
  <c r="G31" i="1"/>
  <c r="G27" i="1"/>
  <c r="G25" i="1"/>
  <c r="G23" i="1"/>
  <c r="G15" i="1"/>
  <c r="G13" i="1"/>
  <c r="G32" i="1"/>
  <c r="G16" i="1"/>
  <c r="G34" i="1"/>
  <c r="G24" i="1"/>
  <c r="G40" i="1"/>
  <c r="G36" i="1"/>
  <c r="G58" i="1"/>
  <c r="G20" i="1"/>
  <c r="I20" i="1" s="1"/>
  <c r="AA20" i="1" s="1"/>
  <c r="G62" i="1"/>
  <c r="G60" i="1"/>
  <c r="G22" i="1"/>
  <c r="G42" i="1"/>
  <c r="G14" i="1"/>
  <c r="G38" i="1"/>
  <c r="G28" i="1"/>
  <c r="G26" i="1"/>
  <c r="G50" i="1"/>
  <c r="G46" i="1"/>
  <c r="G66" i="1"/>
  <c r="G30" i="1"/>
  <c r="G52" i="1"/>
  <c r="G18" i="1"/>
  <c r="G44" i="1"/>
  <c r="E47" i="6"/>
  <c r="E47" i="9"/>
  <c r="E26" i="6"/>
  <c r="BY34" i="8"/>
  <c r="BX34" i="8"/>
  <c r="I79" i="13"/>
  <c r="I69" i="13"/>
  <c r="I70" i="13" s="1"/>
  <c r="J13" i="13"/>
  <c r="BY39" i="10"/>
  <c r="BX39" i="10"/>
  <c r="BX46" i="8"/>
  <c r="BY46" i="8"/>
  <c r="BS69" i="10"/>
  <c r="BT4" i="10"/>
  <c r="BY44" i="7"/>
  <c r="BX44" i="7"/>
  <c r="BZ44" i="7"/>
  <c r="BX5" i="7"/>
  <c r="BY5" i="7"/>
  <c r="G54" i="1"/>
  <c r="BY11" i="12"/>
  <c r="BX11" i="12"/>
  <c r="BY5" i="12"/>
  <c r="BX5" i="12"/>
  <c r="BY52" i="11"/>
  <c r="BX52" i="11"/>
  <c r="BY16" i="11"/>
  <c r="BX16" i="11"/>
  <c r="BY28" i="11"/>
  <c r="BX28" i="11"/>
  <c r="BY24" i="10"/>
  <c r="BX24" i="10"/>
  <c r="BY52" i="9"/>
  <c r="BX52" i="9"/>
  <c r="BX7" i="9"/>
  <c r="BY7" i="9"/>
  <c r="BX6" i="8"/>
  <c r="BY6" i="8"/>
  <c r="CA17" i="10"/>
  <c r="BI17" i="10"/>
  <c r="BZ54" i="7"/>
  <c r="BX54" i="7"/>
  <c r="BY54" i="7"/>
  <c r="BY9" i="11"/>
  <c r="BX9" i="11"/>
  <c r="BY26" i="7"/>
  <c r="BX26" i="7"/>
  <c r="BY22" i="8"/>
  <c r="BX22" i="8"/>
  <c r="BY27" i="6"/>
  <c r="BX27" i="6"/>
  <c r="E11" i="7"/>
  <c r="E24" i="6"/>
  <c r="E50" i="7"/>
  <c r="E50" i="11"/>
  <c r="E69" i="2"/>
  <c r="BY41" i="8"/>
  <c r="BX41" i="8"/>
  <c r="BX32" i="8"/>
  <c r="BY32" i="8"/>
  <c r="BY35" i="10"/>
  <c r="BX35" i="10"/>
  <c r="BY37" i="10"/>
  <c r="BX37" i="10"/>
  <c r="BY14" i="7"/>
  <c r="BX14" i="7"/>
  <c r="BX51" i="11"/>
  <c r="BY51" i="11"/>
  <c r="BX14" i="11"/>
  <c r="BY14" i="11"/>
  <c r="BX11" i="11"/>
  <c r="BY11" i="11"/>
  <c r="BY32" i="9"/>
  <c r="BX32" i="9"/>
  <c r="BX18" i="8"/>
  <c r="BY18" i="8"/>
  <c r="AD75" i="3"/>
  <c r="AD77" i="3" s="1"/>
  <c r="AD84" i="3"/>
  <c r="BX51" i="8"/>
  <c r="BY51" i="8"/>
  <c r="BY52" i="10"/>
  <c r="BX52" i="10"/>
  <c r="BY49" i="8"/>
  <c r="BX49" i="8"/>
  <c r="BY24" i="6"/>
  <c r="BX24" i="6"/>
  <c r="V82" i="3"/>
  <c r="U82" i="3"/>
  <c r="E40" i="6"/>
  <c r="E40" i="11"/>
  <c r="E45" i="6"/>
  <c r="E45" i="7"/>
  <c r="U48" i="1"/>
  <c r="H48" i="1"/>
  <c r="I48" i="1" s="1"/>
  <c r="AA48" i="1" s="1"/>
  <c r="AK48" i="1"/>
  <c r="H52" i="1"/>
  <c r="I52" i="1" s="1"/>
  <c r="AA52" i="1" s="1"/>
  <c r="H50" i="1"/>
  <c r="I50" i="1" s="1"/>
  <c r="AA50" i="1" s="1"/>
  <c r="H46" i="1"/>
  <c r="I46" i="1" s="1"/>
  <c r="AA46" i="1" s="1"/>
  <c r="H44" i="1"/>
  <c r="I44" i="1" s="1"/>
  <c r="AA44" i="1" s="1"/>
  <c r="H42" i="1"/>
  <c r="I42" i="1" s="1"/>
  <c r="AA42" i="1" s="1"/>
  <c r="H34" i="1"/>
  <c r="I34" i="1" s="1"/>
  <c r="AA34" i="1" s="1"/>
  <c r="H32" i="1"/>
  <c r="I32" i="1" s="1"/>
  <c r="AA32" i="1" s="1"/>
  <c r="H30" i="1"/>
  <c r="I30" i="1" s="1"/>
  <c r="AA30" i="1" s="1"/>
  <c r="H26" i="1"/>
  <c r="I26" i="1" s="1"/>
  <c r="AA26" i="1" s="1"/>
  <c r="H24" i="1"/>
  <c r="I24" i="1" s="1"/>
  <c r="AA24" i="1" s="1"/>
  <c r="H16" i="1"/>
  <c r="I16" i="1" s="1"/>
  <c r="AA16" i="1" s="1"/>
  <c r="H14" i="1"/>
  <c r="I14" i="1" s="1"/>
  <c r="AA14" i="1" s="1"/>
  <c r="H65" i="1"/>
  <c r="I65" i="1" s="1"/>
  <c r="AA65" i="1" s="1"/>
  <c r="H63" i="1"/>
  <c r="I63" i="1" s="1"/>
  <c r="AA63" i="1" s="1"/>
  <c r="H61" i="1"/>
  <c r="I61" i="1" s="1"/>
  <c r="AA61" i="1" s="1"/>
  <c r="H43" i="1"/>
  <c r="I43" i="1" s="1"/>
  <c r="AA43" i="1" s="1"/>
  <c r="H45" i="1"/>
  <c r="I45" i="1" s="1"/>
  <c r="AA45" i="1" s="1"/>
  <c r="H47" i="1"/>
  <c r="I47" i="1" s="1"/>
  <c r="AA47" i="1" s="1"/>
  <c r="H58" i="1"/>
  <c r="I58" i="1" s="1"/>
  <c r="AA58" i="1" s="1"/>
  <c r="H62" i="1"/>
  <c r="I62" i="1" s="1"/>
  <c r="AA62" i="1" s="1"/>
  <c r="H13" i="1"/>
  <c r="H21" i="1"/>
  <c r="I21" i="1" s="1"/>
  <c r="AA21" i="1" s="1"/>
  <c r="H23" i="1"/>
  <c r="I23" i="1" s="1"/>
  <c r="AA23" i="1" s="1"/>
  <c r="H25" i="1"/>
  <c r="I25" i="1" s="1"/>
  <c r="AA25" i="1" s="1"/>
  <c r="H27" i="1"/>
  <c r="I27" i="1" s="1"/>
  <c r="AA27" i="1" s="1"/>
  <c r="H29" i="1"/>
  <c r="I29" i="1" s="1"/>
  <c r="AA29" i="1" s="1"/>
  <c r="H37" i="1"/>
  <c r="I37" i="1" s="1"/>
  <c r="AA37" i="1" s="1"/>
  <c r="H39" i="1"/>
  <c r="I39" i="1" s="1"/>
  <c r="AA39" i="1" s="1"/>
  <c r="H60" i="1"/>
  <c r="I60" i="1" s="1"/>
  <c r="AA60" i="1" s="1"/>
  <c r="H15" i="1"/>
  <c r="I15" i="1" s="1"/>
  <c r="AA15" i="1" s="1"/>
  <c r="H51" i="1"/>
  <c r="I51" i="1" s="1"/>
  <c r="AA51" i="1" s="1"/>
  <c r="H53" i="1"/>
  <c r="I53" i="1" s="1"/>
  <c r="AA53" i="1" s="1"/>
  <c r="H55" i="1"/>
  <c r="I55" i="1" s="1"/>
  <c r="AA55" i="1" s="1"/>
  <c r="H66" i="1"/>
  <c r="I66" i="1" s="1"/>
  <c r="AA66" i="1" s="1"/>
  <c r="H36" i="1"/>
  <c r="I36" i="1" s="1"/>
  <c r="AA36" i="1" s="1"/>
  <c r="E19" i="6"/>
  <c r="H17" i="1"/>
  <c r="I17" i="1" s="1"/>
  <c r="AA17" i="1" s="1"/>
  <c r="BX5" i="8"/>
  <c r="BY5" i="8"/>
  <c r="BY29" i="8"/>
  <c r="BX29" i="8"/>
  <c r="BY21" i="10"/>
  <c r="BX21" i="10"/>
  <c r="BY16" i="7"/>
  <c r="BX16" i="7"/>
  <c r="BX44" i="8"/>
  <c r="BZ44" i="8"/>
  <c r="BY44" i="8"/>
  <c r="CA17" i="6"/>
  <c r="BI17" i="6"/>
  <c r="BJ17" i="6" s="1"/>
  <c r="BK17" i="6" s="1"/>
  <c r="BL17" i="6" s="1"/>
  <c r="BZ60" i="6"/>
  <c r="BJ7" i="6"/>
  <c r="BI60" i="6"/>
  <c r="BY39" i="8"/>
  <c r="BX39" i="8"/>
  <c r="BY53" i="12"/>
  <c r="BX53" i="12"/>
  <c r="BY33" i="11"/>
  <c r="BX33" i="11"/>
  <c r="BY7" i="11"/>
  <c r="BX7" i="11"/>
  <c r="BY41" i="9"/>
  <c r="BX41" i="9"/>
  <c r="BX27" i="9"/>
  <c r="BY27" i="9"/>
  <c r="CC69" i="8"/>
  <c r="CD4" i="8"/>
  <c r="U64" i="1"/>
  <c r="H64" i="1"/>
  <c r="AK64" i="1"/>
  <c r="AP69" i="6"/>
  <c r="AP60" i="6"/>
  <c r="BX38" i="10"/>
  <c r="BY38" i="10"/>
  <c r="BY22" i="6"/>
  <c r="BX22" i="6"/>
  <c r="E26" i="7"/>
  <c r="BX20" i="8"/>
  <c r="BY20" i="8"/>
  <c r="H31" i="1"/>
  <c r="I31" i="1" s="1"/>
  <c r="E9" i="6"/>
  <c r="BZ54" i="8"/>
  <c r="BY54" i="8"/>
  <c r="BX54" i="8"/>
  <c r="BY45" i="8"/>
  <c r="BX45" i="8"/>
  <c r="BY38" i="8"/>
  <c r="BX38" i="8"/>
  <c r="BY10" i="10"/>
  <c r="BX10" i="10"/>
  <c r="BX35" i="7"/>
  <c r="BY35" i="7"/>
  <c r="BY10" i="7"/>
  <c r="BX10" i="7"/>
  <c r="U57" i="1"/>
  <c r="H57" i="1"/>
  <c r="AK57" i="1"/>
  <c r="BY12" i="8"/>
  <c r="BX12" i="8"/>
  <c r="AP69" i="9"/>
  <c r="AP60" i="9"/>
  <c r="BX20" i="12"/>
  <c r="BY20" i="12"/>
  <c r="BZ44" i="11"/>
  <c r="BY44" i="11"/>
  <c r="BX44" i="11"/>
  <c r="BY29" i="11"/>
  <c r="BX29" i="11"/>
  <c r="BX6" i="10"/>
  <c r="BY6" i="10"/>
  <c r="BY37" i="9"/>
  <c r="BX37" i="9"/>
  <c r="AP60" i="10"/>
  <c r="AP69" i="10"/>
  <c r="D61" i="12"/>
  <c r="BX28" i="10"/>
  <c r="BY28" i="10"/>
  <c r="BX15" i="10"/>
  <c r="BY15" i="10"/>
  <c r="BX20" i="6"/>
  <c r="BY20" i="6"/>
  <c r="BY29" i="6"/>
  <c r="BX29" i="6"/>
  <c r="E47" i="11"/>
  <c r="E47" i="10"/>
  <c r="E31" i="6"/>
  <c r="H19" i="1"/>
  <c r="I19" i="1" s="1"/>
  <c r="AA19" i="1" s="1"/>
  <c r="E8" i="6"/>
  <c r="BY52" i="8"/>
  <c r="BX52" i="8"/>
  <c r="BY7" i="8"/>
  <c r="BX7" i="8"/>
  <c r="BX35" i="8"/>
  <c r="BY35" i="8"/>
  <c r="BY45" i="10"/>
  <c r="BX45" i="10"/>
  <c r="BX7" i="10"/>
  <c r="BY7" i="10"/>
  <c r="BY41" i="7"/>
  <c r="BX41" i="7"/>
  <c r="BY6" i="7"/>
  <c r="BX6" i="7"/>
  <c r="BS69" i="9"/>
  <c r="BT4" i="9"/>
  <c r="BY46" i="12"/>
  <c r="BX46" i="12"/>
  <c r="BY55" i="12"/>
  <c r="BX55" i="12"/>
  <c r="BY23" i="12"/>
  <c r="BX23" i="12"/>
  <c r="BX44" i="10"/>
  <c r="BZ44" i="10"/>
  <c r="BY44" i="10"/>
  <c r="BX20" i="10"/>
  <c r="BY20" i="10"/>
  <c r="BY11" i="9"/>
  <c r="BX11" i="9"/>
  <c r="BY23" i="9"/>
  <c r="BX23" i="9"/>
  <c r="BY50" i="8"/>
  <c r="BX50" i="8"/>
  <c r="BY28" i="7"/>
  <c r="BX28" i="7"/>
  <c r="BY42" i="12"/>
  <c r="BX42" i="12"/>
  <c r="BJ69" i="9"/>
  <c r="BK4" i="9"/>
  <c r="BY26" i="6"/>
  <c r="BX26" i="6"/>
  <c r="BY23" i="6"/>
  <c r="BX23" i="6"/>
  <c r="D61" i="9"/>
  <c r="E13" i="10"/>
  <c r="AK59" i="1"/>
  <c r="U59" i="1"/>
  <c r="H59" i="1"/>
  <c r="I59" i="1" s="1"/>
  <c r="AA59" i="1" s="1"/>
  <c r="E10" i="6"/>
  <c r="H18" i="1"/>
  <c r="I18" i="1" s="1"/>
  <c r="AA18" i="1" s="1"/>
  <c r="BT69" i="12"/>
  <c r="BU4" i="12"/>
  <c r="BY8" i="8"/>
  <c r="BX8" i="8"/>
  <c r="BY16" i="8"/>
  <c r="BX16" i="8"/>
  <c r="J69" i="14"/>
  <c r="J70" i="14" s="1"/>
  <c r="J79" i="14"/>
  <c r="K13" i="14"/>
  <c r="BY5" i="10"/>
  <c r="BX5" i="10"/>
  <c r="BX40" i="7"/>
  <c r="BY40" i="7"/>
  <c r="G57" i="1"/>
  <c r="BZ44" i="12"/>
  <c r="BY44" i="12"/>
  <c r="BX44" i="12"/>
  <c r="BY8" i="12"/>
  <c r="BX8" i="12"/>
  <c r="BY22" i="10"/>
  <c r="BX22" i="10"/>
  <c r="BY35" i="9"/>
  <c r="BX35" i="9"/>
  <c r="BX69" i="9" s="1"/>
  <c r="BS69" i="7"/>
  <c r="BT4" i="7"/>
  <c r="AD69" i="3"/>
  <c r="BT69" i="6"/>
  <c r="BU4" i="6"/>
  <c r="CB69" i="11"/>
  <c r="CC4" i="11"/>
  <c r="BX33" i="6"/>
  <c r="BY33" i="6"/>
  <c r="BX50" i="6"/>
  <c r="BY50" i="6"/>
  <c r="D61" i="11"/>
  <c r="U49" i="1"/>
  <c r="H49" i="1"/>
  <c r="I49" i="1" s="1"/>
  <c r="AA49" i="1" s="1"/>
  <c r="AK49" i="1"/>
  <c r="E45" i="10"/>
  <c r="E45" i="11"/>
  <c r="AE48" i="2"/>
  <c r="F48" i="2"/>
  <c r="S48" i="2"/>
  <c r="E39" i="9"/>
  <c r="E11" i="10"/>
  <c r="H40" i="1"/>
  <c r="I40" i="1" s="1"/>
  <c r="E22" i="10"/>
  <c r="BX32" i="10"/>
  <c r="BY32" i="10"/>
  <c r="BX34" i="10"/>
  <c r="BY34" i="10"/>
  <c r="BY37" i="7"/>
  <c r="BX37" i="7"/>
  <c r="BY32" i="7"/>
  <c r="BX32" i="7"/>
  <c r="BK69" i="8"/>
  <c r="BL4" i="8"/>
  <c r="E49" i="7"/>
  <c r="E44" i="7"/>
  <c r="E51" i="7"/>
  <c r="E7" i="7"/>
  <c r="E57" i="7"/>
  <c r="E53" i="7"/>
  <c r="E30" i="7"/>
  <c r="E28" i="7"/>
  <c r="E37" i="7"/>
  <c r="E43" i="7"/>
  <c r="E36" i="7"/>
  <c r="E16" i="7"/>
  <c r="E5" i="7"/>
  <c r="E56" i="7"/>
  <c r="E35" i="7"/>
  <c r="E54" i="7"/>
  <c r="E52" i="7"/>
  <c r="E12" i="7"/>
  <c r="E41" i="7"/>
  <c r="E14" i="7"/>
  <c r="E46" i="7"/>
  <c r="E25" i="7"/>
  <c r="E21" i="7"/>
  <c r="E33" i="7"/>
  <c r="E23" i="7"/>
  <c r="E34" i="7"/>
  <c r="E6" i="7"/>
  <c r="E38" i="7"/>
  <c r="E17" i="7"/>
  <c r="E20" i="7"/>
  <c r="E18" i="7"/>
  <c r="E4" i="7"/>
  <c r="E15" i="7"/>
  <c r="E42" i="7"/>
  <c r="H38" i="1"/>
  <c r="I38" i="1" s="1"/>
  <c r="BX30" i="8"/>
  <c r="BY30" i="8"/>
  <c r="BY14" i="8"/>
  <c r="BX14" i="8"/>
  <c r="BY35" i="12"/>
  <c r="BX35" i="12"/>
  <c r="BX29" i="12"/>
  <c r="BY29" i="12"/>
  <c r="BY46" i="11"/>
  <c r="BX46" i="11"/>
  <c r="BW69" i="11"/>
  <c r="BW60" i="11"/>
  <c r="BY4" i="11"/>
  <c r="BX4" i="11"/>
  <c r="BY41" i="11"/>
  <c r="BX41" i="11"/>
  <c r="BY22" i="9"/>
  <c r="BX22" i="9"/>
  <c r="BY5" i="9"/>
  <c r="BX5" i="9"/>
  <c r="BY15" i="9"/>
  <c r="BX15" i="9"/>
  <c r="BX22" i="7"/>
  <c r="BY22" i="7"/>
  <c r="AE64" i="2"/>
  <c r="S64" i="2"/>
  <c r="F64" i="2"/>
  <c r="E55" i="9"/>
  <c r="BX30" i="6"/>
  <c r="BY30" i="6"/>
  <c r="BY7" i="6"/>
  <c r="BX7" i="6"/>
  <c r="E31" i="10"/>
  <c r="H33" i="1"/>
  <c r="I33" i="1" s="1"/>
  <c r="AA33" i="1" s="1"/>
  <c r="X47" i="3"/>
  <c r="Z86" i="3"/>
  <c r="Y86" i="3"/>
  <c r="BY25" i="10"/>
  <c r="BX25" i="10"/>
  <c r="BY43" i="10"/>
  <c r="BX43" i="10"/>
  <c r="BY51" i="7"/>
  <c r="BX51" i="7"/>
  <c r="BY12" i="7"/>
  <c r="BX12" i="7"/>
  <c r="S57" i="2"/>
  <c r="AE57" i="2"/>
  <c r="F57" i="2"/>
  <c r="E48" i="9"/>
  <c r="BY15" i="11"/>
  <c r="BX15" i="11"/>
  <c r="BY6" i="11"/>
  <c r="BX6" i="11"/>
  <c r="BY50" i="10"/>
  <c r="BX50" i="10"/>
  <c r="BW60" i="9"/>
  <c r="BX30" i="10"/>
  <c r="BY30" i="10"/>
  <c r="BY56" i="9"/>
  <c r="BX56" i="9"/>
  <c r="BW60" i="12"/>
  <c r="BY36" i="7"/>
  <c r="BX36" i="7"/>
  <c r="AP69" i="7"/>
  <c r="AP60" i="7"/>
  <c r="BY51" i="6"/>
  <c r="BX51" i="6"/>
  <c r="E32" i="7"/>
  <c r="U56" i="1"/>
  <c r="H56" i="1"/>
  <c r="I56" i="1" s="1"/>
  <c r="AK56" i="1"/>
  <c r="E47" i="7"/>
  <c r="E27" i="10"/>
  <c r="BX10" i="8"/>
  <c r="BY10" i="8"/>
  <c r="E22" i="7"/>
  <c r="BY9" i="8"/>
  <c r="BX9" i="8"/>
  <c r="BY18" i="10"/>
  <c r="BX18" i="10"/>
  <c r="BY23" i="10"/>
  <c r="BX23" i="10"/>
  <c r="BY36" i="8"/>
  <c r="BX36" i="8"/>
  <c r="CB69" i="7"/>
  <c r="CC4" i="7"/>
  <c r="BX15" i="7"/>
  <c r="BY15" i="7"/>
  <c r="BY42" i="7"/>
  <c r="BX42" i="7"/>
  <c r="E29" i="6"/>
  <c r="BY42" i="11"/>
  <c r="BX42" i="11"/>
  <c r="BY26" i="11"/>
  <c r="BX26" i="11"/>
  <c r="BX13" i="11"/>
  <c r="BY13" i="11"/>
  <c r="BW69" i="10"/>
  <c r="BX4" i="10"/>
  <c r="BW60" i="10"/>
  <c r="BY4" i="10"/>
  <c r="BX34" i="9"/>
  <c r="BY34" i="9"/>
  <c r="BK69" i="6"/>
  <c r="BL4" i="6"/>
  <c r="AP69" i="12"/>
  <c r="AP60" i="12"/>
  <c r="BJ69" i="11"/>
  <c r="BK4" i="11"/>
  <c r="BJ69" i="10"/>
  <c r="BK4" i="10"/>
  <c r="BY23" i="7"/>
  <c r="BX23" i="7"/>
  <c r="BX49" i="6"/>
  <c r="BY49" i="6"/>
  <c r="E32" i="6"/>
  <c r="E19" i="7"/>
  <c r="CA54" i="6"/>
  <c r="CB54" i="6" s="1"/>
  <c r="CC54" i="6" s="1"/>
  <c r="CD54" i="6" s="1"/>
  <c r="BR54" i="6"/>
  <c r="BS54" i="6" s="1"/>
  <c r="BT54" i="6" s="1"/>
  <c r="BU54" i="6" s="1"/>
  <c r="AE59" i="2"/>
  <c r="S59" i="2"/>
  <c r="F59" i="2"/>
  <c r="E50" i="9"/>
  <c r="CA54" i="10"/>
  <c r="CB54" i="10" s="1"/>
  <c r="CC54" i="10" s="1"/>
  <c r="CD54" i="10" s="1"/>
  <c r="BR54" i="10"/>
  <c r="BS54" i="10" s="1"/>
  <c r="BT54" i="10" s="1"/>
  <c r="BU54" i="10" s="1"/>
  <c r="BY25" i="8"/>
  <c r="BX25" i="8"/>
  <c r="BY15" i="8"/>
  <c r="BX15" i="8"/>
  <c r="BY12" i="10"/>
  <c r="BX12" i="10"/>
  <c r="BY49" i="10"/>
  <c r="BX49" i="10"/>
  <c r="BY39" i="7"/>
  <c r="BX39" i="7"/>
  <c r="BT69" i="8"/>
  <c r="BU4" i="8"/>
  <c r="E29" i="10"/>
  <c r="BZ17" i="12"/>
  <c r="BY17" i="12"/>
  <c r="BX17" i="12"/>
  <c r="BX32" i="12"/>
  <c r="BY32" i="12"/>
  <c r="BY40" i="11"/>
  <c r="BX40" i="11"/>
  <c r="BY20" i="11"/>
  <c r="BX20" i="11"/>
  <c r="BX45" i="11"/>
  <c r="BY45" i="11"/>
  <c r="BY33" i="10"/>
  <c r="BX33" i="10"/>
  <c r="BX42" i="10"/>
  <c r="BY42" i="10"/>
  <c r="BY5" i="11"/>
  <c r="BX5" i="11"/>
  <c r="BY8" i="9"/>
  <c r="BX8" i="9"/>
  <c r="BX24" i="7"/>
  <c r="BY24" i="7"/>
  <c r="AD88" i="3"/>
  <c r="AD90" i="3" s="1"/>
  <c r="CC69" i="12"/>
  <c r="CD4" i="12"/>
  <c r="BY9" i="6"/>
  <c r="BX9" i="6"/>
  <c r="D61" i="6"/>
  <c r="S49" i="2"/>
  <c r="AE49" i="2"/>
  <c r="F49" i="2"/>
  <c r="E40" i="9"/>
  <c r="S54" i="2"/>
  <c r="AE54" i="2"/>
  <c r="F54" i="2"/>
  <c r="E39" i="6"/>
  <c r="E39" i="10"/>
  <c r="CB69" i="10"/>
  <c r="CC4" i="10"/>
  <c r="E21" i="6"/>
  <c r="E56" i="6"/>
  <c r="E14" i="6"/>
  <c r="E35" i="6"/>
  <c r="E15" i="6"/>
  <c r="E20" i="6"/>
  <c r="E41" i="6"/>
  <c r="E28" i="6"/>
  <c r="E16" i="6"/>
  <c r="E18" i="6"/>
  <c r="E4" i="6"/>
  <c r="E49" i="6"/>
  <c r="E30" i="6"/>
  <c r="E54" i="6"/>
  <c r="E12" i="6"/>
  <c r="E23" i="6"/>
  <c r="E57" i="6"/>
  <c r="E36" i="6"/>
  <c r="E52" i="6"/>
  <c r="E17" i="6"/>
  <c r="E43" i="6"/>
  <c r="E51" i="6"/>
  <c r="E25" i="6"/>
  <c r="E33" i="6"/>
  <c r="E5" i="6"/>
  <c r="E44" i="6"/>
  <c r="E34" i="6"/>
  <c r="E37" i="6"/>
  <c r="E46" i="6"/>
  <c r="E6" i="6"/>
  <c r="E42" i="6"/>
  <c r="E7" i="6"/>
  <c r="E38" i="6"/>
  <c r="E53" i="6"/>
  <c r="E8" i="10"/>
  <c r="BZ17" i="8"/>
  <c r="BX17" i="8"/>
  <c r="BY17" i="8"/>
  <c r="BY56" i="8"/>
  <c r="BX56" i="8"/>
  <c r="BY21" i="8"/>
  <c r="BX21" i="8"/>
  <c r="BK69" i="12"/>
  <c r="BL4" i="12"/>
  <c r="BY41" i="10"/>
  <c r="BX41" i="10"/>
  <c r="CB69" i="9"/>
  <c r="CC4" i="9"/>
  <c r="BW60" i="7"/>
  <c r="BW69" i="7"/>
  <c r="BY4" i="7"/>
  <c r="BX4" i="7"/>
  <c r="BX29" i="7"/>
  <c r="BY29" i="7"/>
  <c r="BY15" i="12"/>
  <c r="BX15" i="12"/>
  <c r="BX8" i="11"/>
  <c r="BY8" i="11"/>
  <c r="BZ17" i="9"/>
  <c r="BY17" i="9"/>
  <c r="BX17" i="9"/>
  <c r="D60" i="8"/>
  <c r="E50" i="8" s="1"/>
  <c r="E55" i="6"/>
  <c r="E55" i="10"/>
  <c r="BX34" i="11"/>
  <c r="BY34" i="11"/>
  <c r="BX32" i="6"/>
  <c r="BY32" i="6"/>
  <c r="E31" i="7"/>
  <c r="V86" i="3"/>
  <c r="U86" i="3"/>
  <c r="S47" i="3"/>
  <c r="E8" i="7"/>
  <c r="CA54" i="12"/>
  <c r="CB54" i="12" s="1"/>
  <c r="CC54" i="12" s="1"/>
  <c r="CD54" i="12" s="1"/>
  <c r="BR54" i="12"/>
  <c r="BS54" i="12" s="1"/>
  <c r="BT54" i="12" s="1"/>
  <c r="BU54" i="12" s="1"/>
  <c r="BY29" i="10"/>
  <c r="BX29" i="10"/>
  <c r="BY43" i="7"/>
  <c r="BX43" i="7"/>
  <c r="BY8" i="7"/>
  <c r="BX8" i="7"/>
  <c r="E48" i="7"/>
  <c r="E48" i="10"/>
  <c r="E29" i="7"/>
  <c r="BY34" i="12"/>
  <c r="BX34" i="12"/>
  <c r="BX27" i="12"/>
  <c r="BY27" i="12"/>
  <c r="BX9" i="12"/>
  <c r="BY9" i="12"/>
  <c r="BY56" i="11"/>
  <c r="BX56" i="11"/>
  <c r="BY36" i="11"/>
  <c r="BX36" i="11"/>
  <c r="BY30" i="11"/>
  <c r="BX30" i="11"/>
  <c r="BY55" i="10"/>
  <c r="BX55" i="10"/>
  <c r="BW69" i="9"/>
  <c r="BX20" i="9"/>
  <c r="BY20" i="9"/>
  <c r="BY13" i="9"/>
  <c r="BX13" i="9"/>
  <c r="BX29" i="9"/>
  <c r="BY29" i="9"/>
  <c r="BW69" i="12"/>
  <c r="BX28" i="8"/>
  <c r="BY28" i="8"/>
  <c r="AP60" i="11"/>
  <c r="AP69" i="11"/>
  <c r="BX28" i="6"/>
  <c r="BY28" i="6"/>
  <c r="BY34" i="6"/>
  <c r="BX34" i="6"/>
  <c r="CC69" i="6"/>
  <c r="CD4" i="6"/>
  <c r="AE56" i="2"/>
  <c r="F56" i="2"/>
  <c r="S56" i="2"/>
  <c r="E47" i="8"/>
  <c r="E27" i="6"/>
  <c r="E24" i="7"/>
  <c r="H28" i="1"/>
  <c r="I28" i="1" s="1"/>
  <c r="AA28" i="1" s="1"/>
  <c r="BW60" i="6"/>
  <c r="BY11" i="8"/>
  <c r="BX11" i="8"/>
  <c r="BY8" i="10"/>
  <c r="BX8" i="10"/>
  <c r="BY49" i="7"/>
  <c r="BX49" i="7"/>
  <c r="BX33" i="12"/>
  <c r="BY33" i="12"/>
  <c r="BY22" i="11"/>
  <c r="BX22" i="11"/>
  <c r="BZ54" i="9"/>
  <c r="BY54" i="9"/>
  <c r="BX54" i="9"/>
  <c r="BY45" i="9"/>
  <c r="BX45" i="9"/>
  <c r="BY55" i="8"/>
  <c r="BX55" i="8"/>
  <c r="G64" i="1"/>
  <c r="BY25" i="6"/>
  <c r="BX25" i="6"/>
  <c r="E24" i="10"/>
  <c r="E50" i="6"/>
  <c r="E50" i="10"/>
  <c r="E22" i="6"/>
  <c r="BY43" i="8"/>
  <c r="BX43" i="8"/>
  <c r="BY4" i="8"/>
  <c r="BX4" i="8"/>
  <c r="BX69" i="8" s="1"/>
  <c r="BW69" i="8"/>
  <c r="BW60" i="8"/>
  <c r="BY16" i="10"/>
  <c r="BX16" i="10"/>
  <c r="BY13" i="7"/>
  <c r="BX13" i="7"/>
  <c r="BY18" i="7"/>
  <c r="BX18" i="7"/>
  <c r="BY24" i="12"/>
  <c r="BX24" i="12"/>
  <c r="BY36" i="12"/>
  <c r="BX36" i="12"/>
  <c r="BY21" i="12"/>
  <c r="BX21" i="12"/>
  <c r="BX69" i="12" s="1"/>
  <c r="BY49" i="11"/>
  <c r="BX49" i="11"/>
  <c r="BS69" i="11"/>
  <c r="BT4" i="11"/>
  <c r="BY18" i="11"/>
  <c r="BX18" i="11"/>
  <c r="BY38" i="7"/>
  <c r="BX38" i="7"/>
  <c r="BX52" i="12"/>
  <c r="BY52" i="12"/>
  <c r="BY37" i="8"/>
  <c r="BX37" i="8"/>
  <c r="BX24" i="8"/>
  <c r="BY24" i="8"/>
  <c r="BY21" i="6"/>
  <c r="BX21" i="6"/>
  <c r="BX69" i="6" s="1"/>
  <c r="E32" i="10"/>
  <c r="D60" i="12"/>
  <c r="E55" i="12" s="1"/>
  <c r="E40" i="7"/>
  <c r="E40" i="10"/>
  <c r="U54" i="1"/>
  <c r="H54" i="1"/>
  <c r="I54" i="1" s="1"/>
  <c r="AA54" i="1" s="1"/>
  <c r="AK54" i="1"/>
  <c r="E45" i="9"/>
  <c r="E39" i="7"/>
  <c r="E39" i="11"/>
  <c r="D61" i="10"/>
  <c r="AB20" i="1" l="1"/>
  <c r="AC20" i="1"/>
  <c r="AC35" i="1"/>
  <c r="AB35" i="1"/>
  <c r="CD69" i="6"/>
  <c r="BU69" i="8"/>
  <c r="X67" i="3"/>
  <c r="Z47" i="3"/>
  <c r="Y47" i="3"/>
  <c r="AE47" i="3"/>
  <c r="E40" i="8"/>
  <c r="BU69" i="6"/>
  <c r="BT69" i="7"/>
  <c r="BU4" i="7"/>
  <c r="BU69" i="12"/>
  <c r="BK69" i="9"/>
  <c r="BL4" i="9"/>
  <c r="CA44" i="10"/>
  <c r="CB44" i="10" s="1"/>
  <c r="CC44" i="10" s="1"/>
  <c r="CD44" i="10" s="1"/>
  <c r="BR44" i="10"/>
  <c r="BT69" i="9"/>
  <c r="BU4" i="9"/>
  <c r="CA44" i="11"/>
  <c r="CB44" i="11" s="1"/>
  <c r="CC44" i="11" s="1"/>
  <c r="CD44" i="11" s="1"/>
  <c r="BR44" i="11"/>
  <c r="E48" i="8"/>
  <c r="BR54" i="8"/>
  <c r="BS54" i="8" s="1"/>
  <c r="BT54" i="8" s="1"/>
  <c r="BU54" i="8" s="1"/>
  <c r="CA54" i="8"/>
  <c r="CB54" i="8" s="1"/>
  <c r="CC54" i="8" s="1"/>
  <c r="CD54" i="8" s="1"/>
  <c r="CB17" i="6"/>
  <c r="CA60" i="6"/>
  <c r="AC17" i="1"/>
  <c r="AB17" i="1"/>
  <c r="AB66" i="1"/>
  <c r="AC66" i="1"/>
  <c r="AC15" i="1"/>
  <c r="AB15" i="1"/>
  <c r="AC29" i="1"/>
  <c r="AB29" i="1"/>
  <c r="AC21" i="1"/>
  <c r="AB21" i="1"/>
  <c r="AC47" i="1"/>
  <c r="AB47" i="1"/>
  <c r="AC63" i="1"/>
  <c r="AB63" i="1"/>
  <c r="AB24" i="1"/>
  <c r="AC24" i="1"/>
  <c r="AC34" i="1"/>
  <c r="AB34" i="1"/>
  <c r="AB50" i="1"/>
  <c r="AC50" i="1"/>
  <c r="F60" i="2"/>
  <c r="F55" i="2"/>
  <c r="F51" i="2"/>
  <c r="F47" i="2"/>
  <c r="F63" i="2"/>
  <c r="F42" i="2"/>
  <c r="F39" i="2"/>
  <c r="F34" i="2"/>
  <c r="F30" i="2"/>
  <c r="F29" i="2"/>
  <c r="F25" i="2"/>
  <c r="F24" i="2"/>
  <c r="F16" i="2"/>
  <c r="F61" i="2"/>
  <c r="F58" i="2"/>
  <c r="F43" i="2"/>
  <c r="F45" i="2"/>
  <c r="F23" i="2"/>
  <c r="F21" i="2"/>
  <c r="F65" i="2"/>
  <c r="F62" i="2"/>
  <c r="F66" i="2"/>
  <c r="F53" i="2"/>
  <c r="F37" i="2"/>
  <c r="F32" i="2"/>
  <c r="F27" i="2"/>
  <c r="F26" i="2"/>
  <c r="F15" i="2"/>
  <c r="F14" i="2"/>
  <c r="F13" i="2"/>
  <c r="F44" i="2"/>
  <c r="F46" i="2"/>
  <c r="F50" i="2"/>
  <c r="F52" i="2"/>
  <c r="F38" i="2"/>
  <c r="F31" i="2"/>
  <c r="F17" i="2"/>
  <c r="F36" i="2"/>
  <c r="F28" i="2"/>
  <c r="F18" i="2"/>
  <c r="F19" i="2"/>
  <c r="F33" i="2"/>
  <c r="F41" i="2"/>
  <c r="F40" i="2"/>
  <c r="F35" i="2"/>
  <c r="F20" i="2"/>
  <c r="F22" i="2"/>
  <c r="BJ17" i="10"/>
  <c r="BI60" i="10"/>
  <c r="CA44" i="7"/>
  <c r="CB44" i="7" s="1"/>
  <c r="CC44" i="7" s="1"/>
  <c r="CD44" i="7" s="1"/>
  <c r="BR44" i="7"/>
  <c r="CA17" i="11"/>
  <c r="BI17" i="11"/>
  <c r="BZ60" i="11"/>
  <c r="CA17" i="7"/>
  <c r="BI17" i="7"/>
  <c r="BZ60" i="7"/>
  <c r="BS44" i="9"/>
  <c r="E38" i="12"/>
  <c r="E54" i="12"/>
  <c r="E23" i="12"/>
  <c r="E35" i="12"/>
  <c r="E57" i="12"/>
  <c r="E36" i="12"/>
  <c r="E41" i="12"/>
  <c r="E53" i="12"/>
  <c r="E42" i="12"/>
  <c r="E7" i="12"/>
  <c r="E20" i="12"/>
  <c r="E51" i="12"/>
  <c r="E25" i="12"/>
  <c r="E44" i="12"/>
  <c r="E21" i="12"/>
  <c r="E33" i="12"/>
  <c r="E5" i="12"/>
  <c r="E37" i="12"/>
  <c r="E16" i="12"/>
  <c r="E6" i="12"/>
  <c r="E12" i="12"/>
  <c r="E43" i="12"/>
  <c r="E14" i="12"/>
  <c r="E52" i="12"/>
  <c r="E34" i="12"/>
  <c r="E30" i="12"/>
  <c r="E28" i="12"/>
  <c r="E56" i="12"/>
  <c r="E18" i="12"/>
  <c r="E4" i="12"/>
  <c r="E49" i="12"/>
  <c r="E17" i="12"/>
  <c r="E15" i="12"/>
  <c r="E46" i="12"/>
  <c r="E10" i="12"/>
  <c r="E22" i="12"/>
  <c r="E29" i="12"/>
  <c r="E8" i="12"/>
  <c r="E27" i="12"/>
  <c r="E11" i="12"/>
  <c r="E32" i="12"/>
  <c r="E26" i="12"/>
  <c r="E19" i="12"/>
  <c r="E31" i="12"/>
  <c r="E13" i="12"/>
  <c r="E24" i="12"/>
  <c r="E9" i="12"/>
  <c r="CC69" i="10"/>
  <c r="CD4" i="10"/>
  <c r="BU4" i="11"/>
  <c r="BT69" i="11"/>
  <c r="CA54" i="9"/>
  <c r="CB54" i="9" s="1"/>
  <c r="CC54" i="9" s="1"/>
  <c r="CD54" i="9" s="1"/>
  <c r="BR54" i="9"/>
  <c r="BS54" i="9" s="1"/>
  <c r="BT54" i="9" s="1"/>
  <c r="BU54" i="9" s="1"/>
  <c r="AB28" i="1"/>
  <c r="AC28" i="1"/>
  <c r="S67" i="3"/>
  <c r="V47" i="3"/>
  <c r="U47" i="3"/>
  <c r="BX69" i="7"/>
  <c r="CC69" i="9"/>
  <c r="CD4" i="9"/>
  <c r="E60" i="6"/>
  <c r="AC33" i="1"/>
  <c r="AB33" i="1"/>
  <c r="BX69" i="11"/>
  <c r="CC69" i="11"/>
  <c r="CD4" i="11"/>
  <c r="K79" i="14"/>
  <c r="K69" i="14"/>
  <c r="K70" i="14" s="1"/>
  <c r="E50" i="12"/>
  <c r="E55" i="8"/>
  <c r="CD69" i="8"/>
  <c r="BK7" i="6"/>
  <c r="BJ60" i="6"/>
  <c r="AC55" i="1"/>
  <c r="AB55" i="1"/>
  <c r="AB60" i="1"/>
  <c r="AC60" i="1"/>
  <c r="AC27" i="1"/>
  <c r="AB27" i="1"/>
  <c r="I13" i="1"/>
  <c r="H69" i="1"/>
  <c r="AC45" i="1"/>
  <c r="AB45" i="1"/>
  <c r="AC65" i="1"/>
  <c r="AB65" i="1"/>
  <c r="AC26" i="1"/>
  <c r="AB26" i="1"/>
  <c r="AB42" i="1"/>
  <c r="AC42" i="1"/>
  <c r="AC52" i="1"/>
  <c r="AB52" i="1"/>
  <c r="AB48" i="1"/>
  <c r="AC48" i="1"/>
  <c r="AQ61" i="12"/>
  <c r="AQ61" i="11"/>
  <c r="AQ61" i="10"/>
  <c r="AQ61" i="9"/>
  <c r="AQ61" i="7"/>
  <c r="AQ61" i="8"/>
  <c r="AQ61" i="6"/>
  <c r="W73" i="1"/>
  <c r="U73" i="2"/>
  <c r="BZ60" i="10"/>
  <c r="G69" i="1"/>
  <c r="BK69" i="7"/>
  <c r="BL4" i="7"/>
  <c r="CA54" i="11"/>
  <c r="CB54" i="11" s="1"/>
  <c r="CC54" i="11" s="1"/>
  <c r="CD54" i="11" s="1"/>
  <c r="BR54" i="11"/>
  <c r="BS54" i="11" s="1"/>
  <c r="BT54" i="11" s="1"/>
  <c r="BU54" i="11" s="1"/>
  <c r="I41" i="1"/>
  <c r="AA41" i="1" s="1"/>
  <c r="CA17" i="9"/>
  <c r="BI17" i="9"/>
  <c r="BZ60" i="9"/>
  <c r="BL69" i="12"/>
  <c r="E45" i="12"/>
  <c r="CD69" i="12"/>
  <c r="CA17" i="12"/>
  <c r="BI17" i="12"/>
  <c r="BZ60" i="12"/>
  <c r="BL4" i="11"/>
  <c r="BK69" i="11"/>
  <c r="BX69" i="10"/>
  <c r="E47" i="12"/>
  <c r="E60" i="7"/>
  <c r="BL69" i="8"/>
  <c r="AC49" i="1"/>
  <c r="AB49" i="1"/>
  <c r="AC19" i="1"/>
  <c r="AB19" i="1"/>
  <c r="I57" i="1"/>
  <c r="CA44" i="8"/>
  <c r="CB44" i="8" s="1"/>
  <c r="CC44" i="8" s="1"/>
  <c r="CD44" i="8" s="1"/>
  <c r="BR44" i="8"/>
  <c r="AC53" i="1"/>
  <c r="AB53" i="1"/>
  <c r="AC39" i="1"/>
  <c r="AB39" i="1"/>
  <c r="AC25" i="1"/>
  <c r="AB25" i="1"/>
  <c r="AC62" i="1"/>
  <c r="AB62" i="1"/>
  <c r="AC43" i="1"/>
  <c r="AB43" i="1"/>
  <c r="AB14" i="1"/>
  <c r="AC14" i="1"/>
  <c r="AB30" i="1"/>
  <c r="AC30" i="1"/>
  <c r="AB44" i="1"/>
  <c r="AC44" i="1"/>
  <c r="E39" i="12"/>
  <c r="CB17" i="10"/>
  <c r="CA60" i="10"/>
  <c r="J79" i="13"/>
  <c r="J69" i="13"/>
  <c r="J70" i="13" s="1"/>
  <c r="K13" i="13"/>
  <c r="BS44" i="6"/>
  <c r="BR60" i="6"/>
  <c r="I22" i="1"/>
  <c r="E60" i="11"/>
  <c r="AC54" i="1"/>
  <c r="AB54" i="1"/>
  <c r="E53" i="8"/>
  <c r="E42" i="8"/>
  <c r="E56" i="8"/>
  <c r="E17" i="8"/>
  <c r="E51" i="8"/>
  <c r="E25" i="8"/>
  <c r="E44" i="8"/>
  <c r="E21" i="8"/>
  <c r="E33" i="8"/>
  <c r="E35" i="8"/>
  <c r="E6" i="8"/>
  <c r="E37" i="8"/>
  <c r="E12" i="8"/>
  <c r="E14" i="8"/>
  <c r="E41" i="8"/>
  <c r="E23" i="8"/>
  <c r="E34" i="8"/>
  <c r="E30" i="8"/>
  <c r="E28" i="8"/>
  <c r="E18" i="8"/>
  <c r="E52" i="8"/>
  <c r="E4" i="8"/>
  <c r="E49" i="8"/>
  <c r="E43" i="8"/>
  <c r="E20" i="8"/>
  <c r="E46" i="8"/>
  <c r="E15" i="8"/>
  <c r="E7" i="8"/>
  <c r="E5" i="8"/>
  <c r="E38" i="8"/>
  <c r="E16" i="8"/>
  <c r="E54" i="8"/>
  <c r="E57" i="8"/>
  <c r="E36" i="8"/>
  <c r="E8" i="8"/>
  <c r="E9" i="8"/>
  <c r="E32" i="8"/>
  <c r="E13" i="8"/>
  <c r="E27" i="8"/>
  <c r="E11" i="8"/>
  <c r="E26" i="8"/>
  <c r="E19" i="8"/>
  <c r="E24" i="8"/>
  <c r="E31" i="8"/>
  <c r="E10" i="8"/>
  <c r="E22" i="8"/>
  <c r="E29" i="8"/>
  <c r="CA17" i="8"/>
  <c r="BI17" i="8"/>
  <c r="BZ60" i="8"/>
  <c r="E45" i="8"/>
  <c r="BK69" i="10"/>
  <c r="BL4" i="10"/>
  <c r="BL69" i="6"/>
  <c r="CC69" i="7"/>
  <c r="CD4" i="7"/>
  <c r="E40" i="12"/>
  <c r="CA44" i="12"/>
  <c r="CB44" i="12" s="1"/>
  <c r="CC44" i="12" s="1"/>
  <c r="CD44" i="12" s="1"/>
  <c r="BR44" i="12"/>
  <c r="AC18" i="1"/>
  <c r="AB18" i="1"/>
  <c r="AC59" i="1"/>
  <c r="AB59" i="1"/>
  <c r="E48" i="12"/>
  <c r="I64" i="1"/>
  <c r="AA64" i="1" s="1"/>
  <c r="AB36" i="1"/>
  <c r="AC36" i="1"/>
  <c r="AC51" i="1"/>
  <c r="AB51" i="1"/>
  <c r="AC37" i="1"/>
  <c r="AB37" i="1"/>
  <c r="AC23" i="1"/>
  <c r="AB23" i="1"/>
  <c r="AC58" i="1"/>
  <c r="AB58" i="1"/>
  <c r="AC61" i="1"/>
  <c r="AB61" i="1"/>
  <c r="AB16" i="1"/>
  <c r="AC16" i="1"/>
  <c r="AB32" i="1"/>
  <c r="AC32" i="1"/>
  <c r="AC46" i="1"/>
  <c r="AB46" i="1"/>
  <c r="E39" i="8"/>
  <c r="CA54" i="7"/>
  <c r="CB54" i="7" s="1"/>
  <c r="CC54" i="7" s="1"/>
  <c r="CD54" i="7" s="1"/>
  <c r="BR54" i="7"/>
  <c r="BS54" i="7" s="1"/>
  <c r="BT54" i="7" s="1"/>
  <c r="BU54" i="7" s="1"/>
  <c r="BT69" i="10"/>
  <c r="BU4" i="10"/>
  <c r="E60" i="10"/>
  <c r="E60" i="9"/>
  <c r="BL69" i="10" l="1"/>
  <c r="E60" i="8"/>
  <c r="K79" i="13"/>
  <c r="K69" i="13"/>
  <c r="K70" i="13" s="1"/>
  <c r="CC17" i="10"/>
  <c r="CB60" i="10"/>
  <c r="Q61" i="6"/>
  <c r="AH61" i="6"/>
  <c r="M61" i="6"/>
  <c r="AC61" i="6"/>
  <c r="F61" i="6"/>
  <c r="V61" i="6"/>
  <c r="V61" i="10"/>
  <c r="M61" i="10"/>
  <c r="AH61" i="10"/>
  <c r="AC61" i="10"/>
  <c r="F61" i="10"/>
  <c r="BT44" i="9"/>
  <c r="BS60" i="9"/>
  <c r="BJ17" i="11"/>
  <c r="BI60" i="11"/>
  <c r="BU69" i="9"/>
  <c r="AC64" i="1"/>
  <c r="AB64" i="1"/>
  <c r="BJ17" i="8"/>
  <c r="BI60" i="8"/>
  <c r="BS44" i="8"/>
  <c r="BR60" i="8"/>
  <c r="BL69" i="11"/>
  <c r="BJ17" i="12"/>
  <c r="BI60" i="12"/>
  <c r="AC61" i="8"/>
  <c r="V61" i="8"/>
  <c r="AH61" i="8"/>
  <c r="M61" i="8"/>
  <c r="F61" i="8"/>
  <c r="AC61" i="11"/>
  <c r="V61" i="11"/>
  <c r="M61" i="11"/>
  <c r="F61" i="11"/>
  <c r="AH61" i="11"/>
  <c r="I69" i="1"/>
  <c r="AA13" i="1"/>
  <c r="BL7" i="6"/>
  <c r="BL60" i="6" s="1"/>
  <c r="BK60" i="6"/>
  <c r="CD69" i="11"/>
  <c r="S75" i="3"/>
  <c r="S69" i="3"/>
  <c r="S84" i="3"/>
  <c r="S88" i="3"/>
  <c r="S90" i="3" s="1"/>
  <c r="V67" i="3"/>
  <c r="U67" i="3"/>
  <c r="BU69" i="11"/>
  <c r="CD69" i="10"/>
  <c r="E60" i="12"/>
  <c r="BJ17" i="7"/>
  <c r="BI60" i="7"/>
  <c r="CB17" i="11"/>
  <c r="CA60" i="11"/>
  <c r="F69" i="2"/>
  <c r="CC17" i="6"/>
  <c r="CB60" i="6"/>
  <c r="BS44" i="11"/>
  <c r="BR60" i="11"/>
  <c r="BL69" i="9"/>
  <c r="Y67" i="3"/>
  <c r="X75" i="3"/>
  <c r="Z67" i="3"/>
  <c r="X88" i="3"/>
  <c r="X90" i="3" s="1"/>
  <c r="X84" i="3"/>
  <c r="X69" i="3"/>
  <c r="AE69" i="3" s="1"/>
  <c r="AE67" i="3"/>
  <c r="F45" i="8"/>
  <c r="CB17" i="8"/>
  <c r="CA60" i="8"/>
  <c r="F31" i="8"/>
  <c r="F11" i="8"/>
  <c r="F9" i="8"/>
  <c r="F54" i="8"/>
  <c r="F7" i="8"/>
  <c r="F43" i="8"/>
  <c r="F18" i="8"/>
  <c r="F23" i="8"/>
  <c r="F37" i="8"/>
  <c r="F21" i="8"/>
  <c r="F17" i="8"/>
  <c r="CB17" i="12"/>
  <c r="CA60" i="12"/>
  <c r="BJ17" i="9"/>
  <c r="BI60" i="9"/>
  <c r="AC70" i="2"/>
  <c r="Y70" i="2"/>
  <c r="U75" i="2"/>
  <c r="AH61" i="7"/>
  <c r="F61" i="7"/>
  <c r="AC61" i="7"/>
  <c r="M61" i="7"/>
  <c r="V61" i="7"/>
  <c r="AC61" i="12"/>
  <c r="F61" i="12"/>
  <c r="F55" i="12" s="1"/>
  <c r="V61" i="12"/>
  <c r="Q61" i="12"/>
  <c r="M61" i="12"/>
  <c r="AH61" i="12"/>
  <c r="CD69" i="9"/>
  <c r="F13" i="12"/>
  <c r="F32" i="12"/>
  <c r="F29" i="12"/>
  <c r="F15" i="12"/>
  <c r="F18" i="12"/>
  <c r="F34" i="12"/>
  <c r="F12" i="12"/>
  <c r="F5" i="12"/>
  <c r="F25" i="12"/>
  <c r="F42" i="12"/>
  <c r="F57" i="12"/>
  <c r="F38" i="12"/>
  <c r="CB17" i="7"/>
  <c r="CA60" i="7"/>
  <c r="BK17" i="10"/>
  <c r="BJ60" i="10"/>
  <c r="F39" i="8"/>
  <c r="F40" i="12"/>
  <c r="BU69" i="10"/>
  <c r="BS44" i="12"/>
  <c r="BR60" i="12"/>
  <c r="CD69" i="7"/>
  <c r="F29" i="8"/>
  <c r="F24" i="8"/>
  <c r="F27" i="8"/>
  <c r="F8" i="8"/>
  <c r="F16" i="8"/>
  <c r="F15" i="8"/>
  <c r="F49" i="8"/>
  <c r="F28" i="8"/>
  <c r="F41" i="8"/>
  <c r="F6" i="8"/>
  <c r="F44" i="8"/>
  <c r="F56" i="8"/>
  <c r="BT44" i="6"/>
  <c r="BS60" i="6"/>
  <c r="F39" i="12"/>
  <c r="CB17" i="9"/>
  <c r="CA60" i="9"/>
  <c r="AC41" i="1"/>
  <c r="AB41" i="1"/>
  <c r="BL69" i="7"/>
  <c r="AI70" i="1"/>
  <c r="AE70" i="1"/>
  <c r="W75" i="1"/>
  <c r="AC61" i="9"/>
  <c r="V61" i="9"/>
  <c r="AH61" i="9"/>
  <c r="M61" i="9"/>
  <c r="F61" i="9"/>
  <c r="F31" i="12"/>
  <c r="F11" i="12"/>
  <c r="F22" i="12"/>
  <c r="F17" i="12"/>
  <c r="F56" i="12"/>
  <c r="F52" i="12"/>
  <c r="F6" i="12"/>
  <c r="F33" i="12"/>
  <c r="F51" i="12"/>
  <c r="F53" i="12"/>
  <c r="F35" i="12"/>
  <c r="BR60" i="9"/>
  <c r="BS44" i="7"/>
  <c r="BR60" i="7"/>
  <c r="BS44" i="10"/>
  <c r="BR60" i="10"/>
  <c r="BU69" i="7"/>
  <c r="CC17" i="9" l="1"/>
  <c r="CB60" i="9"/>
  <c r="Q57" i="12"/>
  <c r="Q42" i="12"/>
  <c r="Q38" i="12"/>
  <c r="Q36" i="12"/>
  <c r="Q5" i="12"/>
  <c r="Q23" i="12"/>
  <c r="Q21" i="12"/>
  <c r="Q16" i="12"/>
  <c r="Q12" i="12"/>
  <c r="Q25" i="12"/>
  <c r="Q7" i="12"/>
  <c r="Q14" i="12"/>
  <c r="Q28" i="12"/>
  <c r="Q34" i="12"/>
  <c r="Q56" i="12"/>
  <c r="Q52" i="12"/>
  <c r="Q54" i="12"/>
  <c r="Q53" i="12"/>
  <c r="Q18" i="12"/>
  <c r="Q33" i="12"/>
  <c r="Q43" i="12"/>
  <c r="Q17" i="12"/>
  <c r="Q15" i="12"/>
  <c r="Q30" i="12"/>
  <c r="Q35" i="12"/>
  <c r="Q44" i="12"/>
  <c r="Q46" i="12"/>
  <c r="Q49" i="12"/>
  <c r="Q41" i="12"/>
  <c r="Q37" i="12"/>
  <c r="Q6" i="12"/>
  <c r="Q4" i="12"/>
  <c r="Q51" i="12"/>
  <c r="V51" i="7"/>
  <c r="V19" i="7"/>
  <c r="V9" i="7"/>
  <c r="V24" i="7"/>
  <c r="V23" i="7"/>
  <c r="V22" i="7"/>
  <c r="V21" i="7"/>
  <c r="V7" i="7"/>
  <c r="V34" i="7"/>
  <c r="V49" i="7"/>
  <c r="V25" i="7"/>
  <c r="V20" i="7"/>
  <c r="V17" i="7"/>
  <c r="V13" i="7"/>
  <c r="V15" i="7"/>
  <c r="V45" i="7"/>
  <c r="V6" i="7"/>
  <c r="V10" i="7"/>
  <c r="V53" i="7"/>
  <c r="V44" i="7"/>
  <c r="V42" i="7"/>
  <c r="V16" i="7"/>
  <c r="V14" i="7"/>
  <c r="V8" i="7"/>
  <c r="V11" i="7"/>
  <c r="V5" i="7"/>
  <c r="V18" i="7"/>
  <c r="V36" i="7"/>
  <c r="V46" i="7"/>
  <c r="V38" i="7"/>
  <c r="V12" i="7"/>
  <c r="V4" i="7"/>
  <c r="V50" i="7"/>
  <c r="V47" i="7"/>
  <c r="V57" i="7"/>
  <c r="V39" i="7"/>
  <c r="V26" i="7"/>
  <c r="V40" i="7"/>
  <c r="V48" i="7"/>
  <c r="V54" i="7"/>
  <c r="V27" i="7"/>
  <c r="V56" i="7"/>
  <c r="V52" i="7"/>
  <c r="V41" i="7"/>
  <c r="V31" i="7"/>
  <c r="V28" i="7"/>
  <c r="V33" i="7"/>
  <c r="V55" i="7"/>
  <c r="V35" i="7"/>
  <c r="V32" i="7"/>
  <c r="V30" i="7"/>
  <c r="V29" i="7"/>
  <c r="V43" i="7"/>
  <c r="V37" i="7"/>
  <c r="AH40" i="7"/>
  <c r="AH56" i="7"/>
  <c r="AH54" i="7"/>
  <c r="AH35" i="7"/>
  <c r="AH30" i="7"/>
  <c r="AH45" i="7"/>
  <c r="AH43" i="7"/>
  <c r="AH10" i="7"/>
  <c r="AH50" i="7"/>
  <c r="AH37" i="7"/>
  <c r="AH28" i="7"/>
  <c r="AH25" i="7"/>
  <c r="AH20" i="7"/>
  <c r="AH13" i="7"/>
  <c r="AH52" i="7"/>
  <c r="AH41" i="7"/>
  <c r="AH23" i="7"/>
  <c r="AH21" i="7"/>
  <c r="AH7" i="7"/>
  <c r="AH33" i="7"/>
  <c r="AH11" i="7"/>
  <c r="AH8" i="7"/>
  <c r="AH18" i="7"/>
  <c r="AH17" i="7"/>
  <c r="AH49" i="7"/>
  <c r="AH32" i="7"/>
  <c r="AH42" i="7"/>
  <c r="AH55" i="7"/>
  <c r="AH27" i="7"/>
  <c r="AH57" i="7"/>
  <c r="AH39" i="7"/>
  <c r="AH4" i="7"/>
  <c r="AH19" i="7"/>
  <c r="AH51" i="7"/>
  <c r="AH16" i="7"/>
  <c r="AH15" i="7"/>
  <c r="AH34" i="7"/>
  <c r="AH46" i="7"/>
  <c r="AH31" i="7"/>
  <c r="AH38" i="7"/>
  <c r="AH53" i="7"/>
  <c r="AH12" i="7"/>
  <c r="AH24" i="7"/>
  <c r="AH5" i="7"/>
  <c r="AH26" i="7"/>
  <c r="AH9" i="7"/>
  <c r="AH14" i="7"/>
  <c r="AH22" i="7"/>
  <c r="AH29" i="7"/>
  <c r="AH36" i="7"/>
  <c r="AH48" i="7"/>
  <c r="AH6" i="7"/>
  <c r="AH47" i="7"/>
  <c r="AH44" i="7"/>
  <c r="CC17" i="8"/>
  <c r="CB60" i="8"/>
  <c r="Z75" i="3"/>
  <c r="Y75" i="3"/>
  <c r="X77" i="3"/>
  <c r="BK17" i="7"/>
  <c r="BJ60" i="7"/>
  <c r="F44" i="12"/>
  <c r="F4" i="12"/>
  <c r="F26" i="12"/>
  <c r="F26" i="11"/>
  <c r="F49" i="11"/>
  <c r="F33" i="11"/>
  <c r="F45" i="11"/>
  <c r="F40" i="11"/>
  <c r="F31" i="11"/>
  <c r="F41" i="11"/>
  <c r="F44" i="11"/>
  <c r="F13" i="11"/>
  <c r="F21" i="11"/>
  <c r="F51" i="11"/>
  <c r="F35" i="11"/>
  <c r="F27" i="11"/>
  <c r="F36" i="11"/>
  <c r="F18" i="11"/>
  <c r="F16" i="11"/>
  <c r="F23" i="11"/>
  <c r="F28" i="11"/>
  <c r="F11" i="11"/>
  <c r="F17" i="11"/>
  <c r="F7" i="11"/>
  <c r="F8" i="11"/>
  <c r="F12" i="11"/>
  <c r="F15" i="11"/>
  <c r="F38" i="11"/>
  <c r="F22" i="11"/>
  <c r="F55" i="11"/>
  <c r="F19" i="11"/>
  <c r="F14" i="11"/>
  <c r="F53" i="11"/>
  <c r="F50" i="11"/>
  <c r="F10" i="11"/>
  <c r="F52" i="11"/>
  <c r="F57" i="11"/>
  <c r="F39" i="11"/>
  <c r="F48" i="11"/>
  <c r="F29" i="11"/>
  <c r="F5" i="11"/>
  <c r="F25" i="11"/>
  <c r="F9" i="11"/>
  <c r="F37" i="11"/>
  <c r="F30" i="11"/>
  <c r="F32" i="11"/>
  <c r="F43" i="11"/>
  <c r="F46" i="11"/>
  <c r="F47" i="11"/>
  <c r="F6" i="11"/>
  <c r="F42" i="11"/>
  <c r="F4" i="11"/>
  <c r="F24" i="11"/>
  <c r="F54" i="11"/>
  <c r="F20" i="11"/>
  <c r="F34" i="11"/>
  <c r="F56" i="11"/>
  <c r="F50" i="8"/>
  <c r="F47" i="8"/>
  <c r="AC56" i="8"/>
  <c r="AC54" i="8"/>
  <c r="AC52" i="8"/>
  <c r="AC50" i="8"/>
  <c r="AC43" i="8"/>
  <c r="AC41" i="8"/>
  <c r="AC55" i="8"/>
  <c r="AC53" i="8"/>
  <c r="AC46" i="8"/>
  <c r="AC42" i="8"/>
  <c r="AC39" i="8"/>
  <c r="AC34" i="8"/>
  <c r="AC25" i="8"/>
  <c r="AC23" i="8"/>
  <c r="AC21" i="8"/>
  <c r="AC20" i="8"/>
  <c r="AC13" i="8"/>
  <c r="AC11" i="8"/>
  <c r="AC8" i="8"/>
  <c r="AC7" i="8"/>
  <c r="AC51" i="8"/>
  <c r="AC49" i="8"/>
  <c r="AC48" i="8"/>
  <c r="AC44" i="8"/>
  <c r="AC37" i="8"/>
  <c r="AC35" i="8"/>
  <c r="AC26" i="8"/>
  <c r="AC24" i="8"/>
  <c r="AC22" i="8"/>
  <c r="AC17" i="8"/>
  <c r="AC15" i="8"/>
  <c r="AC5" i="8"/>
  <c r="AC45" i="8"/>
  <c r="AC30" i="8"/>
  <c r="AC31" i="8"/>
  <c r="AC27" i="8"/>
  <c r="AC38" i="8"/>
  <c r="AC33" i="8"/>
  <c r="AC28" i="8"/>
  <c r="AC16" i="8"/>
  <c r="AC9" i="8"/>
  <c r="AC4" i="8"/>
  <c r="AC57" i="8"/>
  <c r="AC29" i="8"/>
  <c r="AC18" i="8"/>
  <c r="AC14" i="8"/>
  <c r="AC40" i="8"/>
  <c r="AC12" i="8"/>
  <c r="AC47" i="8"/>
  <c r="AC36" i="8"/>
  <c r="AC19" i="8"/>
  <c r="AC10" i="8"/>
  <c r="AC6" i="8"/>
  <c r="AC32" i="8"/>
  <c r="F53" i="8"/>
  <c r="F34" i="8"/>
  <c r="F57" i="8"/>
  <c r="F40" i="8"/>
  <c r="F23" i="12"/>
  <c r="F16" i="12"/>
  <c r="F10" i="12"/>
  <c r="F55" i="8"/>
  <c r="M57" i="10"/>
  <c r="M26" i="10"/>
  <c r="M13" i="10"/>
  <c r="M51" i="10"/>
  <c r="M56" i="10"/>
  <c r="M19" i="10"/>
  <c r="M36" i="10"/>
  <c r="M17" i="10"/>
  <c r="M54" i="10"/>
  <c r="M40" i="10"/>
  <c r="M9" i="10"/>
  <c r="M53" i="10"/>
  <c r="M42" i="10"/>
  <c r="M49" i="10"/>
  <c r="M12" i="10"/>
  <c r="M47" i="10"/>
  <c r="M4" i="10"/>
  <c r="M24" i="10"/>
  <c r="M23" i="10"/>
  <c r="M18" i="10"/>
  <c r="M30" i="10"/>
  <c r="M11" i="10"/>
  <c r="M25" i="10"/>
  <c r="M14" i="10"/>
  <c r="M16" i="10"/>
  <c r="M20" i="10"/>
  <c r="M44" i="10"/>
  <c r="M8" i="10"/>
  <c r="M15" i="10"/>
  <c r="M28" i="10"/>
  <c r="M55" i="10"/>
  <c r="M29" i="10"/>
  <c r="M38" i="10"/>
  <c r="M21" i="10"/>
  <c r="M52" i="10"/>
  <c r="M33" i="10"/>
  <c r="M37" i="10"/>
  <c r="M35" i="10"/>
  <c r="M39" i="10"/>
  <c r="M46" i="10"/>
  <c r="M50" i="10"/>
  <c r="M43" i="10"/>
  <c r="M27" i="10"/>
  <c r="M34" i="10"/>
  <c r="M32" i="10"/>
  <c r="M22" i="10"/>
  <c r="M5" i="10"/>
  <c r="M7" i="10"/>
  <c r="M45" i="10"/>
  <c r="M6" i="10"/>
  <c r="M48" i="10"/>
  <c r="M10" i="10"/>
  <c r="M41" i="10"/>
  <c r="M31" i="10"/>
  <c r="AC55" i="6"/>
  <c r="AC40" i="6"/>
  <c r="AC57" i="6"/>
  <c r="AC51" i="6"/>
  <c r="AC49" i="6"/>
  <c r="AC47" i="6"/>
  <c r="AC45" i="6"/>
  <c r="AC52" i="6"/>
  <c r="AC48" i="6"/>
  <c r="AC42" i="6"/>
  <c r="AC39" i="6"/>
  <c r="AC34" i="6"/>
  <c r="AC25" i="6"/>
  <c r="AC23" i="6"/>
  <c r="AC21" i="6"/>
  <c r="AC20" i="6"/>
  <c r="AC13" i="6"/>
  <c r="AC11" i="6"/>
  <c r="AC8" i="6"/>
  <c r="AC7" i="6"/>
  <c r="AC53" i="6"/>
  <c r="AC50" i="6"/>
  <c r="AC43" i="6"/>
  <c r="AC37" i="6"/>
  <c r="AC35" i="6"/>
  <c r="AC26" i="6"/>
  <c r="AC24" i="6"/>
  <c r="AC22" i="6"/>
  <c r="AC17" i="6"/>
  <c r="AC15" i="6"/>
  <c r="AC5" i="6"/>
  <c r="AC56" i="6"/>
  <c r="AC54" i="6"/>
  <c r="AC44" i="6"/>
  <c r="AC33" i="6"/>
  <c r="AC30" i="6"/>
  <c r="AC28" i="6"/>
  <c r="AC10" i="6"/>
  <c r="AC46" i="6"/>
  <c r="AC29" i="6"/>
  <c r="AC18" i="6"/>
  <c r="AC16" i="6"/>
  <c r="AC9" i="6"/>
  <c r="AC41" i="6"/>
  <c r="AC38" i="6"/>
  <c r="AC14" i="6"/>
  <c r="AC4" i="6"/>
  <c r="AC32" i="6"/>
  <c r="AC31" i="6"/>
  <c r="AC27" i="6"/>
  <c r="AC36" i="6"/>
  <c r="AC19" i="6"/>
  <c r="AC12" i="6"/>
  <c r="AC6" i="6"/>
  <c r="F47" i="12"/>
  <c r="F14" i="8"/>
  <c r="F46" i="8"/>
  <c r="F19" i="8"/>
  <c r="M55" i="9"/>
  <c r="M30" i="9"/>
  <c r="M18" i="9"/>
  <c r="M14" i="9"/>
  <c r="M21" i="9"/>
  <c r="M40" i="9"/>
  <c r="M10" i="9"/>
  <c r="M33" i="9"/>
  <c r="M38" i="9"/>
  <c r="M51" i="9"/>
  <c r="M49" i="9"/>
  <c r="M46" i="9"/>
  <c r="M36" i="9"/>
  <c r="M12" i="9"/>
  <c r="M28" i="9"/>
  <c r="M26" i="9"/>
  <c r="M9" i="9"/>
  <c r="M19" i="9"/>
  <c r="M6" i="9"/>
  <c r="M24" i="9"/>
  <c r="M53" i="9"/>
  <c r="M42" i="9"/>
  <c r="M4" i="9"/>
  <c r="M44" i="9"/>
  <c r="M57" i="9"/>
  <c r="M16" i="9"/>
  <c r="M8" i="9"/>
  <c r="M32" i="9"/>
  <c r="M7" i="9"/>
  <c r="M52" i="9"/>
  <c r="M56" i="9"/>
  <c r="M15" i="9"/>
  <c r="M5" i="9"/>
  <c r="M22" i="9"/>
  <c r="M35" i="9"/>
  <c r="M48" i="9"/>
  <c r="M23" i="9"/>
  <c r="M11" i="9"/>
  <c r="M29" i="9"/>
  <c r="M13" i="9"/>
  <c r="M20" i="9"/>
  <c r="M17" i="9"/>
  <c r="M47" i="9"/>
  <c r="M34" i="9"/>
  <c r="M50" i="9"/>
  <c r="M25" i="9"/>
  <c r="M39" i="9"/>
  <c r="M43" i="9"/>
  <c r="M31" i="9"/>
  <c r="M45" i="9"/>
  <c r="M54" i="9"/>
  <c r="M37" i="9"/>
  <c r="M27" i="9"/>
  <c r="M41" i="9"/>
  <c r="AH17" i="9"/>
  <c r="AH54" i="9"/>
  <c r="AH43" i="9"/>
  <c r="AH52" i="9"/>
  <c r="AH37" i="9"/>
  <c r="AH5" i="9"/>
  <c r="AH41" i="9"/>
  <c r="AH50" i="9"/>
  <c r="AH21" i="9"/>
  <c r="AH34" i="9"/>
  <c r="AH24" i="9"/>
  <c r="AH26" i="9"/>
  <c r="AH7" i="9"/>
  <c r="AH11" i="9"/>
  <c r="AH35" i="9"/>
  <c r="AH22" i="9"/>
  <c r="AH25" i="9"/>
  <c r="AH8" i="9"/>
  <c r="AH47" i="9"/>
  <c r="AH51" i="9"/>
  <c r="AH56" i="9"/>
  <c r="AH23" i="9"/>
  <c r="AH39" i="9"/>
  <c r="AH15" i="9"/>
  <c r="AH45" i="9"/>
  <c r="AH13" i="9"/>
  <c r="AH20" i="9"/>
  <c r="AH49" i="9"/>
  <c r="AH38" i="9"/>
  <c r="AH31" i="9"/>
  <c r="AH32" i="9"/>
  <c r="AH55" i="9"/>
  <c r="AH27" i="9"/>
  <c r="AH40" i="9"/>
  <c r="AH16" i="9"/>
  <c r="AH28" i="9"/>
  <c r="AH42" i="9"/>
  <c r="AH44" i="9"/>
  <c r="AH4" i="9"/>
  <c r="AH36" i="9"/>
  <c r="AH48" i="9"/>
  <c r="AH9" i="9"/>
  <c r="AH53" i="9"/>
  <c r="AH12" i="9"/>
  <c r="AH57" i="9"/>
  <c r="AH46" i="9"/>
  <c r="AH6" i="9"/>
  <c r="AH18" i="9"/>
  <c r="AH30" i="9"/>
  <c r="AH19" i="9"/>
  <c r="AH33" i="9"/>
  <c r="AH29" i="9"/>
  <c r="AH14" i="9"/>
  <c r="AH10" i="9"/>
  <c r="BL17" i="10"/>
  <c r="BL60" i="10" s="1"/>
  <c r="BK60" i="10"/>
  <c r="V17" i="12"/>
  <c r="V15" i="12"/>
  <c r="AQ15" i="12" s="1"/>
  <c r="V8" i="12"/>
  <c r="V6" i="12"/>
  <c r="AQ6" i="12" s="1"/>
  <c r="V4" i="12"/>
  <c r="V10" i="12"/>
  <c r="V9" i="12"/>
  <c r="V5" i="12"/>
  <c r="AQ5" i="12" s="1"/>
  <c r="V42" i="12"/>
  <c r="V20" i="12"/>
  <c r="V24" i="12"/>
  <c r="V26" i="12"/>
  <c r="V22" i="12"/>
  <c r="V7" i="12"/>
  <c r="V25" i="12"/>
  <c r="V21" i="12"/>
  <c r="V23" i="12"/>
  <c r="V33" i="12"/>
  <c r="V11" i="12"/>
  <c r="V36" i="12"/>
  <c r="V57" i="12"/>
  <c r="AQ57" i="12" s="1"/>
  <c r="V13" i="12"/>
  <c r="V27" i="12"/>
  <c r="V41" i="12"/>
  <c r="V28" i="12"/>
  <c r="V29" i="12"/>
  <c r="V34" i="12"/>
  <c r="V47" i="12"/>
  <c r="V16" i="12"/>
  <c r="V44" i="12"/>
  <c r="V56" i="12"/>
  <c r="V32" i="12"/>
  <c r="V39" i="12"/>
  <c r="AQ39" i="12" s="1"/>
  <c r="V31" i="12"/>
  <c r="V52" i="12"/>
  <c r="V35" i="12"/>
  <c r="AQ35" i="12" s="1"/>
  <c r="V53" i="12"/>
  <c r="AQ53" i="12" s="1"/>
  <c r="V48" i="12"/>
  <c r="V19" i="12"/>
  <c r="V40" i="12"/>
  <c r="V45" i="12"/>
  <c r="V37" i="12"/>
  <c r="V12" i="12"/>
  <c r="AQ12" i="12" s="1"/>
  <c r="V38" i="12"/>
  <c r="AQ38" i="12" s="1"/>
  <c r="V49" i="12"/>
  <c r="V50" i="12"/>
  <c r="V55" i="12"/>
  <c r="V54" i="12"/>
  <c r="V14" i="12"/>
  <c r="V30" i="12"/>
  <c r="V43" i="12"/>
  <c r="V51" i="12"/>
  <c r="V18" i="12"/>
  <c r="V46" i="12"/>
  <c r="M33" i="7"/>
  <c r="M9" i="7"/>
  <c r="M27" i="7"/>
  <c r="M50" i="7"/>
  <c r="M56" i="7"/>
  <c r="M25" i="7"/>
  <c r="M30" i="7"/>
  <c r="M53" i="7"/>
  <c r="M55" i="7"/>
  <c r="M46" i="7"/>
  <c r="M52" i="7"/>
  <c r="M21" i="7"/>
  <c r="M48" i="7"/>
  <c r="M26" i="7"/>
  <c r="M54" i="7"/>
  <c r="M42" i="7"/>
  <c r="M15" i="7"/>
  <c r="M36" i="7"/>
  <c r="M12" i="7"/>
  <c r="M51" i="7"/>
  <c r="M11" i="7"/>
  <c r="M34" i="7"/>
  <c r="M45" i="7"/>
  <c r="M18" i="7"/>
  <c r="M13" i="7"/>
  <c r="M19" i="7"/>
  <c r="M49" i="7"/>
  <c r="M8" i="7"/>
  <c r="M43" i="7"/>
  <c r="M29" i="7"/>
  <c r="M16" i="7"/>
  <c r="M24" i="7"/>
  <c r="M14" i="7"/>
  <c r="M39" i="7"/>
  <c r="M23" i="7"/>
  <c r="M5" i="7"/>
  <c r="M44" i="7"/>
  <c r="M31" i="7"/>
  <c r="M20" i="7"/>
  <c r="M7" i="7"/>
  <c r="M17" i="7"/>
  <c r="M22" i="7"/>
  <c r="M32" i="7"/>
  <c r="M37" i="7"/>
  <c r="M57" i="7"/>
  <c r="M38" i="7"/>
  <c r="M40" i="7"/>
  <c r="M47" i="7"/>
  <c r="M28" i="7"/>
  <c r="M6" i="7"/>
  <c r="M41" i="7"/>
  <c r="M10" i="7"/>
  <c r="M35" i="7"/>
  <c r="M4" i="7"/>
  <c r="BK17" i="9"/>
  <c r="BJ60" i="9"/>
  <c r="Y84" i="3"/>
  <c r="Z84" i="3"/>
  <c r="BT44" i="11"/>
  <c r="BS60" i="11"/>
  <c r="F54" i="12"/>
  <c r="F37" i="12"/>
  <c r="F24" i="12"/>
  <c r="V84" i="3"/>
  <c r="U84" i="3"/>
  <c r="AC13" i="1"/>
  <c r="AC69" i="1" s="1"/>
  <c r="AA69" i="1"/>
  <c r="AA71" i="1" s="1"/>
  <c r="AB13" i="1"/>
  <c r="AB69" i="1" s="1"/>
  <c r="AA79" i="1"/>
  <c r="M25" i="11"/>
  <c r="M47" i="11"/>
  <c r="M10" i="11"/>
  <c r="M55" i="11"/>
  <c r="M39" i="11"/>
  <c r="M43" i="11"/>
  <c r="M50" i="11"/>
  <c r="M48" i="11"/>
  <c r="M21" i="11"/>
  <c r="M53" i="11"/>
  <c r="M19" i="11"/>
  <c r="M27" i="11"/>
  <c r="M23" i="11"/>
  <c r="M32" i="11"/>
  <c r="M12" i="11"/>
  <c r="M37" i="11"/>
  <c r="M5" i="11"/>
  <c r="M11" i="11"/>
  <c r="M14" i="11"/>
  <c r="M51" i="11"/>
  <c r="M9" i="11"/>
  <c r="M28" i="11"/>
  <c r="M16" i="11"/>
  <c r="M52" i="11"/>
  <c r="M6" i="11"/>
  <c r="M15" i="11"/>
  <c r="M41" i="11"/>
  <c r="M38" i="11"/>
  <c r="M18" i="11"/>
  <c r="M30" i="11"/>
  <c r="M36" i="11"/>
  <c r="M56" i="11"/>
  <c r="M34" i="11"/>
  <c r="M8" i="11"/>
  <c r="M45" i="11"/>
  <c r="M20" i="11"/>
  <c r="M40" i="11"/>
  <c r="M57" i="11"/>
  <c r="M13" i="11"/>
  <c r="M26" i="11"/>
  <c r="M42" i="11"/>
  <c r="M35" i="11"/>
  <c r="M17" i="11"/>
  <c r="M54" i="11"/>
  <c r="M24" i="11"/>
  <c r="M4" i="11"/>
  <c r="M46" i="11"/>
  <c r="M49" i="11"/>
  <c r="M22" i="11"/>
  <c r="M29" i="11"/>
  <c r="M44" i="11"/>
  <c r="M31" i="11"/>
  <c r="M7" i="11"/>
  <c r="M33" i="11"/>
  <c r="M53" i="8"/>
  <c r="M40" i="8"/>
  <c r="M42" i="8"/>
  <c r="M51" i="8"/>
  <c r="M18" i="8"/>
  <c r="M32" i="8"/>
  <c r="M41" i="8"/>
  <c r="M22" i="8"/>
  <c r="M6" i="8"/>
  <c r="M36" i="8"/>
  <c r="M9" i="8"/>
  <c r="M34" i="8"/>
  <c r="M26" i="8"/>
  <c r="M23" i="8"/>
  <c r="M27" i="8"/>
  <c r="M13" i="8"/>
  <c r="M57" i="8"/>
  <c r="M14" i="8"/>
  <c r="M30" i="8"/>
  <c r="M24" i="8"/>
  <c r="M37" i="8"/>
  <c r="M16" i="8"/>
  <c r="M8" i="8"/>
  <c r="M55" i="8"/>
  <c r="M50" i="8"/>
  <c r="M7" i="8"/>
  <c r="M11" i="8"/>
  <c r="M12" i="8"/>
  <c r="M38" i="8"/>
  <c r="M45" i="8"/>
  <c r="M54" i="8"/>
  <c r="M20" i="8"/>
  <c r="M44" i="8"/>
  <c r="M29" i="8"/>
  <c r="M31" i="8"/>
  <c r="M17" i="8"/>
  <c r="M49" i="8"/>
  <c r="M15" i="8"/>
  <c r="M25" i="8"/>
  <c r="M46" i="8"/>
  <c r="M19" i="8"/>
  <c r="M10" i="8"/>
  <c r="M33" i="8"/>
  <c r="M21" i="8"/>
  <c r="M48" i="8"/>
  <c r="M4" i="8"/>
  <c r="M43" i="8"/>
  <c r="M35" i="8"/>
  <c r="M47" i="8"/>
  <c r="M52" i="8"/>
  <c r="M28" i="8"/>
  <c r="M39" i="8"/>
  <c r="M56" i="8"/>
  <c r="M5" i="8"/>
  <c r="F45" i="12"/>
  <c r="F51" i="8"/>
  <c r="F52" i="8"/>
  <c r="F32" i="8"/>
  <c r="BK17" i="8"/>
  <c r="BJ60" i="8"/>
  <c r="BK17" i="11"/>
  <c r="BJ60" i="11"/>
  <c r="F41" i="12"/>
  <c r="F14" i="12"/>
  <c r="F27" i="12"/>
  <c r="F19" i="10"/>
  <c r="F9" i="10"/>
  <c r="F18" i="10"/>
  <c r="F42" i="10"/>
  <c r="F32" i="10"/>
  <c r="F40" i="10"/>
  <c r="F50" i="10"/>
  <c r="F47" i="10"/>
  <c r="F7" i="10"/>
  <c r="F5" i="10"/>
  <c r="F8" i="10"/>
  <c r="F13" i="10"/>
  <c r="F46" i="10"/>
  <c r="F35" i="10"/>
  <c r="F11" i="10"/>
  <c r="F52" i="10"/>
  <c r="F23" i="10"/>
  <c r="F51" i="10"/>
  <c r="F26" i="10"/>
  <c r="F12" i="10"/>
  <c r="F41" i="10"/>
  <c r="F17" i="10"/>
  <c r="F55" i="10"/>
  <c r="F27" i="10"/>
  <c r="F53" i="10"/>
  <c r="F6" i="10"/>
  <c r="F31" i="10"/>
  <c r="F45" i="10"/>
  <c r="F30" i="10"/>
  <c r="F16" i="10"/>
  <c r="F4" i="10"/>
  <c r="F36" i="10"/>
  <c r="F49" i="10"/>
  <c r="F22" i="10"/>
  <c r="F33" i="10"/>
  <c r="F15" i="10"/>
  <c r="F20" i="10"/>
  <c r="F48" i="10"/>
  <c r="F21" i="10"/>
  <c r="F14" i="10"/>
  <c r="F39" i="10"/>
  <c r="F54" i="10"/>
  <c r="F28" i="10"/>
  <c r="F10" i="10"/>
  <c r="F57" i="10"/>
  <c r="F25" i="10"/>
  <c r="F34" i="10"/>
  <c r="F37" i="10"/>
  <c r="F24" i="10"/>
  <c r="F29" i="10"/>
  <c r="F43" i="10"/>
  <c r="F38" i="10"/>
  <c r="F44" i="10"/>
  <c r="F56" i="10"/>
  <c r="V39" i="10"/>
  <c r="V29" i="10"/>
  <c r="V27" i="10"/>
  <c r="V43" i="10"/>
  <c r="V41" i="10"/>
  <c r="V33" i="10"/>
  <c r="V10" i="10"/>
  <c r="V48" i="10"/>
  <c r="V40" i="10"/>
  <c r="V37" i="10"/>
  <c r="V25" i="10"/>
  <c r="V21" i="10"/>
  <c r="V53" i="10"/>
  <c r="V57" i="10"/>
  <c r="V12" i="10"/>
  <c r="V35" i="10"/>
  <c r="V6" i="10"/>
  <c r="V7" i="10"/>
  <c r="V16" i="10"/>
  <c r="V31" i="10"/>
  <c r="V26" i="10"/>
  <c r="V34" i="10"/>
  <c r="V44" i="10"/>
  <c r="V49" i="10"/>
  <c r="V55" i="10"/>
  <c r="V56" i="10"/>
  <c r="V51" i="10"/>
  <c r="V52" i="10"/>
  <c r="V4" i="10"/>
  <c r="V9" i="10"/>
  <c r="V23" i="10"/>
  <c r="V15" i="10"/>
  <c r="V13" i="10"/>
  <c r="V22" i="10"/>
  <c r="V8" i="10"/>
  <c r="V46" i="10"/>
  <c r="V28" i="10"/>
  <c r="V45" i="10"/>
  <c r="V36" i="10"/>
  <c r="V38" i="10"/>
  <c r="V5" i="10"/>
  <c r="V24" i="10"/>
  <c r="V20" i="10"/>
  <c r="V50" i="10"/>
  <c r="V42" i="10"/>
  <c r="V11" i="10"/>
  <c r="V19" i="10"/>
  <c r="V47" i="10"/>
  <c r="V18" i="10"/>
  <c r="V30" i="10"/>
  <c r="V54" i="10"/>
  <c r="V14" i="10"/>
  <c r="V17" i="10"/>
  <c r="V32" i="10"/>
  <c r="M54" i="6"/>
  <c r="M53" i="6"/>
  <c r="M11" i="6"/>
  <c r="M5" i="6"/>
  <c r="M39" i="6"/>
  <c r="M4" i="6"/>
  <c r="M6" i="6"/>
  <c r="M17" i="6"/>
  <c r="M52" i="6"/>
  <c r="M10" i="6"/>
  <c r="M18" i="6"/>
  <c r="M45" i="6"/>
  <c r="M56" i="6"/>
  <c r="M35" i="6"/>
  <c r="M41" i="6"/>
  <c r="M16" i="6"/>
  <c r="M38" i="6"/>
  <c r="M12" i="6"/>
  <c r="M44" i="6"/>
  <c r="M43" i="6"/>
  <c r="M8" i="6"/>
  <c r="M57" i="6"/>
  <c r="M55" i="6"/>
  <c r="M14" i="6"/>
  <c r="M13" i="6"/>
  <c r="M37" i="6"/>
  <c r="M42" i="6"/>
  <c r="M46" i="6"/>
  <c r="M36" i="6"/>
  <c r="M15" i="6"/>
  <c r="M40" i="6"/>
  <c r="M47" i="6"/>
  <c r="M24" i="6"/>
  <c r="M27" i="6"/>
  <c r="M49" i="6"/>
  <c r="M31" i="6"/>
  <c r="M30" i="6"/>
  <c r="M50" i="6"/>
  <c r="M33" i="6"/>
  <c r="M23" i="6"/>
  <c r="M48" i="6"/>
  <c r="M34" i="6"/>
  <c r="M20" i="6"/>
  <c r="M32" i="6"/>
  <c r="M9" i="6"/>
  <c r="M51" i="6"/>
  <c r="M7" i="6"/>
  <c r="M21" i="6"/>
  <c r="M25" i="6"/>
  <c r="M26" i="6"/>
  <c r="M29" i="6"/>
  <c r="M28" i="6"/>
  <c r="M19" i="6"/>
  <c r="M22" i="6"/>
  <c r="F42" i="8"/>
  <c r="F30" i="8"/>
  <c r="F38" i="8"/>
  <c r="F22" i="8"/>
  <c r="BT44" i="10"/>
  <c r="BS60" i="10"/>
  <c r="BT44" i="7"/>
  <c r="BS60" i="7"/>
  <c r="V45" i="9"/>
  <c r="V13" i="9"/>
  <c r="V55" i="9"/>
  <c r="V35" i="9"/>
  <c r="V33" i="9"/>
  <c r="V31" i="9"/>
  <c r="V29" i="9"/>
  <c r="V27" i="9"/>
  <c r="V40" i="9"/>
  <c r="V54" i="9"/>
  <c r="V43" i="9"/>
  <c r="V32" i="9"/>
  <c r="V28" i="9"/>
  <c r="V56" i="9"/>
  <c r="V10" i="9"/>
  <c r="V19" i="9"/>
  <c r="V5" i="9"/>
  <c r="V30" i="9"/>
  <c r="V9" i="9"/>
  <c r="V48" i="9"/>
  <c r="V20" i="9"/>
  <c r="V24" i="9"/>
  <c r="V41" i="9"/>
  <c r="V34" i="9"/>
  <c r="V46" i="9"/>
  <c r="V49" i="9"/>
  <c r="V17" i="9"/>
  <c r="V25" i="9"/>
  <c r="V14" i="9"/>
  <c r="V50" i="9"/>
  <c r="V39" i="9"/>
  <c r="V42" i="9"/>
  <c r="V23" i="9"/>
  <c r="V44" i="9"/>
  <c r="V47" i="9"/>
  <c r="V21" i="9"/>
  <c r="V53" i="9"/>
  <c r="V51" i="9"/>
  <c r="V12" i="9"/>
  <c r="V36" i="9"/>
  <c r="V4" i="9"/>
  <c r="V11" i="9"/>
  <c r="V8" i="9"/>
  <c r="V18" i="9"/>
  <c r="V6" i="9"/>
  <c r="V37" i="9"/>
  <c r="V22" i="9"/>
  <c r="V16" i="9"/>
  <c r="V7" i="9"/>
  <c r="V57" i="9"/>
  <c r="V52" i="9"/>
  <c r="V38" i="9"/>
  <c r="V15" i="9"/>
  <c r="V26" i="9"/>
  <c r="AH47" i="12"/>
  <c r="AH45" i="12"/>
  <c r="AH56" i="12"/>
  <c r="AH51" i="12"/>
  <c r="AH41" i="12"/>
  <c r="AH32" i="12"/>
  <c r="AH31" i="12"/>
  <c r="AH19" i="12"/>
  <c r="AH18" i="12"/>
  <c r="AH37" i="12"/>
  <c r="AH35" i="12"/>
  <c r="AH49" i="12"/>
  <c r="AH9" i="12"/>
  <c r="AH6" i="12"/>
  <c r="AH4" i="12"/>
  <c r="AH39" i="12"/>
  <c r="AH10" i="12"/>
  <c r="AH22" i="12"/>
  <c r="AH5" i="12"/>
  <c r="AH44" i="12"/>
  <c r="AH33" i="12"/>
  <c r="AH46" i="12"/>
  <c r="AH30" i="12"/>
  <c r="AH24" i="12"/>
  <c r="AH28" i="12"/>
  <c r="AH13" i="12"/>
  <c r="AH27" i="12"/>
  <c r="AH48" i="12"/>
  <c r="AH38" i="12"/>
  <c r="AH43" i="12"/>
  <c r="AH57" i="12"/>
  <c r="AH55" i="12"/>
  <c r="AH15" i="12"/>
  <c r="AH8" i="12"/>
  <c r="AH53" i="12"/>
  <c r="AH50" i="12"/>
  <c r="AH12" i="12"/>
  <c r="AH7" i="12"/>
  <c r="AH54" i="12"/>
  <c r="AH21" i="12"/>
  <c r="AH40" i="12"/>
  <c r="AH26" i="12"/>
  <c r="AH14" i="12"/>
  <c r="AH29" i="12"/>
  <c r="AH23" i="12"/>
  <c r="AH34" i="12"/>
  <c r="AH16" i="12"/>
  <c r="AH36" i="12"/>
  <c r="AH17" i="12"/>
  <c r="AH11" i="12"/>
  <c r="AH25" i="12"/>
  <c r="AH20" i="12"/>
  <c r="AH42" i="12"/>
  <c r="AH52" i="12"/>
  <c r="AC51" i="7"/>
  <c r="AC49" i="7"/>
  <c r="AC47" i="7"/>
  <c r="AC45" i="7"/>
  <c r="AC39" i="7"/>
  <c r="AC34" i="7"/>
  <c r="AC56" i="7"/>
  <c r="AC54" i="7"/>
  <c r="AC52" i="7"/>
  <c r="AC50" i="7"/>
  <c r="AC43" i="7"/>
  <c r="AC41" i="7"/>
  <c r="AC37" i="7"/>
  <c r="AC35" i="7"/>
  <c r="AC26" i="7"/>
  <c r="AC55" i="7"/>
  <c r="AC44" i="7"/>
  <c r="AC28" i="7"/>
  <c r="AC19" i="7"/>
  <c r="AC18" i="7"/>
  <c r="AC16" i="7"/>
  <c r="AC14" i="7"/>
  <c r="AC12" i="7"/>
  <c r="AC9" i="7"/>
  <c r="AC6" i="7"/>
  <c r="AC4" i="7"/>
  <c r="AC53" i="7"/>
  <c r="AC38" i="7"/>
  <c r="AC33" i="7"/>
  <c r="AC31" i="7"/>
  <c r="AC27" i="7"/>
  <c r="AC25" i="7"/>
  <c r="AC23" i="7"/>
  <c r="AC21" i="7"/>
  <c r="AC20" i="7"/>
  <c r="AC13" i="7"/>
  <c r="AC11" i="7"/>
  <c r="AC8" i="7"/>
  <c r="AC7" i="7"/>
  <c r="AC48" i="7"/>
  <c r="AC42" i="7"/>
  <c r="AC32" i="7"/>
  <c r="AC30" i="7"/>
  <c r="AC24" i="7"/>
  <c r="AC22" i="7"/>
  <c r="AC17" i="7"/>
  <c r="AC15" i="7"/>
  <c r="AC5" i="7"/>
  <c r="AC46" i="7"/>
  <c r="AC36" i="7"/>
  <c r="AC40" i="7"/>
  <c r="AC29" i="7"/>
  <c r="AC57" i="7"/>
  <c r="AC10" i="7"/>
  <c r="F48" i="12"/>
  <c r="CC17" i="11"/>
  <c r="CB60" i="11"/>
  <c r="F36" i="12"/>
  <c r="F43" i="12"/>
  <c r="F46" i="12"/>
  <c r="F50" i="12"/>
  <c r="V48" i="11"/>
  <c r="V34" i="11"/>
  <c r="V25" i="11"/>
  <c r="V24" i="11"/>
  <c r="V22" i="11"/>
  <c r="V36" i="11"/>
  <c r="V8" i="11"/>
  <c r="V45" i="11"/>
  <c r="V44" i="11"/>
  <c r="V13" i="11"/>
  <c r="V11" i="11"/>
  <c r="V6" i="11"/>
  <c r="V4" i="11"/>
  <c r="V42" i="11"/>
  <c r="V38" i="11"/>
  <c r="V31" i="11"/>
  <c r="V30" i="11"/>
  <c r="V14" i="11"/>
  <c r="V39" i="11"/>
  <c r="V28" i="11"/>
  <c r="V55" i="11"/>
  <c r="V18" i="11"/>
  <c r="V12" i="11"/>
  <c r="V47" i="11"/>
  <c r="V46" i="11"/>
  <c r="V19" i="11"/>
  <c r="V54" i="11"/>
  <c r="V16" i="11"/>
  <c r="V7" i="11"/>
  <c r="V40" i="11"/>
  <c r="V10" i="11"/>
  <c r="V29" i="11"/>
  <c r="V53" i="11"/>
  <c r="V35" i="11"/>
  <c r="V52" i="11"/>
  <c r="V56" i="11"/>
  <c r="V15" i="11"/>
  <c r="V51" i="11"/>
  <c r="V32" i="11"/>
  <c r="V23" i="11"/>
  <c r="V5" i="11"/>
  <c r="V17" i="11"/>
  <c r="V41" i="11"/>
  <c r="V49" i="11"/>
  <c r="V33" i="11"/>
  <c r="V50" i="11"/>
  <c r="V27" i="11"/>
  <c r="V20" i="11"/>
  <c r="V9" i="11"/>
  <c r="V26" i="11"/>
  <c r="V57" i="11"/>
  <c r="V21" i="11"/>
  <c r="V43" i="11"/>
  <c r="V37" i="11"/>
  <c r="AH10" i="8"/>
  <c r="AH17" i="8"/>
  <c r="AH5" i="8"/>
  <c r="AH54" i="8"/>
  <c r="AH52" i="8"/>
  <c r="AH43" i="8"/>
  <c r="AH37" i="8"/>
  <c r="AH26" i="8"/>
  <c r="AH15" i="8"/>
  <c r="AH35" i="8"/>
  <c r="AH24" i="8"/>
  <c r="AH39" i="8"/>
  <c r="AH22" i="8"/>
  <c r="AH21" i="8"/>
  <c r="AH34" i="8"/>
  <c r="AH23" i="8"/>
  <c r="AH11" i="8"/>
  <c r="AH50" i="8"/>
  <c r="AH13" i="8"/>
  <c r="AH45" i="8"/>
  <c r="AH19" i="8"/>
  <c r="AH36" i="8"/>
  <c r="AH16" i="8"/>
  <c r="AH28" i="8"/>
  <c r="AH47" i="8"/>
  <c r="AH4" i="8"/>
  <c r="AH25" i="8"/>
  <c r="AH14" i="8"/>
  <c r="AH56" i="8"/>
  <c r="AH33" i="8"/>
  <c r="AH6" i="8"/>
  <c r="AH51" i="8"/>
  <c r="AH27" i="8"/>
  <c r="AH7" i="8"/>
  <c r="AH8" i="8"/>
  <c r="AH9" i="8"/>
  <c r="AH20" i="8"/>
  <c r="AH30" i="8"/>
  <c r="AH32" i="8"/>
  <c r="AH40" i="8"/>
  <c r="AH31" i="8"/>
  <c r="AH41" i="8"/>
  <c r="AH18" i="8"/>
  <c r="AH29" i="8"/>
  <c r="AH38" i="8"/>
  <c r="AH12" i="8"/>
  <c r="AH49" i="8"/>
  <c r="AH44" i="8"/>
  <c r="AH46" i="8"/>
  <c r="AH48" i="8"/>
  <c r="AH55" i="8"/>
  <c r="AH42" i="8"/>
  <c r="AH53" i="8"/>
  <c r="AH57" i="8"/>
  <c r="F33" i="8"/>
  <c r="F20" i="8"/>
  <c r="F26" i="8"/>
  <c r="F20" i="12"/>
  <c r="F28" i="12"/>
  <c r="F19" i="12"/>
  <c r="AC57" i="10"/>
  <c r="AC55" i="10"/>
  <c r="AC50" i="10"/>
  <c r="AC43" i="10"/>
  <c r="AC41" i="10"/>
  <c r="AC37" i="10"/>
  <c r="AC35" i="10"/>
  <c r="AC25" i="10"/>
  <c r="AC53" i="10"/>
  <c r="AC40" i="10"/>
  <c r="AC33" i="10"/>
  <c r="AC26" i="10"/>
  <c r="AC24" i="10"/>
  <c r="AC48" i="10"/>
  <c r="AC45" i="10"/>
  <c r="AC32" i="10"/>
  <c r="AC29" i="10"/>
  <c r="AC23" i="10"/>
  <c r="AC21" i="10"/>
  <c r="AC20" i="10"/>
  <c r="AC19" i="10"/>
  <c r="AC18" i="10"/>
  <c r="AC16" i="10"/>
  <c r="AC14" i="10"/>
  <c r="AC12" i="10"/>
  <c r="AC5" i="10"/>
  <c r="AC46" i="10"/>
  <c r="AC30" i="10"/>
  <c r="AC22" i="10"/>
  <c r="AC13" i="10"/>
  <c r="AC11" i="10"/>
  <c r="AC9" i="10"/>
  <c r="AC47" i="10"/>
  <c r="AC39" i="10"/>
  <c r="AC38" i="10"/>
  <c r="AC27" i="10"/>
  <c r="AC17" i="10"/>
  <c r="AC15" i="10"/>
  <c r="AC8" i="10"/>
  <c r="AC7" i="10"/>
  <c r="AC6" i="10"/>
  <c r="AC4" i="10"/>
  <c r="AC56" i="10"/>
  <c r="AC52" i="10"/>
  <c r="AC42" i="10"/>
  <c r="AC36" i="10"/>
  <c r="AC34" i="10"/>
  <c r="AC31" i="10"/>
  <c r="AC10" i="10"/>
  <c r="AC28" i="10"/>
  <c r="AC54" i="10"/>
  <c r="AC44" i="10"/>
  <c r="AC49" i="10"/>
  <c r="AC51" i="10"/>
  <c r="V56" i="6"/>
  <c r="V55" i="6"/>
  <c r="V54" i="6"/>
  <c r="V47" i="6"/>
  <c r="V44" i="6"/>
  <c r="V46" i="6"/>
  <c r="V41" i="6"/>
  <c r="V39" i="6"/>
  <c r="V38" i="6"/>
  <c r="V36" i="6"/>
  <c r="V18" i="6"/>
  <c r="V16" i="6"/>
  <c r="V14" i="6"/>
  <c r="V13" i="6"/>
  <c r="V12" i="6"/>
  <c r="V11" i="6"/>
  <c r="V8" i="6"/>
  <c r="V6" i="6"/>
  <c r="V4" i="6"/>
  <c r="V52" i="6"/>
  <c r="V42" i="6"/>
  <c r="V57" i="6"/>
  <c r="V53" i="6"/>
  <c r="V45" i="6"/>
  <c r="V43" i="6"/>
  <c r="V37" i="6"/>
  <c r="V17" i="6"/>
  <c r="V40" i="6"/>
  <c r="V35" i="6"/>
  <c r="V15" i="6"/>
  <c r="V10" i="6"/>
  <c r="V5" i="6"/>
  <c r="V20" i="6"/>
  <c r="V28" i="6"/>
  <c r="V31" i="6"/>
  <c r="V19" i="6"/>
  <c r="V23" i="6"/>
  <c r="V25" i="6"/>
  <c r="V51" i="6"/>
  <c r="V21" i="6"/>
  <c r="V32" i="6"/>
  <c r="V26" i="6"/>
  <c r="V24" i="6"/>
  <c r="V29" i="6"/>
  <c r="V7" i="6"/>
  <c r="V50" i="6"/>
  <c r="V9" i="6"/>
  <c r="V30" i="6"/>
  <c r="V34" i="6"/>
  <c r="V22" i="6"/>
  <c r="V33" i="6"/>
  <c r="V49" i="6"/>
  <c r="V48" i="6"/>
  <c r="V27" i="6"/>
  <c r="AH56" i="6"/>
  <c r="AH57" i="6"/>
  <c r="AH54" i="6"/>
  <c r="AH44" i="6"/>
  <c r="AH46" i="6"/>
  <c r="AH41" i="6"/>
  <c r="AH38" i="6"/>
  <c r="AH36" i="6"/>
  <c r="AH32" i="6"/>
  <c r="AH31" i="6"/>
  <c r="AH29" i="6"/>
  <c r="AH27" i="6"/>
  <c r="AH19" i="6"/>
  <c r="AH18" i="6"/>
  <c r="AH16" i="6"/>
  <c r="AH14" i="6"/>
  <c r="AH12" i="6"/>
  <c r="AH9" i="6"/>
  <c r="AH6" i="6"/>
  <c r="AH4" i="6"/>
  <c r="AH52" i="6"/>
  <c r="AH48" i="6"/>
  <c r="AH42" i="6"/>
  <c r="AH53" i="6"/>
  <c r="AH50" i="6"/>
  <c r="AH43" i="6"/>
  <c r="AH26" i="6"/>
  <c r="AH37" i="6"/>
  <c r="AH22" i="6"/>
  <c r="AH17" i="6"/>
  <c r="AH35" i="6"/>
  <c r="AH24" i="6"/>
  <c r="AH15" i="6"/>
  <c r="AH5" i="6"/>
  <c r="AH25" i="6"/>
  <c r="AH39" i="6"/>
  <c r="AH7" i="6"/>
  <c r="AH33" i="6"/>
  <c r="AH20" i="6"/>
  <c r="AH28" i="6"/>
  <c r="AH55" i="6"/>
  <c r="AH51" i="6"/>
  <c r="AH8" i="6"/>
  <c r="AH23" i="6"/>
  <c r="AH21" i="6"/>
  <c r="AH47" i="6"/>
  <c r="AH40" i="6"/>
  <c r="AH49" i="6"/>
  <c r="AH11" i="6"/>
  <c r="AH34" i="6"/>
  <c r="AH13" i="6"/>
  <c r="AH45" i="6"/>
  <c r="AH10" i="6"/>
  <c r="AH30" i="6"/>
  <c r="CD17" i="10"/>
  <c r="CD60" i="10" s="1"/>
  <c r="CC60" i="10"/>
  <c r="F25" i="8"/>
  <c r="F4" i="8"/>
  <c r="F36" i="8"/>
  <c r="F26" i="9"/>
  <c r="AQ26" i="9" s="1"/>
  <c r="F38" i="9"/>
  <c r="F20" i="9"/>
  <c r="F13" i="9"/>
  <c r="F30" i="9"/>
  <c r="AQ30" i="9" s="1"/>
  <c r="F14" i="9"/>
  <c r="AQ14" i="9" s="1"/>
  <c r="F48" i="9"/>
  <c r="F24" i="9"/>
  <c r="F35" i="9"/>
  <c r="F52" i="9"/>
  <c r="F50" i="9"/>
  <c r="F16" i="9"/>
  <c r="F5" i="9"/>
  <c r="AQ5" i="9" s="1"/>
  <c r="F47" i="9"/>
  <c r="AQ47" i="9" s="1"/>
  <c r="F51" i="9"/>
  <c r="F18" i="9"/>
  <c r="F41" i="9"/>
  <c r="AQ41" i="9" s="1"/>
  <c r="F31" i="9"/>
  <c r="AQ31" i="9" s="1"/>
  <c r="F56" i="9"/>
  <c r="F23" i="9"/>
  <c r="F29" i="9"/>
  <c r="F57" i="9"/>
  <c r="F17" i="9"/>
  <c r="F4" i="9"/>
  <c r="F28" i="9"/>
  <c r="F8" i="9"/>
  <c r="AQ8" i="9" s="1"/>
  <c r="F42" i="9"/>
  <c r="F43" i="9"/>
  <c r="F54" i="9"/>
  <c r="AQ54" i="9" s="1"/>
  <c r="F7" i="9"/>
  <c r="F22" i="9"/>
  <c r="F21" i="9"/>
  <c r="F25" i="9"/>
  <c r="AQ25" i="9" s="1"/>
  <c r="F40" i="9"/>
  <c r="F27" i="9"/>
  <c r="F10" i="9"/>
  <c r="F15" i="9"/>
  <c r="AQ15" i="9" s="1"/>
  <c r="F46" i="9"/>
  <c r="AQ46" i="9" s="1"/>
  <c r="F45" i="9"/>
  <c r="F39" i="9"/>
  <c r="F19" i="9"/>
  <c r="AQ19" i="9" s="1"/>
  <c r="F36" i="9"/>
  <c r="F53" i="9"/>
  <c r="F32" i="9"/>
  <c r="F6" i="9"/>
  <c r="F49" i="9"/>
  <c r="AQ49" i="9" s="1"/>
  <c r="F55" i="9"/>
  <c r="F11" i="9"/>
  <c r="F12" i="9"/>
  <c r="AQ12" i="9" s="1"/>
  <c r="F44" i="9"/>
  <c r="F9" i="9"/>
  <c r="F34" i="9"/>
  <c r="F33" i="9"/>
  <c r="AQ33" i="9" s="1"/>
  <c r="F37" i="9"/>
  <c r="AC56" i="9"/>
  <c r="AC54" i="9"/>
  <c r="AC52" i="9"/>
  <c r="AC50" i="9"/>
  <c r="AC43" i="9"/>
  <c r="AC41" i="9"/>
  <c r="AC37" i="9"/>
  <c r="AC35" i="9"/>
  <c r="AC26" i="9"/>
  <c r="AC24" i="9"/>
  <c r="AC22" i="9"/>
  <c r="AC17" i="9"/>
  <c r="AC15" i="9"/>
  <c r="AC5" i="9"/>
  <c r="AC55" i="9"/>
  <c r="AC40" i="9"/>
  <c r="AC33" i="9"/>
  <c r="AC30" i="9"/>
  <c r="AC28" i="9"/>
  <c r="AC10" i="9"/>
  <c r="AC53" i="9"/>
  <c r="AC46" i="9"/>
  <c r="AC42" i="9"/>
  <c r="AC38" i="9"/>
  <c r="AC34" i="9"/>
  <c r="AC31" i="9"/>
  <c r="AC29" i="9"/>
  <c r="AC27" i="9"/>
  <c r="AC21" i="9"/>
  <c r="AC18" i="9"/>
  <c r="AC4" i="9"/>
  <c r="AC51" i="9"/>
  <c r="AC49" i="9"/>
  <c r="AC48" i="9"/>
  <c r="AC44" i="9"/>
  <c r="AC32" i="9"/>
  <c r="AC20" i="9"/>
  <c r="AC13" i="9"/>
  <c r="AC9" i="9"/>
  <c r="AC6" i="9"/>
  <c r="AC11" i="9"/>
  <c r="AC47" i="9"/>
  <c r="AC39" i="9"/>
  <c r="AC36" i="9"/>
  <c r="AC25" i="9"/>
  <c r="AC23" i="9"/>
  <c r="AC57" i="9"/>
  <c r="AC45" i="9"/>
  <c r="AC19" i="9"/>
  <c r="AC14" i="9"/>
  <c r="AC16" i="9"/>
  <c r="AC7" i="9"/>
  <c r="AC12" i="9"/>
  <c r="AC8" i="9"/>
  <c r="BU44" i="6"/>
  <c r="BU60" i="6" s="1"/>
  <c r="BT60" i="6"/>
  <c r="BT44" i="12"/>
  <c r="BS60" i="12"/>
  <c r="CC17" i="7"/>
  <c r="CB60" i="7"/>
  <c r="M45" i="12"/>
  <c r="M54" i="12"/>
  <c r="M25" i="12"/>
  <c r="M41" i="12"/>
  <c r="M14" i="12"/>
  <c r="M26" i="12"/>
  <c r="M43" i="12"/>
  <c r="M47" i="12"/>
  <c r="M4" i="12"/>
  <c r="M49" i="12"/>
  <c r="M18" i="12"/>
  <c r="M6" i="12"/>
  <c r="M56" i="12"/>
  <c r="M48" i="12"/>
  <c r="M40" i="12"/>
  <c r="M28" i="12"/>
  <c r="M16" i="12"/>
  <c r="M12" i="12"/>
  <c r="M39" i="12"/>
  <c r="M10" i="12"/>
  <c r="M50" i="12"/>
  <c r="M30" i="12"/>
  <c r="M57" i="12"/>
  <c r="M37" i="12"/>
  <c r="M51" i="12"/>
  <c r="M5" i="12"/>
  <c r="M11" i="12"/>
  <c r="M7" i="12"/>
  <c r="M22" i="12"/>
  <c r="M8" i="12"/>
  <c r="M24" i="12"/>
  <c r="M42" i="12"/>
  <c r="M23" i="12"/>
  <c r="M19" i="12"/>
  <c r="M33" i="12"/>
  <c r="M9" i="12"/>
  <c r="M27" i="12"/>
  <c r="M34" i="12"/>
  <c r="M53" i="12"/>
  <c r="M32" i="12"/>
  <c r="M17" i="12"/>
  <c r="M38" i="12"/>
  <c r="M13" i="12"/>
  <c r="M29" i="12"/>
  <c r="M35" i="12"/>
  <c r="M52" i="12"/>
  <c r="M21" i="12"/>
  <c r="M36" i="12"/>
  <c r="M31" i="12"/>
  <c r="M44" i="12"/>
  <c r="M55" i="12"/>
  <c r="M46" i="12"/>
  <c r="M20" i="12"/>
  <c r="M15" i="12"/>
  <c r="AC56" i="12"/>
  <c r="AQ56" i="12" s="1"/>
  <c r="AC57" i="12"/>
  <c r="AC53" i="12"/>
  <c r="AC48" i="12"/>
  <c r="AC46" i="12"/>
  <c r="AC44" i="12"/>
  <c r="AC51" i="12"/>
  <c r="AQ51" i="12" s="1"/>
  <c r="AC49" i="12"/>
  <c r="AC47" i="12"/>
  <c r="AC45" i="12"/>
  <c r="AC43" i="12"/>
  <c r="AC39" i="12"/>
  <c r="AC34" i="12"/>
  <c r="AQ34" i="12" s="1"/>
  <c r="AC55" i="12"/>
  <c r="AQ55" i="12" s="1"/>
  <c r="AC41" i="12"/>
  <c r="AC37" i="12"/>
  <c r="AC35" i="12"/>
  <c r="AC54" i="12"/>
  <c r="AC40" i="12"/>
  <c r="AQ40" i="12" s="1"/>
  <c r="AC26" i="12"/>
  <c r="AC24" i="12"/>
  <c r="AC22" i="12"/>
  <c r="AQ22" i="12" s="1"/>
  <c r="AC17" i="12"/>
  <c r="AQ17" i="12" s="1"/>
  <c r="AC15" i="12"/>
  <c r="AC42" i="12"/>
  <c r="AQ42" i="12" s="1"/>
  <c r="AC33" i="12"/>
  <c r="AQ33" i="12" s="1"/>
  <c r="AC30" i="12"/>
  <c r="AC28" i="12"/>
  <c r="AC10" i="12"/>
  <c r="AC52" i="12"/>
  <c r="AQ52" i="12" s="1"/>
  <c r="AC25" i="12"/>
  <c r="AQ25" i="12" s="1"/>
  <c r="AC20" i="12"/>
  <c r="AC18" i="12"/>
  <c r="AQ18" i="12" s="1"/>
  <c r="AC16" i="12"/>
  <c r="AC14" i="12"/>
  <c r="AC12" i="12"/>
  <c r="AC5" i="12"/>
  <c r="AC38" i="12"/>
  <c r="AC32" i="12"/>
  <c r="AQ32" i="12" s="1"/>
  <c r="AC29" i="12"/>
  <c r="AQ29" i="12" s="1"/>
  <c r="AC27" i="12"/>
  <c r="AC23" i="12"/>
  <c r="AC19" i="12"/>
  <c r="AC11" i="12"/>
  <c r="AQ11" i="12" s="1"/>
  <c r="AC9" i="12"/>
  <c r="AC36" i="12"/>
  <c r="AC31" i="12"/>
  <c r="AQ31" i="12" s="1"/>
  <c r="AC7" i="12"/>
  <c r="AC4" i="12"/>
  <c r="AC50" i="12"/>
  <c r="AC8" i="12"/>
  <c r="AC6" i="12"/>
  <c r="AC21" i="12"/>
  <c r="AC13" i="12"/>
  <c r="AQ13" i="12" s="1"/>
  <c r="F13" i="7"/>
  <c r="AQ13" i="7" s="1"/>
  <c r="F9" i="7"/>
  <c r="AQ9" i="7" s="1"/>
  <c r="F10" i="7"/>
  <c r="AQ10" i="7" s="1"/>
  <c r="F31" i="7"/>
  <c r="AQ31" i="7" s="1"/>
  <c r="F34" i="7"/>
  <c r="AQ34" i="7" s="1"/>
  <c r="F43" i="7"/>
  <c r="AQ43" i="7" s="1"/>
  <c r="F11" i="7"/>
  <c r="AQ11" i="7" s="1"/>
  <c r="F19" i="7"/>
  <c r="AQ19" i="7" s="1"/>
  <c r="F46" i="7"/>
  <c r="AQ46" i="7" s="1"/>
  <c r="F57" i="7"/>
  <c r="AQ57" i="7" s="1"/>
  <c r="F38" i="7"/>
  <c r="AQ38" i="7" s="1"/>
  <c r="F16" i="7"/>
  <c r="AQ16" i="7" s="1"/>
  <c r="F18" i="7"/>
  <c r="AQ18" i="7" s="1"/>
  <c r="F35" i="7"/>
  <c r="AQ35" i="7" s="1"/>
  <c r="F25" i="7"/>
  <c r="AQ25" i="7" s="1"/>
  <c r="F53" i="7"/>
  <c r="AQ53" i="7" s="1"/>
  <c r="F29" i="7"/>
  <c r="AQ29" i="7" s="1"/>
  <c r="F15" i="7"/>
  <c r="AQ15" i="7" s="1"/>
  <c r="F52" i="7"/>
  <c r="AQ52" i="7" s="1"/>
  <c r="F49" i="7"/>
  <c r="AQ49" i="7" s="1"/>
  <c r="F55" i="7"/>
  <c r="AQ55" i="7" s="1"/>
  <c r="F24" i="7"/>
  <c r="AQ24" i="7" s="1"/>
  <c r="F33" i="7"/>
  <c r="AQ33" i="7" s="1"/>
  <c r="F28" i="7"/>
  <c r="AQ28" i="7" s="1"/>
  <c r="F48" i="7"/>
  <c r="AQ48" i="7" s="1"/>
  <c r="F47" i="7"/>
  <c r="AQ47" i="7" s="1"/>
  <c r="F6" i="7"/>
  <c r="AQ6" i="7" s="1"/>
  <c r="F36" i="7"/>
  <c r="AQ36" i="7" s="1"/>
  <c r="F42" i="7"/>
  <c r="AQ42" i="7" s="1"/>
  <c r="F12" i="7"/>
  <c r="AQ12" i="7" s="1"/>
  <c r="F44" i="7"/>
  <c r="AQ44" i="7" s="1"/>
  <c r="F17" i="7"/>
  <c r="AQ17" i="7" s="1"/>
  <c r="F5" i="7"/>
  <c r="AQ5" i="7" s="1"/>
  <c r="F26" i="7"/>
  <c r="AQ26" i="7" s="1"/>
  <c r="F22" i="7"/>
  <c r="AQ22" i="7" s="1"/>
  <c r="F14" i="7"/>
  <c r="AQ14" i="7" s="1"/>
  <c r="F7" i="7"/>
  <c r="AQ7" i="7" s="1"/>
  <c r="F50" i="7"/>
  <c r="AQ50" i="7" s="1"/>
  <c r="F32" i="7"/>
  <c r="AQ32" i="7" s="1"/>
  <c r="F21" i="7"/>
  <c r="AQ21" i="7" s="1"/>
  <c r="F30" i="7"/>
  <c r="AQ30" i="7" s="1"/>
  <c r="F45" i="7"/>
  <c r="AQ45" i="7" s="1"/>
  <c r="F20" i="7"/>
  <c r="AQ20" i="7" s="1"/>
  <c r="F56" i="7"/>
  <c r="AQ56" i="7" s="1"/>
  <c r="F8" i="7"/>
  <c r="AQ8" i="7" s="1"/>
  <c r="F23" i="7"/>
  <c r="AQ23" i="7" s="1"/>
  <c r="F37" i="7"/>
  <c r="AQ37" i="7" s="1"/>
  <c r="F39" i="7"/>
  <c r="AQ39" i="7" s="1"/>
  <c r="F40" i="7"/>
  <c r="AQ40" i="7" s="1"/>
  <c r="F4" i="7"/>
  <c r="F54" i="7"/>
  <c r="AQ54" i="7" s="1"/>
  <c r="F41" i="7"/>
  <c r="AQ41" i="7" s="1"/>
  <c r="F51" i="7"/>
  <c r="AQ51" i="7" s="1"/>
  <c r="F27" i="7"/>
  <c r="AQ27" i="7" s="1"/>
  <c r="CC17" i="12"/>
  <c r="CB60" i="12"/>
  <c r="AQ23" i="8"/>
  <c r="CD17" i="6"/>
  <c r="CD60" i="6" s="1"/>
  <c r="CC60" i="6"/>
  <c r="F7" i="12"/>
  <c r="AQ7" i="12" s="1"/>
  <c r="F30" i="12"/>
  <c r="F8" i="12"/>
  <c r="V75" i="3"/>
  <c r="S77" i="3"/>
  <c r="U75" i="3"/>
  <c r="AH33" i="11"/>
  <c r="AH35" i="11"/>
  <c r="AH22" i="11"/>
  <c r="AH15" i="11"/>
  <c r="AH26" i="11"/>
  <c r="AH40" i="11"/>
  <c r="AH5" i="11"/>
  <c r="AH28" i="11"/>
  <c r="AH17" i="11"/>
  <c r="AH41" i="11"/>
  <c r="AH54" i="11"/>
  <c r="AH43" i="11"/>
  <c r="AH30" i="11"/>
  <c r="AH10" i="11"/>
  <c r="AH50" i="11"/>
  <c r="AH37" i="11"/>
  <c r="AH24" i="11"/>
  <c r="AH49" i="11"/>
  <c r="AH6" i="11"/>
  <c r="AH11" i="11"/>
  <c r="AH52" i="11"/>
  <c r="AH39" i="11"/>
  <c r="AH12" i="11"/>
  <c r="AH56" i="11"/>
  <c r="AH8" i="11"/>
  <c r="AH9" i="11"/>
  <c r="AH7" i="11"/>
  <c r="AH4" i="11"/>
  <c r="AH46" i="11"/>
  <c r="AH51" i="11"/>
  <c r="AH23" i="11"/>
  <c r="AH38" i="11"/>
  <c r="AH13" i="11"/>
  <c r="AH19" i="11"/>
  <c r="AH55" i="11"/>
  <c r="AH16" i="11"/>
  <c r="AH42" i="11"/>
  <c r="AH20" i="11"/>
  <c r="AH14" i="11"/>
  <c r="AH48" i="11"/>
  <c r="AH21" i="11"/>
  <c r="AH18" i="11"/>
  <c r="AH25" i="11"/>
  <c r="AH32" i="11"/>
  <c r="AH53" i="11"/>
  <c r="AH57" i="11"/>
  <c r="AH34" i="11"/>
  <c r="AH27" i="11"/>
  <c r="AH29" i="11"/>
  <c r="AH31" i="11"/>
  <c r="AH47" i="11"/>
  <c r="AH44" i="11"/>
  <c r="AH45" i="11"/>
  <c r="AH36" i="11"/>
  <c r="AC56" i="11"/>
  <c r="AC54" i="11"/>
  <c r="AC52" i="11"/>
  <c r="AC50" i="11"/>
  <c r="AC55" i="11"/>
  <c r="AC49" i="11"/>
  <c r="AC40" i="11"/>
  <c r="AC33" i="11"/>
  <c r="AC30" i="11"/>
  <c r="AC28" i="11"/>
  <c r="AC10" i="11"/>
  <c r="AC57" i="11"/>
  <c r="AC53" i="11"/>
  <c r="AC51" i="11"/>
  <c r="AC46" i="11"/>
  <c r="AC44" i="11"/>
  <c r="AC42" i="11"/>
  <c r="AC38" i="11"/>
  <c r="AC36" i="11"/>
  <c r="AC32" i="11"/>
  <c r="AC31" i="11"/>
  <c r="AC29" i="11"/>
  <c r="AC27" i="11"/>
  <c r="AC19" i="11"/>
  <c r="AC18" i="11"/>
  <c r="AC16" i="11"/>
  <c r="AC14" i="11"/>
  <c r="AC12" i="11"/>
  <c r="AC9" i="11"/>
  <c r="AC6" i="11"/>
  <c r="AC4" i="11"/>
  <c r="AC48" i="11"/>
  <c r="AC45" i="11"/>
  <c r="AC43" i="11"/>
  <c r="AC23" i="11"/>
  <c r="AC20" i="11"/>
  <c r="AC13" i="11"/>
  <c r="AC11" i="11"/>
  <c r="AC5" i="11"/>
  <c r="AC39" i="11"/>
  <c r="AC37" i="11"/>
  <c r="AC26" i="11"/>
  <c r="AC21" i="11"/>
  <c r="AC7" i="11"/>
  <c r="AC41" i="11"/>
  <c r="AC35" i="11"/>
  <c r="AC25" i="11"/>
  <c r="AC17" i="11"/>
  <c r="AC8" i="11"/>
  <c r="AC24" i="11"/>
  <c r="AC34" i="11"/>
  <c r="AC47" i="11"/>
  <c r="AC22" i="11"/>
  <c r="AC15" i="11"/>
  <c r="V19" i="8"/>
  <c r="V9" i="8"/>
  <c r="AQ9" i="8" s="1"/>
  <c r="V56" i="8"/>
  <c r="AQ56" i="8" s="1"/>
  <c r="V40" i="8"/>
  <c r="V37" i="8"/>
  <c r="AQ37" i="8" s="1"/>
  <c r="V15" i="8"/>
  <c r="AQ15" i="8" s="1"/>
  <c r="V48" i="8"/>
  <c r="V35" i="8"/>
  <c r="V25" i="8"/>
  <c r="V22" i="8"/>
  <c r="V10" i="8"/>
  <c r="V7" i="8"/>
  <c r="AQ7" i="8" s="1"/>
  <c r="V17" i="8"/>
  <c r="AQ17" i="8" s="1"/>
  <c r="V26" i="8"/>
  <c r="V20" i="8"/>
  <c r="V5" i="8"/>
  <c r="V49" i="8"/>
  <c r="AQ49" i="8" s="1"/>
  <c r="V21" i="8"/>
  <c r="AQ21" i="8" s="1"/>
  <c r="V24" i="8"/>
  <c r="AQ24" i="8" s="1"/>
  <c r="V34" i="8"/>
  <c r="V43" i="8"/>
  <c r="AQ43" i="8" s="1"/>
  <c r="V30" i="8"/>
  <c r="V39" i="8"/>
  <c r="AQ39" i="8" s="1"/>
  <c r="V4" i="8"/>
  <c r="V13" i="8"/>
  <c r="V16" i="8"/>
  <c r="AQ16" i="8" s="1"/>
  <c r="V28" i="8"/>
  <c r="AQ28" i="8" s="1"/>
  <c r="V53" i="8"/>
  <c r="V50" i="8"/>
  <c r="V46" i="8"/>
  <c r="V54" i="8"/>
  <c r="AQ54" i="8" s="1"/>
  <c r="V27" i="8"/>
  <c r="AQ27" i="8" s="1"/>
  <c r="V31" i="8"/>
  <c r="AQ31" i="8" s="1"/>
  <c r="V41" i="8"/>
  <c r="AQ41" i="8" s="1"/>
  <c r="V29" i="8"/>
  <c r="AQ29" i="8" s="1"/>
  <c r="V33" i="8"/>
  <c r="V47" i="8"/>
  <c r="V57" i="8"/>
  <c r="V12" i="8"/>
  <c r="V6" i="8"/>
  <c r="AQ6" i="8" s="1"/>
  <c r="V55" i="8"/>
  <c r="V32" i="8"/>
  <c r="V51" i="8"/>
  <c r="V36" i="8"/>
  <c r="V44" i="8"/>
  <c r="AQ44" i="8" s="1"/>
  <c r="V8" i="8"/>
  <c r="AQ8" i="8" s="1"/>
  <c r="V14" i="8"/>
  <c r="V45" i="8"/>
  <c r="AQ45" i="8" s="1"/>
  <c r="V11" i="8"/>
  <c r="AQ11" i="8" s="1"/>
  <c r="V23" i="8"/>
  <c r="V18" i="8"/>
  <c r="AQ18" i="8" s="1"/>
  <c r="V38" i="8"/>
  <c r="V42" i="8"/>
  <c r="V52" i="8"/>
  <c r="BK17" i="12"/>
  <c r="BJ60" i="12"/>
  <c r="BT44" i="8"/>
  <c r="BS60" i="8"/>
  <c r="F12" i="8"/>
  <c r="AQ12" i="8" s="1"/>
  <c r="F5" i="8"/>
  <c r="AQ5" i="8" s="1"/>
  <c r="F10" i="8"/>
  <c r="F48" i="8"/>
  <c r="BU44" i="9"/>
  <c r="BU60" i="9" s="1"/>
  <c r="BT60" i="9"/>
  <c r="F21" i="12"/>
  <c r="AQ21" i="12" s="1"/>
  <c r="F49" i="12"/>
  <c r="AQ49" i="12" s="1"/>
  <c r="F9" i="12"/>
  <c r="AQ9" i="12" s="1"/>
  <c r="AH30" i="10"/>
  <c r="AH53" i="10"/>
  <c r="AH50" i="10"/>
  <c r="AH37" i="10"/>
  <c r="AH35" i="10"/>
  <c r="AH24" i="10"/>
  <c r="AH40" i="10"/>
  <c r="AH33" i="10"/>
  <c r="AH55" i="10"/>
  <c r="AH22" i="10"/>
  <c r="AH18" i="10"/>
  <c r="AH26" i="10"/>
  <c r="AH23" i="10"/>
  <c r="AH12" i="10"/>
  <c r="AH5" i="10"/>
  <c r="AH11" i="10"/>
  <c r="AH9" i="10"/>
  <c r="AH13" i="10"/>
  <c r="AH8" i="10"/>
  <c r="AH14" i="10"/>
  <c r="AH43" i="10"/>
  <c r="AH6" i="10"/>
  <c r="AH19" i="10"/>
  <c r="AH32" i="10"/>
  <c r="AH45" i="10"/>
  <c r="AH48" i="10"/>
  <c r="AH27" i="10"/>
  <c r="AH38" i="10"/>
  <c r="AH4" i="10"/>
  <c r="AH44" i="10"/>
  <c r="AH20" i="10"/>
  <c r="AH49" i="10"/>
  <c r="AH41" i="10"/>
  <c r="AH28" i="10"/>
  <c r="AH10" i="10"/>
  <c r="AH25" i="10"/>
  <c r="AH36" i="10"/>
  <c r="AH51" i="10"/>
  <c r="AH56" i="10"/>
  <c r="AH7" i="10"/>
  <c r="AH47" i="10"/>
  <c r="AH54" i="10"/>
  <c r="AH16" i="10"/>
  <c r="AH15" i="10"/>
  <c r="AH39" i="10"/>
  <c r="AH17" i="10"/>
  <c r="AH21" i="10"/>
  <c r="AH29" i="10"/>
  <c r="AH34" i="10"/>
  <c r="AH31" i="10"/>
  <c r="AH52" i="10"/>
  <c r="AH57" i="10"/>
  <c r="AH46" i="10"/>
  <c r="AH42" i="10"/>
  <c r="F11" i="6"/>
  <c r="AQ11" i="6" s="1"/>
  <c r="F13" i="6"/>
  <c r="AQ13" i="6" s="1"/>
  <c r="F31" i="6"/>
  <c r="AQ31" i="6" s="1"/>
  <c r="F45" i="6"/>
  <c r="AQ45" i="6" s="1"/>
  <c r="F7" i="6"/>
  <c r="AQ7" i="6" s="1"/>
  <c r="F25" i="6"/>
  <c r="AQ25" i="6" s="1"/>
  <c r="F47" i="6"/>
  <c r="AQ47" i="6" s="1"/>
  <c r="F50" i="6"/>
  <c r="AQ50" i="6" s="1"/>
  <c r="F51" i="6"/>
  <c r="AQ51" i="6" s="1"/>
  <c r="F20" i="6"/>
  <c r="AQ20" i="6" s="1"/>
  <c r="F32" i="6"/>
  <c r="AQ32" i="6" s="1"/>
  <c r="F27" i="6"/>
  <c r="AQ27" i="6" s="1"/>
  <c r="F38" i="6"/>
  <c r="AQ38" i="6" s="1"/>
  <c r="F57" i="6"/>
  <c r="AQ57" i="6" s="1"/>
  <c r="F21" i="6"/>
  <c r="AQ21" i="6" s="1"/>
  <c r="F17" i="6"/>
  <c r="AQ17" i="6" s="1"/>
  <c r="F22" i="6"/>
  <c r="AQ22" i="6" s="1"/>
  <c r="F33" i="6"/>
  <c r="AQ33" i="6" s="1"/>
  <c r="F52" i="6"/>
  <c r="AQ52" i="6" s="1"/>
  <c r="F41" i="6"/>
  <c r="AQ41" i="6" s="1"/>
  <c r="F9" i="6"/>
  <c r="AQ9" i="6" s="1"/>
  <c r="F37" i="6"/>
  <c r="AQ37" i="6" s="1"/>
  <c r="F53" i="6"/>
  <c r="AQ53" i="6" s="1"/>
  <c r="F36" i="6"/>
  <c r="AQ36" i="6" s="1"/>
  <c r="F56" i="6"/>
  <c r="AQ56" i="6" s="1"/>
  <c r="F29" i="6"/>
  <c r="AQ29" i="6" s="1"/>
  <c r="F40" i="6"/>
  <c r="AQ40" i="6" s="1"/>
  <c r="F46" i="6"/>
  <c r="AQ46" i="6" s="1"/>
  <c r="F30" i="6"/>
  <c r="AQ30" i="6" s="1"/>
  <c r="F28" i="6"/>
  <c r="AQ28" i="6" s="1"/>
  <c r="F23" i="6"/>
  <c r="AQ23" i="6" s="1"/>
  <c r="F42" i="6"/>
  <c r="AQ42" i="6" s="1"/>
  <c r="F12" i="6"/>
  <c r="AQ12" i="6" s="1"/>
  <c r="F14" i="6"/>
  <c r="AQ14" i="6" s="1"/>
  <c r="F49" i="6"/>
  <c r="AQ49" i="6" s="1"/>
  <c r="F6" i="6"/>
  <c r="AQ6" i="6" s="1"/>
  <c r="F54" i="6"/>
  <c r="AQ54" i="6" s="1"/>
  <c r="F5" i="6"/>
  <c r="AQ5" i="6" s="1"/>
  <c r="F16" i="6"/>
  <c r="AQ16" i="6" s="1"/>
  <c r="F10" i="6"/>
  <c r="AQ10" i="6" s="1"/>
  <c r="F35" i="6"/>
  <c r="AQ35" i="6" s="1"/>
  <c r="F34" i="6"/>
  <c r="AQ34" i="6" s="1"/>
  <c r="F4" i="6"/>
  <c r="F39" i="6"/>
  <c r="AQ39" i="6" s="1"/>
  <c r="F8" i="6"/>
  <c r="AQ8" i="6" s="1"/>
  <c r="F55" i="6"/>
  <c r="AQ55" i="6" s="1"/>
  <c r="F44" i="6"/>
  <c r="AQ44" i="6" s="1"/>
  <c r="F18" i="6"/>
  <c r="AQ18" i="6" s="1"/>
  <c r="F19" i="6"/>
  <c r="AQ19" i="6" s="1"/>
  <c r="F43" i="6"/>
  <c r="AQ43" i="6" s="1"/>
  <c r="F15" i="6"/>
  <c r="AQ15" i="6" s="1"/>
  <c r="F24" i="6"/>
  <c r="AQ24" i="6" s="1"/>
  <c r="F26" i="6"/>
  <c r="AQ26" i="6" s="1"/>
  <c r="F48" i="6"/>
  <c r="AQ48" i="6" s="1"/>
  <c r="Q57" i="6"/>
  <c r="Q52" i="6"/>
  <c r="Q42" i="6"/>
  <c r="Q56" i="6"/>
  <c r="Q53" i="6"/>
  <c r="Q43" i="6"/>
  <c r="Q37" i="6"/>
  <c r="Q35" i="6"/>
  <c r="Q17" i="6"/>
  <c r="Q15" i="6"/>
  <c r="Q5" i="6"/>
  <c r="Q54" i="6"/>
  <c r="Q44" i="6"/>
  <c r="Q46" i="6"/>
  <c r="Q41" i="6"/>
  <c r="Q38" i="6"/>
  <c r="Q14" i="6"/>
  <c r="Q4" i="6"/>
  <c r="Q36" i="6"/>
  <c r="Q12" i="6"/>
  <c r="Q6" i="6"/>
  <c r="Q18" i="6"/>
  <c r="Q16" i="6"/>
  <c r="Q25" i="6"/>
  <c r="Q30" i="6"/>
  <c r="Q34" i="6"/>
  <c r="Q7" i="6"/>
  <c r="Q23" i="6"/>
  <c r="Q21" i="6"/>
  <c r="Q28" i="6"/>
  <c r="Q49" i="6"/>
  <c r="Q33" i="6"/>
  <c r="Q51" i="6"/>
  <c r="F35" i="8"/>
  <c r="AQ35" i="8" s="1"/>
  <c r="F13" i="8"/>
  <c r="AQ13" i="8" s="1"/>
  <c r="AR8" i="8" l="1"/>
  <c r="AT17" i="1"/>
  <c r="AU17" i="1" s="1"/>
  <c r="AN17" i="2"/>
  <c r="AO17" i="2" s="1"/>
  <c r="AR41" i="8"/>
  <c r="AN50" i="2"/>
  <c r="AO50" i="2" s="1"/>
  <c r="AT50" i="1"/>
  <c r="AU50" i="1" s="1"/>
  <c r="AR16" i="8"/>
  <c r="AT25" i="1"/>
  <c r="AU25" i="1" s="1"/>
  <c r="AN25" i="2"/>
  <c r="AO25" i="2" s="1"/>
  <c r="AR21" i="8"/>
  <c r="AT30" i="1"/>
  <c r="AU30" i="1" s="1"/>
  <c r="AN30" i="2"/>
  <c r="AO30" i="2" s="1"/>
  <c r="AR15" i="8"/>
  <c r="AT24" i="1"/>
  <c r="AU24" i="1" s="1"/>
  <c r="AN24" i="2"/>
  <c r="AO24" i="2" s="1"/>
  <c r="AR9" i="8"/>
  <c r="AT18" i="1"/>
  <c r="AU18" i="1" s="1"/>
  <c r="AN18" i="2"/>
  <c r="AO18" i="2" s="1"/>
  <c r="AR18" i="12"/>
  <c r="BX27" i="1"/>
  <c r="BY27" i="1" s="1"/>
  <c r="BR27" i="2"/>
  <c r="BS27" i="2" s="1"/>
  <c r="AR42" i="12"/>
  <c r="BX51" i="1"/>
  <c r="BY51" i="1" s="1"/>
  <c r="BR51" i="2"/>
  <c r="BS51" i="2" s="1"/>
  <c r="AR34" i="12"/>
  <c r="BX43" i="1"/>
  <c r="BY43" i="1" s="1"/>
  <c r="BR43" i="2"/>
  <c r="BS43" i="2" s="1"/>
  <c r="AR56" i="12"/>
  <c r="BX65" i="1"/>
  <c r="BY65" i="1" s="1"/>
  <c r="BR65" i="2"/>
  <c r="BS65" i="2" s="1"/>
  <c r="AR12" i="12"/>
  <c r="BX21" i="1"/>
  <c r="BY21" i="1" s="1"/>
  <c r="BR21" i="2"/>
  <c r="BS21" i="2" s="1"/>
  <c r="AR11" i="8"/>
  <c r="AT20" i="1"/>
  <c r="AU20" i="1" s="1"/>
  <c r="AN20" i="2"/>
  <c r="AO20" i="2" s="1"/>
  <c r="AR44" i="8"/>
  <c r="AT53" i="1"/>
  <c r="AU53" i="1" s="1"/>
  <c r="AN53" i="2"/>
  <c r="AO53" i="2" s="1"/>
  <c r="AR31" i="8"/>
  <c r="AT40" i="1"/>
  <c r="AU40" i="1" s="1"/>
  <c r="AN40" i="2"/>
  <c r="AO40" i="2" s="1"/>
  <c r="AR43" i="8"/>
  <c r="AN52" i="2"/>
  <c r="AO52" i="2" s="1"/>
  <c r="AT52" i="1"/>
  <c r="AU52" i="1" s="1"/>
  <c r="AR49" i="8"/>
  <c r="AN58" i="2"/>
  <c r="AO58" i="2" s="1"/>
  <c r="AT58" i="1"/>
  <c r="AU58" i="1" s="1"/>
  <c r="AR17" i="8"/>
  <c r="AT26" i="1"/>
  <c r="AU26" i="1" s="1"/>
  <c r="AN26" i="2"/>
  <c r="AO26" i="2" s="1"/>
  <c r="AR37" i="8"/>
  <c r="AN46" i="2"/>
  <c r="AO46" i="2" s="1"/>
  <c r="AT46" i="1"/>
  <c r="AU46" i="1" s="1"/>
  <c r="AR11" i="12"/>
  <c r="BR20" i="2"/>
  <c r="BS20" i="2" s="1"/>
  <c r="BX20" i="1"/>
  <c r="BY20" i="1" s="1"/>
  <c r="AR29" i="12"/>
  <c r="BR38" i="2"/>
  <c r="BS38" i="2" s="1"/>
  <c r="BX38" i="1"/>
  <c r="BY38" i="1" s="1"/>
  <c r="AR15" i="12"/>
  <c r="BX24" i="1"/>
  <c r="BY24" i="1" s="1"/>
  <c r="BR24" i="2"/>
  <c r="BS24" i="2" s="1"/>
  <c r="AR6" i="8"/>
  <c r="AT15" i="1"/>
  <c r="AU15" i="1" s="1"/>
  <c r="AN15" i="2"/>
  <c r="AO15" i="2" s="1"/>
  <c r="AR7" i="8"/>
  <c r="AT16" i="1"/>
  <c r="AU16" i="1" s="1"/>
  <c r="AN16" i="2"/>
  <c r="AO16" i="2" s="1"/>
  <c r="AR31" i="12"/>
  <c r="BX40" i="1"/>
  <c r="BY40" i="1" s="1"/>
  <c r="BR40" i="2"/>
  <c r="BS40" i="2" s="1"/>
  <c r="AR32" i="12"/>
  <c r="BX41" i="1"/>
  <c r="BY41" i="1" s="1"/>
  <c r="BR41" i="2"/>
  <c r="BS41" i="2" s="1"/>
  <c r="AR25" i="12"/>
  <c r="BR34" i="2"/>
  <c r="BS34" i="2" s="1"/>
  <c r="BX34" i="1"/>
  <c r="BY34" i="1" s="1"/>
  <c r="AR17" i="12"/>
  <c r="BX26" i="1"/>
  <c r="BY26" i="1" s="1"/>
  <c r="BR26" i="2"/>
  <c r="BS26" i="2" s="1"/>
  <c r="AR40" i="12"/>
  <c r="BR49" i="2"/>
  <c r="BS49" i="2" s="1"/>
  <c r="BX49" i="1"/>
  <c r="BY49" i="1" s="1"/>
  <c r="AR51" i="12"/>
  <c r="BR60" i="2"/>
  <c r="BS60" i="2" s="1"/>
  <c r="BX60" i="1"/>
  <c r="BY60" i="1" s="1"/>
  <c r="AR53" i="12"/>
  <c r="BR62" i="2"/>
  <c r="BS62" i="2" s="1"/>
  <c r="BX62" i="1"/>
  <c r="BY62" i="1" s="1"/>
  <c r="AR39" i="12"/>
  <c r="BR48" i="2"/>
  <c r="BS48" i="2" s="1"/>
  <c r="BX48" i="1"/>
  <c r="BY48" i="1" s="1"/>
  <c r="AR57" i="12"/>
  <c r="BR66" i="2"/>
  <c r="BS66" i="2" s="1"/>
  <c r="BX66" i="1"/>
  <c r="BY66" i="1" s="1"/>
  <c r="AR45" i="8"/>
  <c r="AN54" i="2"/>
  <c r="AO54" i="2" s="1"/>
  <c r="AT54" i="1"/>
  <c r="AU54" i="1" s="1"/>
  <c r="AR27" i="8"/>
  <c r="AN36" i="2"/>
  <c r="AO36" i="2" s="1"/>
  <c r="AT36" i="1"/>
  <c r="AU36" i="1" s="1"/>
  <c r="AR18" i="8"/>
  <c r="AT27" i="1"/>
  <c r="AU27" i="1" s="1"/>
  <c r="AN27" i="2"/>
  <c r="AO27" i="2" s="1"/>
  <c r="AR29" i="8"/>
  <c r="AT38" i="1"/>
  <c r="AU38" i="1" s="1"/>
  <c r="AN38" i="2"/>
  <c r="AO38" i="2" s="1"/>
  <c r="AR54" i="8"/>
  <c r="AT63" i="1"/>
  <c r="AU63" i="1" s="1"/>
  <c r="AN63" i="2"/>
  <c r="AO63" i="2" s="1"/>
  <c r="AR28" i="8"/>
  <c r="AT37" i="1"/>
  <c r="AU37" i="1" s="1"/>
  <c r="AN37" i="2"/>
  <c r="AO37" i="2" s="1"/>
  <c r="AR39" i="8"/>
  <c r="AN48" i="2"/>
  <c r="AO48" i="2" s="1"/>
  <c r="AT48" i="1"/>
  <c r="AU48" i="1" s="1"/>
  <c r="AR24" i="8"/>
  <c r="AT33" i="1"/>
  <c r="AU33" i="1" s="1"/>
  <c r="AN33" i="2"/>
  <c r="AO33" i="2" s="1"/>
  <c r="AR56" i="8"/>
  <c r="AN65" i="2"/>
  <c r="AO65" i="2" s="1"/>
  <c r="AT65" i="1"/>
  <c r="AU65" i="1" s="1"/>
  <c r="AR13" i="12"/>
  <c r="BR22" i="2"/>
  <c r="BS22" i="2" s="1"/>
  <c r="BX22" i="1"/>
  <c r="BY22" i="1" s="1"/>
  <c r="AR52" i="12"/>
  <c r="BR61" i="2"/>
  <c r="BS61" i="2" s="1"/>
  <c r="BX61" i="1"/>
  <c r="BY61" i="1" s="1"/>
  <c r="AR33" i="12"/>
  <c r="BR42" i="2"/>
  <c r="BS42" i="2" s="1"/>
  <c r="BX42" i="1"/>
  <c r="BY42" i="1" s="1"/>
  <c r="AR22" i="12"/>
  <c r="BX31" i="1"/>
  <c r="BY31" i="1" s="1"/>
  <c r="BR31" i="2"/>
  <c r="BS31" i="2" s="1"/>
  <c r="AR55" i="12"/>
  <c r="BR64" i="2"/>
  <c r="BS64" i="2" s="1"/>
  <c r="BX64" i="1"/>
  <c r="BY64" i="1" s="1"/>
  <c r="AR38" i="12"/>
  <c r="BX47" i="1"/>
  <c r="BY47" i="1" s="1"/>
  <c r="BR47" i="2"/>
  <c r="BS47" i="2" s="1"/>
  <c r="AR35" i="12"/>
  <c r="BR44" i="2"/>
  <c r="BS44" i="2" s="1"/>
  <c r="BX44" i="1"/>
  <c r="BY44" i="1" s="1"/>
  <c r="AR5" i="12"/>
  <c r="BX14" i="1"/>
  <c r="BY14" i="1" s="1"/>
  <c r="BR14" i="2"/>
  <c r="BS14" i="2" s="1"/>
  <c r="AR6" i="12"/>
  <c r="BX15" i="1"/>
  <c r="BY15" i="1" s="1"/>
  <c r="BR15" i="2"/>
  <c r="BS15" i="2" s="1"/>
  <c r="AR49" i="12"/>
  <c r="BR58" i="2"/>
  <c r="BS58" i="2" s="1"/>
  <c r="BX58" i="1"/>
  <c r="BY58" i="1" s="1"/>
  <c r="AQ48" i="8"/>
  <c r="AR39" i="7"/>
  <c r="AK48" i="2"/>
  <c r="AL48" i="2" s="1"/>
  <c r="AQ48" i="1"/>
  <c r="AR48" i="1" s="1"/>
  <c r="AR14" i="7"/>
  <c r="AK23" i="2"/>
  <c r="AL23" i="2" s="1"/>
  <c r="AQ23" i="1"/>
  <c r="AR23" i="1" s="1"/>
  <c r="AR36" i="7"/>
  <c r="AK45" i="2"/>
  <c r="AL45" i="2" s="1"/>
  <c r="AQ45" i="1"/>
  <c r="AR45" i="1" s="1"/>
  <c r="AR49" i="7"/>
  <c r="AK58" i="2"/>
  <c r="AL58" i="2" s="1"/>
  <c r="AQ58" i="1"/>
  <c r="AR58" i="1" s="1"/>
  <c r="AR16" i="7"/>
  <c r="AK25" i="2"/>
  <c r="AL25" i="2" s="1"/>
  <c r="AQ25" i="1"/>
  <c r="AR25" i="1" s="1"/>
  <c r="AR35" i="8"/>
  <c r="AN44" i="2"/>
  <c r="AO44" i="2" s="1"/>
  <c r="AT44" i="1"/>
  <c r="AU44" i="1" s="1"/>
  <c r="AR15" i="6"/>
  <c r="Y24" i="2"/>
  <c r="AE24" i="1"/>
  <c r="AR44" i="6"/>
  <c r="AE53" i="1"/>
  <c r="Y53" i="2"/>
  <c r="F69" i="6"/>
  <c r="F60" i="6"/>
  <c r="AQ4" i="6"/>
  <c r="AR16" i="6"/>
  <c r="Y25" i="2"/>
  <c r="AE25" i="1"/>
  <c r="AR49" i="6"/>
  <c r="Y58" i="2"/>
  <c r="AE58" i="1"/>
  <c r="AR23" i="6"/>
  <c r="Y32" i="2"/>
  <c r="AE32" i="1"/>
  <c r="AR40" i="6"/>
  <c r="AE49" i="1"/>
  <c r="Y49" i="2"/>
  <c r="AR53" i="6"/>
  <c r="Y62" i="2"/>
  <c r="AE62" i="1"/>
  <c r="AR52" i="6"/>
  <c r="Y61" i="2"/>
  <c r="AE61" i="1"/>
  <c r="AR21" i="6"/>
  <c r="Y30" i="2"/>
  <c r="AE30" i="1"/>
  <c r="AR32" i="6"/>
  <c r="Y41" i="2"/>
  <c r="AE41" i="1"/>
  <c r="AR47" i="6"/>
  <c r="AE56" i="1"/>
  <c r="Y56" i="2"/>
  <c r="AR31" i="6"/>
  <c r="Y40" i="2"/>
  <c r="AE40" i="1"/>
  <c r="AH60" i="10"/>
  <c r="AH69" i="10"/>
  <c r="AR5" i="8"/>
  <c r="AT14" i="1"/>
  <c r="AU14" i="1" s="1"/>
  <c r="AN14" i="2"/>
  <c r="AO14" i="2" s="1"/>
  <c r="V69" i="8"/>
  <c r="V60" i="8"/>
  <c r="AH69" i="11"/>
  <c r="AH60" i="11"/>
  <c r="AQ30" i="12"/>
  <c r="AR27" i="7"/>
  <c r="AK36" i="2"/>
  <c r="AL36" i="2" s="1"/>
  <c r="AQ36" i="1"/>
  <c r="AR36" i="1" s="1"/>
  <c r="F60" i="7"/>
  <c r="F69" i="7"/>
  <c r="AQ4" i="7"/>
  <c r="AR23" i="7"/>
  <c r="AK32" i="2"/>
  <c r="AL32" i="2" s="1"/>
  <c r="AQ32" i="1"/>
  <c r="AR32" i="1" s="1"/>
  <c r="AR45" i="7"/>
  <c r="AQ54" i="1"/>
  <c r="AR54" i="1" s="1"/>
  <c r="AK54" i="2"/>
  <c r="AL54" i="2" s="1"/>
  <c r="AR50" i="7"/>
  <c r="AK59" i="2"/>
  <c r="AL59" i="2" s="1"/>
  <c r="AQ59" i="1"/>
  <c r="AR59" i="1" s="1"/>
  <c r="AR26" i="7"/>
  <c r="AK35" i="2"/>
  <c r="AL35" i="2" s="1"/>
  <c r="AQ35" i="1"/>
  <c r="AR35" i="1" s="1"/>
  <c r="AR12" i="7"/>
  <c r="AK21" i="2"/>
  <c r="AL21" i="2" s="1"/>
  <c r="AQ21" i="1"/>
  <c r="AR21" i="1" s="1"/>
  <c r="AR47" i="7"/>
  <c r="AQ56" i="1"/>
  <c r="AR56" i="1" s="1"/>
  <c r="AK56" i="2"/>
  <c r="AL56" i="2" s="1"/>
  <c r="AR24" i="7"/>
  <c r="AK33" i="2"/>
  <c r="AL33" i="2" s="1"/>
  <c r="AQ33" i="1"/>
  <c r="AR33" i="1" s="1"/>
  <c r="AR15" i="7"/>
  <c r="AK24" i="2"/>
  <c r="AL24" i="2" s="1"/>
  <c r="AQ24" i="1"/>
  <c r="AR24" i="1" s="1"/>
  <c r="AR35" i="7"/>
  <c r="AQ44" i="1"/>
  <c r="AR44" i="1" s="1"/>
  <c r="AK44" i="2"/>
  <c r="AL44" i="2" s="1"/>
  <c r="AR57" i="7"/>
  <c r="AK66" i="2"/>
  <c r="AL66" i="2" s="1"/>
  <c r="AQ66" i="1"/>
  <c r="AR66" i="1" s="1"/>
  <c r="AR43" i="7"/>
  <c r="AK52" i="2"/>
  <c r="AL52" i="2" s="1"/>
  <c r="AQ52" i="1"/>
  <c r="AR52" i="1" s="1"/>
  <c r="AR9" i="7"/>
  <c r="AK18" i="2"/>
  <c r="AL18" i="2" s="1"/>
  <c r="AQ18" i="1"/>
  <c r="AR18" i="1" s="1"/>
  <c r="AQ9" i="9"/>
  <c r="AQ55" i="9"/>
  <c r="AQ53" i="9"/>
  <c r="AQ45" i="9"/>
  <c r="AQ27" i="9"/>
  <c r="AQ22" i="9"/>
  <c r="AQ42" i="9"/>
  <c r="AQ17" i="9"/>
  <c r="AQ56" i="9"/>
  <c r="AQ51" i="9"/>
  <c r="AQ50" i="9"/>
  <c r="AQ48" i="9"/>
  <c r="AQ20" i="9"/>
  <c r="AH60" i="6"/>
  <c r="AH69" i="6"/>
  <c r="AQ19" i="12"/>
  <c r="AQ20" i="8"/>
  <c r="AQ43" i="12"/>
  <c r="AQ48" i="12"/>
  <c r="AC69" i="7"/>
  <c r="AC60" i="7"/>
  <c r="AK3" i="2"/>
  <c r="AQ3" i="1"/>
  <c r="AQ30" i="8"/>
  <c r="AQ38" i="10"/>
  <c r="AQ37" i="10"/>
  <c r="AQ10" i="10"/>
  <c r="AQ14" i="10"/>
  <c r="AQ15" i="10"/>
  <c r="AQ36" i="10"/>
  <c r="AQ45" i="10"/>
  <c r="AQ27" i="10"/>
  <c r="AQ12" i="10"/>
  <c r="AQ52" i="10"/>
  <c r="AQ13" i="10"/>
  <c r="AQ47" i="10"/>
  <c r="AQ42" i="10"/>
  <c r="AQ27" i="12"/>
  <c r="BL17" i="11"/>
  <c r="BL60" i="11" s="1"/>
  <c r="BK60" i="11"/>
  <c r="AQ52" i="8"/>
  <c r="M60" i="9"/>
  <c r="M69" i="9"/>
  <c r="AQ19" i="8"/>
  <c r="AQ55" i="8"/>
  <c r="AQ40" i="8"/>
  <c r="AC69" i="8"/>
  <c r="AC60" i="8"/>
  <c r="AN3" i="2"/>
  <c r="AT3" i="1"/>
  <c r="AQ56" i="11"/>
  <c r="AQ24" i="11"/>
  <c r="AQ47" i="11"/>
  <c r="AQ30" i="11"/>
  <c r="AQ5" i="11"/>
  <c r="AQ57" i="11"/>
  <c r="AQ53" i="11"/>
  <c r="AQ22" i="11"/>
  <c r="AQ8" i="11"/>
  <c r="AQ28" i="11"/>
  <c r="AQ36" i="11"/>
  <c r="AQ21" i="11"/>
  <c r="AQ31" i="11"/>
  <c r="AQ49" i="11"/>
  <c r="AQ44" i="12"/>
  <c r="Q60" i="12"/>
  <c r="AR55" i="6"/>
  <c r="Y64" i="2"/>
  <c r="AE64" i="1"/>
  <c r="AR14" i="6"/>
  <c r="Y23" i="2"/>
  <c r="AE23" i="1"/>
  <c r="AR37" i="6"/>
  <c r="Y46" i="2"/>
  <c r="AE46" i="1"/>
  <c r="AR57" i="6"/>
  <c r="Y66" i="2"/>
  <c r="AE66" i="1"/>
  <c r="AR13" i="6"/>
  <c r="Y22" i="2"/>
  <c r="AE22" i="1"/>
  <c r="AR9" i="12"/>
  <c r="BR18" i="2"/>
  <c r="BS18" i="2" s="1"/>
  <c r="BX18" i="1"/>
  <c r="BY18" i="1" s="1"/>
  <c r="BL17" i="12"/>
  <c r="BL60" i="12" s="1"/>
  <c r="BK60" i="12"/>
  <c r="AR7" i="12"/>
  <c r="BR16" i="2"/>
  <c r="BS16" i="2" s="1"/>
  <c r="BX16" i="1"/>
  <c r="BY16" i="1" s="1"/>
  <c r="AR23" i="8"/>
  <c r="AT32" i="1"/>
  <c r="AU32" i="1" s="1"/>
  <c r="AN32" i="2"/>
  <c r="AO32" i="2" s="1"/>
  <c r="AR51" i="7"/>
  <c r="AK60" i="2"/>
  <c r="AL60" i="2" s="1"/>
  <c r="AQ60" i="1"/>
  <c r="AR60" i="1" s="1"/>
  <c r="AR40" i="7"/>
  <c r="AK49" i="2"/>
  <c r="AL49" i="2" s="1"/>
  <c r="AQ49" i="1"/>
  <c r="AR49" i="1" s="1"/>
  <c r="AR8" i="7"/>
  <c r="AK17" i="2"/>
  <c r="AL17" i="2" s="1"/>
  <c r="AQ17" i="1"/>
  <c r="AR17" i="1" s="1"/>
  <c r="AR30" i="7"/>
  <c r="AK39" i="2"/>
  <c r="AL39" i="2" s="1"/>
  <c r="AQ39" i="1"/>
  <c r="AR39" i="1" s="1"/>
  <c r="AR7" i="7"/>
  <c r="AK16" i="2"/>
  <c r="AL16" i="2" s="1"/>
  <c r="AQ16" i="1"/>
  <c r="AR16" i="1" s="1"/>
  <c r="AR5" i="7"/>
  <c r="AK14" i="2"/>
  <c r="AL14" i="2" s="1"/>
  <c r="AQ14" i="1"/>
  <c r="AR14" i="1" s="1"/>
  <c r="AR42" i="7"/>
  <c r="AQ51" i="1"/>
  <c r="AR51" i="1" s="1"/>
  <c r="AK51" i="2"/>
  <c r="AL51" i="2" s="1"/>
  <c r="AR48" i="7"/>
  <c r="AK57" i="2"/>
  <c r="AL57" i="2" s="1"/>
  <c r="AQ57" i="1"/>
  <c r="AR57" i="1" s="1"/>
  <c r="AR55" i="7"/>
  <c r="AK64" i="2"/>
  <c r="AL64" i="2" s="1"/>
  <c r="AQ64" i="1"/>
  <c r="AR64" i="1" s="1"/>
  <c r="AR29" i="7"/>
  <c r="AK38" i="2"/>
  <c r="AL38" i="2" s="1"/>
  <c r="AQ38" i="1"/>
  <c r="AR38" i="1" s="1"/>
  <c r="AR18" i="7"/>
  <c r="AK27" i="2"/>
  <c r="AL27" i="2" s="1"/>
  <c r="AQ27" i="1"/>
  <c r="AR27" i="1" s="1"/>
  <c r="AR46" i="7"/>
  <c r="AQ55" i="1"/>
  <c r="AR55" i="1" s="1"/>
  <c r="AK55" i="2"/>
  <c r="AL55" i="2" s="1"/>
  <c r="AR34" i="7"/>
  <c r="AQ43" i="1"/>
  <c r="AR43" i="1" s="1"/>
  <c r="AK43" i="2"/>
  <c r="AL43" i="2" s="1"/>
  <c r="AR13" i="7"/>
  <c r="AK22" i="2"/>
  <c r="AL22" i="2" s="1"/>
  <c r="AQ22" i="1"/>
  <c r="AR22" i="1" s="1"/>
  <c r="M69" i="12"/>
  <c r="M60" i="12"/>
  <c r="BU44" i="12"/>
  <c r="BU60" i="12" s="1"/>
  <c r="BT60" i="12"/>
  <c r="AQ37" i="9"/>
  <c r="AQ44" i="9"/>
  <c r="AR49" i="9"/>
  <c r="AQ58" i="2"/>
  <c r="AR58" i="2" s="1"/>
  <c r="AW58" i="1"/>
  <c r="AX58" i="1" s="1"/>
  <c r="AQ36" i="9"/>
  <c r="AR46" i="9"/>
  <c r="AQ55" i="2"/>
  <c r="AR55" i="2" s="1"/>
  <c r="AW55" i="1"/>
  <c r="AX55" i="1" s="1"/>
  <c r="AQ40" i="9"/>
  <c r="AQ7" i="9"/>
  <c r="AR8" i="9"/>
  <c r="AQ17" i="2"/>
  <c r="AR17" i="2" s="1"/>
  <c r="AW17" i="1"/>
  <c r="AX17" i="1" s="1"/>
  <c r="AQ57" i="9"/>
  <c r="AR31" i="9"/>
  <c r="AQ40" i="2"/>
  <c r="AR40" i="2" s="1"/>
  <c r="AW40" i="1"/>
  <c r="AX40" i="1" s="1"/>
  <c r="AR47" i="9"/>
  <c r="AW56" i="1"/>
  <c r="AX56" i="1" s="1"/>
  <c r="AQ56" i="2"/>
  <c r="AR56" i="2" s="1"/>
  <c r="AQ52" i="9"/>
  <c r="AR14" i="9"/>
  <c r="AQ23" i="2"/>
  <c r="AR23" i="2" s="1"/>
  <c r="AW23" i="1"/>
  <c r="AX23" i="1" s="1"/>
  <c r="AQ38" i="9"/>
  <c r="AQ36" i="8"/>
  <c r="AQ28" i="12"/>
  <c r="AQ33" i="8"/>
  <c r="V69" i="11"/>
  <c r="V60" i="11"/>
  <c r="AQ36" i="12"/>
  <c r="V69" i="9"/>
  <c r="V60" i="9"/>
  <c r="BU44" i="10"/>
  <c r="BU60" i="10" s="1"/>
  <c r="BT60" i="10"/>
  <c r="AQ42" i="8"/>
  <c r="V69" i="10"/>
  <c r="V60" i="10"/>
  <c r="AQ43" i="10"/>
  <c r="AQ34" i="10"/>
  <c r="AQ28" i="10"/>
  <c r="AQ21" i="10"/>
  <c r="AQ33" i="10"/>
  <c r="F69" i="10"/>
  <c r="F60" i="10"/>
  <c r="AQ4" i="10"/>
  <c r="AQ31" i="10"/>
  <c r="AQ55" i="10"/>
  <c r="AQ26" i="10"/>
  <c r="AQ11" i="10"/>
  <c r="AQ8" i="10"/>
  <c r="AQ50" i="10"/>
  <c r="AQ18" i="10"/>
  <c r="AQ14" i="12"/>
  <c r="AQ51" i="8"/>
  <c r="M60" i="11"/>
  <c r="M69" i="11"/>
  <c r="AQ24" i="12"/>
  <c r="BU44" i="11"/>
  <c r="BU60" i="11" s="1"/>
  <c r="BT60" i="11"/>
  <c r="BL17" i="9"/>
  <c r="BL60" i="9" s="1"/>
  <c r="BK60" i="9"/>
  <c r="V69" i="12"/>
  <c r="V60" i="12"/>
  <c r="AQ46" i="8"/>
  <c r="AQ10" i="12"/>
  <c r="AQ57" i="8"/>
  <c r="AQ34" i="11"/>
  <c r="F69" i="11"/>
  <c r="AQ4" i="11"/>
  <c r="F60" i="11"/>
  <c r="AQ46" i="11"/>
  <c r="AQ37" i="11"/>
  <c r="AQ29" i="11"/>
  <c r="AQ52" i="11"/>
  <c r="AQ14" i="11"/>
  <c r="AQ38" i="11"/>
  <c r="AQ7" i="11"/>
  <c r="AQ23" i="11"/>
  <c r="AQ27" i="11"/>
  <c r="AQ13" i="11"/>
  <c r="AQ40" i="11"/>
  <c r="AQ26" i="11"/>
  <c r="AH60" i="7"/>
  <c r="AH69" i="7"/>
  <c r="AR43" i="6"/>
  <c r="AE52" i="1"/>
  <c r="Y52" i="2"/>
  <c r="AR5" i="6"/>
  <c r="Y14" i="2"/>
  <c r="AE14" i="1"/>
  <c r="AR28" i="6"/>
  <c r="Y37" i="2"/>
  <c r="AE37" i="1"/>
  <c r="AR33" i="6"/>
  <c r="Y42" i="2"/>
  <c r="AE42" i="1"/>
  <c r="AR25" i="6"/>
  <c r="Y34" i="2"/>
  <c r="AE34" i="1"/>
  <c r="AR12" i="8"/>
  <c r="AT21" i="1"/>
  <c r="AU21" i="1" s="1"/>
  <c r="AN21" i="2"/>
  <c r="AO21" i="2" s="1"/>
  <c r="AR26" i="6"/>
  <c r="Y35" i="2"/>
  <c r="AE35" i="1"/>
  <c r="AR19" i="6"/>
  <c r="Y28" i="2"/>
  <c r="AE28" i="1"/>
  <c r="AR35" i="6"/>
  <c r="AE44" i="1"/>
  <c r="Y44" i="2"/>
  <c r="AR12" i="6"/>
  <c r="Y21" i="2"/>
  <c r="AE21" i="1"/>
  <c r="AR56" i="6"/>
  <c r="Y65" i="2"/>
  <c r="AE65" i="1"/>
  <c r="AR22" i="6"/>
  <c r="Y31" i="2"/>
  <c r="AE31" i="1"/>
  <c r="AR7" i="6"/>
  <c r="Y16" i="2"/>
  <c r="AE16" i="1"/>
  <c r="AR56" i="7"/>
  <c r="AK65" i="2"/>
  <c r="AL65" i="2" s="1"/>
  <c r="AQ65" i="1"/>
  <c r="AR65" i="1" s="1"/>
  <c r="AR28" i="7"/>
  <c r="AK37" i="2"/>
  <c r="AL37" i="2" s="1"/>
  <c r="AQ37" i="1"/>
  <c r="AR37" i="1" s="1"/>
  <c r="AR31" i="7"/>
  <c r="AK40" i="2"/>
  <c r="AL40" i="2" s="1"/>
  <c r="AQ40" i="1"/>
  <c r="AR40" i="1" s="1"/>
  <c r="CD17" i="7"/>
  <c r="CD60" i="7" s="1"/>
  <c r="CC60" i="7"/>
  <c r="AC69" i="9"/>
  <c r="AC60" i="9"/>
  <c r="AW3" i="1"/>
  <c r="AQ3" i="2"/>
  <c r="AR33" i="9"/>
  <c r="AQ42" i="2"/>
  <c r="AR42" i="2" s="1"/>
  <c r="AW42" i="1"/>
  <c r="AX42" i="1" s="1"/>
  <c r="AR12" i="9"/>
  <c r="AQ21" i="2"/>
  <c r="AR21" i="2" s="1"/>
  <c r="AW21" i="1"/>
  <c r="AX21" i="1" s="1"/>
  <c r="AQ6" i="9"/>
  <c r="AR19" i="9"/>
  <c r="AQ28" i="2"/>
  <c r="AR28" i="2" s="1"/>
  <c r="AW28" i="1"/>
  <c r="AX28" i="1" s="1"/>
  <c r="AR15" i="9"/>
  <c r="AQ24" i="2"/>
  <c r="AR24" i="2" s="1"/>
  <c r="AW24" i="1"/>
  <c r="AX24" i="1" s="1"/>
  <c r="AR25" i="9"/>
  <c r="AQ34" i="2"/>
  <c r="AR34" i="2" s="1"/>
  <c r="AW34" i="1"/>
  <c r="AX34" i="1" s="1"/>
  <c r="AR54" i="9"/>
  <c r="AQ63" i="2"/>
  <c r="AR63" i="2" s="1"/>
  <c r="AW63" i="1"/>
  <c r="AX63" i="1" s="1"/>
  <c r="AQ28" i="9"/>
  <c r="AQ29" i="9"/>
  <c r="AR41" i="9"/>
  <c r="AQ50" i="2"/>
  <c r="AR50" i="2" s="1"/>
  <c r="AW50" i="1"/>
  <c r="AX50" i="1" s="1"/>
  <c r="AR5" i="9"/>
  <c r="AQ14" i="2"/>
  <c r="AR14" i="2" s="1"/>
  <c r="AW14" i="1"/>
  <c r="AX14" i="1" s="1"/>
  <c r="AQ35" i="9"/>
  <c r="AR30" i="9"/>
  <c r="AQ39" i="2"/>
  <c r="AR39" i="2" s="1"/>
  <c r="AW39" i="1"/>
  <c r="AX39" i="1" s="1"/>
  <c r="AR26" i="9"/>
  <c r="AQ35" i="2"/>
  <c r="AR35" i="2" s="1"/>
  <c r="AW35" i="1"/>
  <c r="AX35" i="1" s="1"/>
  <c r="F69" i="8"/>
  <c r="F60" i="8"/>
  <c r="AQ4" i="8"/>
  <c r="AC69" i="10"/>
  <c r="AC60" i="10"/>
  <c r="AT3" i="2"/>
  <c r="AZ3" i="1"/>
  <c r="AQ20" i="12"/>
  <c r="AH60" i="8"/>
  <c r="AH69" i="8"/>
  <c r="AQ50" i="12"/>
  <c r="AH69" i="12"/>
  <c r="AH60" i="12"/>
  <c r="BU44" i="7"/>
  <c r="BU60" i="7" s="1"/>
  <c r="BT60" i="7"/>
  <c r="AQ22" i="8"/>
  <c r="M69" i="6"/>
  <c r="M60" i="6"/>
  <c r="AQ56" i="10"/>
  <c r="AQ29" i="10"/>
  <c r="AQ25" i="10"/>
  <c r="AQ54" i="10"/>
  <c r="AQ48" i="10"/>
  <c r="AQ22" i="10"/>
  <c r="AQ16" i="10"/>
  <c r="AQ6" i="10"/>
  <c r="AQ17" i="10"/>
  <c r="AQ51" i="10"/>
  <c r="AQ35" i="10"/>
  <c r="AQ5" i="10"/>
  <c r="AQ40" i="10"/>
  <c r="AQ9" i="10"/>
  <c r="AQ41" i="12"/>
  <c r="BL17" i="8"/>
  <c r="BL60" i="8" s="1"/>
  <c r="BK60" i="8"/>
  <c r="AQ45" i="12"/>
  <c r="AQ37" i="12"/>
  <c r="M69" i="7"/>
  <c r="M60" i="7"/>
  <c r="AH60" i="9"/>
  <c r="AH69" i="9"/>
  <c r="AQ14" i="8"/>
  <c r="AQ16" i="12"/>
  <c r="AQ34" i="8"/>
  <c r="AQ47" i="8"/>
  <c r="AQ20" i="11"/>
  <c r="AQ42" i="11"/>
  <c r="AQ43" i="11"/>
  <c r="AQ9" i="11"/>
  <c r="AQ48" i="11"/>
  <c r="AQ10" i="11"/>
  <c r="AQ19" i="11"/>
  <c r="AQ15" i="11"/>
  <c r="AQ17" i="11"/>
  <c r="AQ16" i="11"/>
  <c r="AQ35" i="11"/>
  <c r="AQ44" i="11"/>
  <c r="AQ45" i="11"/>
  <c r="AQ26" i="12"/>
  <c r="BL17" i="7"/>
  <c r="BL60" i="7" s="1"/>
  <c r="BK60" i="7"/>
  <c r="CD17" i="9"/>
  <c r="CD60" i="9" s="1"/>
  <c r="CC60" i="9"/>
  <c r="AR48" i="6"/>
  <c r="AE57" i="1"/>
  <c r="Y57" i="2"/>
  <c r="AR34" i="6"/>
  <c r="Y43" i="2"/>
  <c r="AE43" i="1"/>
  <c r="AR29" i="6"/>
  <c r="Y38" i="2"/>
  <c r="AE38" i="1"/>
  <c r="AR20" i="6"/>
  <c r="Y29" i="2"/>
  <c r="AE29" i="1"/>
  <c r="AR13" i="8"/>
  <c r="AT22" i="1"/>
  <c r="AU22" i="1" s="1"/>
  <c r="AN22" i="2"/>
  <c r="AO22" i="2" s="1"/>
  <c r="AR8" i="6"/>
  <c r="Y17" i="2"/>
  <c r="AE17" i="1"/>
  <c r="AR54" i="6"/>
  <c r="Y63" i="2"/>
  <c r="AE63" i="1"/>
  <c r="AR30" i="6"/>
  <c r="Y39" i="2"/>
  <c r="AE39" i="1"/>
  <c r="AR9" i="6"/>
  <c r="Y18" i="2"/>
  <c r="AE18" i="1"/>
  <c r="AR38" i="6"/>
  <c r="Y47" i="2"/>
  <c r="AE47" i="1"/>
  <c r="AR51" i="6"/>
  <c r="Y60" i="2"/>
  <c r="AE60" i="1"/>
  <c r="AR11" i="6"/>
  <c r="Y20" i="2"/>
  <c r="AE20" i="1"/>
  <c r="AR41" i="7"/>
  <c r="AQ50" i="1"/>
  <c r="AR50" i="1" s="1"/>
  <c r="AK50" i="2"/>
  <c r="AL50" i="2" s="1"/>
  <c r="AR21" i="7"/>
  <c r="AK30" i="2"/>
  <c r="AL30" i="2" s="1"/>
  <c r="AQ30" i="1"/>
  <c r="AR30" i="1" s="1"/>
  <c r="AR17" i="7"/>
  <c r="AK26" i="2"/>
  <c r="AL26" i="2" s="1"/>
  <c r="AQ26" i="1"/>
  <c r="AR26" i="1" s="1"/>
  <c r="AR53" i="7"/>
  <c r="AK62" i="2"/>
  <c r="AL62" i="2" s="1"/>
  <c r="AQ62" i="1"/>
  <c r="AR62" i="1" s="1"/>
  <c r="AR19" i="7"/>
  <c r="AK28" i="2"/>
  <c r="AL28" i="2" s="1"/>
  <c r="AQ28" i="1"/>
  <c r="AR28" i="1" s="1"/>
  <c r="Q60" i="6"/>
  <c r="AR24" i="6"/>
  <c r="Y33" i="2"/>
  <c r="AE33" i="1"/>
  <c r="AR18" i="6"/>
  <c r="Y27" i="2"/>
  <c r="AE27" i="1"/>
  <c r="AR39" i="6"/>
  <c r="AE48" i="1"/>
  <c r="Y48" i="2"/>
  <c r="AR10" i="6"/>
  <c r="Y19" i="2"/>
  <c r="AE19" i="1"/>
  <c r="AR6" i="6"/>
  <c r="Y15" i="2"/>
  <c r="AE15" i="1"/>
  <c r="AR42" i="6"/>
  <c r="Y51" i="2"/>
  <c r="AE51" i="1"/>
  <c r="AR46" i="6"/>
  <c r="Y55" i="2"/>
  <c r="AE55" i="1"/>
  <c r="AR36" i="6"/>
  <c r="AE45" i="1"/>
  <c r="Y45" i="2"/>
  <c r="AR41" i="6"/>
  <c r="Y50" i="2"/>
  <c r="AE50" i="1"/>
  <c r="AR17" i="6"/>
  <c r="Y26" i="2"/>
  <c r="AE26" i="1"/>
  <c r="AR27" i="6"/>
  <c r="Y36" i="2"/>
  <c r="AE36" i="1"/>
  <c r="AR50" i="6"/>
  <c r="Y59" i="2"/>
  <c r="AE59" i="1"/>
  <c r="AR45" i="6"/>
  <c r="Y54" i="2"/>
  <c r="AE54" i="1"/>
  <c r="AR21" i="12"/>
  <c r="BX30" i="1"/>
  <c r="BY30" i="1" s="1"/>
  <c r="BR30" i="2"/>
  <c r="BS30" i="2" s="1"/>
  <c r="AQ10" i="8"/>
  <c r="BU44" i="8"/>
  <c r="BU60" i="8" s="1"/>
  <c r="BT60" i="8"/>
  <c r="AC60" i="11"/>
  <c r="AC69" i="11"/>
  <c r="AW3" i="2"/>
  <c r="BC3" i="1"/>
  <c r="AQ8" i="12"/>
  <c r="CD17" i="12"/>
  <c r="CD60" i="12" s="1"/>
  <c r="CC60" i="12"/>
  <c r="AR54" i="7"/>
  <c r="AK63" i="2"/>
  <c r="AL63" i="2" s="1"/>
  <c r="AQ63" i="1"/>
  <c r="AR63" i="1" s="1"/>
  <c r="AR37" i="7"/>
  <c r="AK46" i="2"/>
  <c r="AL46" i="2" s="1"/>
  <c r="AQ46" i="1"/>
  <c r="AR46" i="1" s="1"/>
  <c r="AR20" i="7"/>
  <c r="AK29" i="2"/>
  <c r="AL29" i="2" s="1"/>
  <c r="AQ29" i="1"/>
  <c r="AR29" i="1" s="1"/>
  <c r="AR32" i="7"/>
  <c r="AK41" i="2"/>
  <c r="AL41" i="2" s="1"/>
  <c r="AQ41" i="1"/>
  <c r="AR41" i="1" s="1"/>
  <c r="AR22" i="7"/>
  <c r="AK31" i="2"/>
  <c r="AL31" i="2" s="1"/>
  <c r="AQ31" i="1"/>
  <c r="AR31" i="1" s="1"/>
  <c r="AR44" i="7"/>
  <c r="AK53" i="2"/>
  <c r="AL53" i="2" s="1"/>
  <c r="AQ53" i="1"/>
  <c r="AR53" i="1" s="1"/>
  <c r="AR6" i="7"/>
  <c r="AK15" i="2"/>
  <c r="AL15" i="2" s="1"/>
  <c r="AQ15" i="1"/>
  <c r="AR15" i="1" s="1"/>
  <c r="AR33" i="7"/>
  <c r="AK42" i="2"/>
  <c r="AL42" i="2" s="1"/>
  <c r="AQ42" i="1"/>
  <c r="AR42" i="1" s="1"/>
  <c r="AR52" i="7"/>
  <c r="AK61" i="2"/>
  <c r="AL61" i="2" s="1"/>
  <c r="AQ61" i="1"/>
  <c r="AR61" i="1" s="1"/>
  <c r="AR25" i="7"/>
  <c r="AK34" i="2"/>
  <c r="AL34" i="2" s="1"/>
  <c r="AQ34" i="1"/>
  <c r="AR34" i="1" s="1"/>
  <c r="AR38" i="7"/>
  <c r="AQ47" i="1"/>
  <c r="AR47" i="1" s="1"/>
  <c r="AK47" i="2"/>
  <c r="AL47" i="2" s="1"/>
  <c r="AR11" i="7"/>
  <c r="AK20" i="2"/>
  <c r="AL20" i="2" s="1"/>
  <c r="AQ20" i="1"/>
  <c r="AR20" i="1" s="1"/>
  <c r="AR10" i="7"/>
  <c r="AK19" i="2"/>
  <c r="AL19" i="2" s="1"/>
  <c r="AQ19" i="1"/>
  <c r="AR19" i="1" s="1"/>
  <c r="AC69" i="12"/>
  <c r="AC60" i="12"/>
  <c r="BR3" i="2"/>
  <c r="BX3" i="1"/>
  <c r="AQ34" i="9"/>
  <c r="AQ11" i="9"/>
  <c r="AQ32" i="9"/>
  <c r="AQ39" i="9"/>
  <c r="AQ10" i="9"/>
  <c r="AQ21" i="9"/>
  <c r="AQ43" i="9"/>
  <c r="F69" i="9"/>
  <c r="AQ4" i="9"/>
  <c r="F60" i="9"/>
  <c r="AQ23" i="9"/>
  <c r="AQ18" i="9"/>
  <c r="AQ16" i="9"/>
  <c r="AQ24" i="9"/>
  <c r="AQ13" i="9"/>
  <c r="AQ25" i="8"/>
  <c r="V69" i="6"/>
  <c r="V60" i="6"/>
  <c r="AQ26" i="8"/>
  <c r="AQ46" i="12"/>
  <c r="CD17" i="11"/>
  <c r="CD60" i="11" s="1"/>
  <c r="CC60" i="11"/>
  <c r="AQ38" i="8"/>
  <c r="AQ44" i="10"/>
  <c r="AQ24" i="10"/>
  <c r="AQ57" i="10"/>
  <c r="AQ39" i="10"/>
  <c r="AQ20" i="10"/>
  <c r="AQ49" i="10"/>
  <c r="AQ30" i="10"/>
  <c r="AQ53" i="10"/>
  <c r="AQ41" i="10"/>
  <c r="AQ23" i="10"/>
  <c r="AQ46" i="10"/>
  <c r="AQ7" i="10"/>
  <c r="AQ32" i="10"/>
  <c r="AQ19" i="10"/>
  <c r="AQ32" i="8"/>
  <c r="M60" i="8"/>
  <c r="M69" i="8"/>
  <c r="AC79" i="1"/>
  <c r="AB79" i="1"/>
  <c r="AQ54" i="12"/>
  <c r="AQ47" i="12"/>
  <c r="AC69" i="6"/>
  <c r="AC60" i="6"/>
  <c r="M60" i="10"/>
  <c r="M69" i="10"/>
  <c r="AQ23" i="12"/>
  <c r="AQ53" i="8"/>
  <c r="AQ50" i="8"/>
  <c r="AQ54" i="11"/>
  <c r="AQ6" i="11"/>
  <c r="AQ32" i="11"/>
  <c r="AQ25" i="11"/>
  <c r="AQ39" i="11"/>
  <c r="AQ50" i="11"/>
  <c r="AQ55" i="11"/>
  <c r="AQ12" i="11"/>
  <c r="AQ11" i="11"/>
  <c r="AQ18" i="11"/>
  <c r="AQ51" i="11"/>
  <c r="AQ41" i="11"/>
  <c r="AQ33" i="11"/>
  <c r="F69" i="12"/>
  <c r="F60" i="12"/>
  <c r="AQ4" i="12"/>
  <c r="Y77" i="3"/>
  <c r="Z77" i="3"/>
  <c r="CD17" i="8"/>
  <c r="CD60" i="8" s="1"/>
  <c r="CC60" i="8"/>
  <c r="V60" i="7"/>
  <c r="V69" i="7"/>
  <c r="AR41" i="11" l="1"/>
  <c r="AW50" i="2"/>
  <c r="AX50" i="2" s="1"/>
  <c r="BC50" i="1"/>
  <c r="BD50" i="1" s="1"/>
  <c r="AR25" i="11"/>
  <c r="AW34" i="2"/>
  <c r="AX34" i="2" s="1"/>
  <c r="BC34" i="1"/>
  <c r="BD34" i="1" s="1"/>
  <c r="AR7" i="10"/>
  <c r="AZ16" i="1"/>
  <c r="BA16" i="1" s="1"/>
  <c r="AT16" i="2"/>
  <c r="AU16" i="2" s="1"/>
  <c r="AR53" i="10"/>
  <c r="AT62" i="2"/>
  <c r="AU62" i="2" s="1"/>
  <c r="AZ62" i="1"/>
  <c r="BA62" i="1" s="1"/>
  <c r="AR39" i="10"/>
  <c r="AT48" i="2"/>
  <c r="AU48" i="2" s="1"/>
  <c r="AZ48" i="1"/>
  <c r="BA48" i="1" s="1"/>
  <c r="AR38" i="8"/>
  <c r="AN47" i="2"/>
  <c r="AO47" i="2" s="1"/>
  <c r="AT47" i="1"/>
  <c r="AU47" i="1" s="1"/>
  <c r="AR26" i="8"/>
  <c r="AT35" i="1"/>
  <c r="AU35" i="1" s="1"/>
  <c r="AN35" i="2"/>
  <c r="AO35" i="2" s="1"/>
  <c r="AR13" i="9"/>
  <c r="AQ22" i="2"/>
  <c r="AR22" i="2" s="1"/>
  <c r="AW22" i="1"/>
  <c r="AX22" i="1" s="1"/>
  <c r="AR23" i="9"/>
  <c r="AQ32" i="2"/>
  <c r="AR32" i="2" s="1"/>
  <c r="AW32" i="1"/>
  <c r="AX32" i="1" s="1"/>
  <c r="AR43" i="9"/>
  <c r="AW52" i="1"/>
  <c r="AX52" i="1" s="1"/>
  <c r="AQ52" i="2"/>
  <c r="AR52" i="2" s="1"/>
  <c r="AR32" i="9"/>
  <c r="AQ41" i="2"/>
  <c r="AR41" i="2" s="1"/>
  <c r="AW41" i="1"/>
  <c r="AX41" i="1" s="1"/>
  <c r="AR8" i="12"/>
  <c r="BX17" i="1"/>
  <c r="BY17" i="1" s="1"/>
  <c r="BR17" i="2"/>
  <c r="BS17" i="2" s="1"/>
  <c r="Z54" i="2"/>
  <c r="AA54" i="2"/>
  <c r="AF26" i="1"/>
  <c r="AG26" i="1"/>
  <c r="Z50" i="2"/>
  <c r="AA50" i="2"/>
  <c r="AG51" i="1"/>
  <c r="AF51" i="1"/>
  <c r="AA15" i="2"/>
  <c r="Z15" i="2"/>
  <c r="AG27" i="1"/>
  <c r="AF27" i="1"/>
  <c r="AA33" i="2"/>
  <c r="Z33" i="2"/>
  <c r="AG47" i="1"/>
  <c r="AF47" i="1"/>
  <c r="Z18" i="2"/>
  <c r="AA18" i="2"/>
  <c r="AG17" i="1"/>
  <c r="AF17" i="1"/>
  <c r="AG43" i="1"/>
  <c r="AF43" i="1"/>
  <c r="AG57" i="1"/>
  <c r="AF57" i="1"/>
  <c r="AR44" i="11"/>
  <c r="AW53" i="2"/>
  <c r="AX53" i="2" s="1"/>
  <c r="BC53" i="1"/>
  <c r="BD53" i="1" s="1"/>
  <c r="AR15" i="11"/>
  <c r="AW24" i="2"/>
  <c r="AX24" i="2" s="1"/>
  <c r="BC24" i="1"/>
  <c r="BD24" i="1" s="1"/>
  <c r="AR9" i="11"/>
  <c r="AW18" i="2"/>
  <c r="AX18" i="2" s="1"/>
  <c r="BC18" i="1"/>
  <c r="BD18" i="1" s="1"/>
  <c r="AR47" i="8"/>
  <c r="AT56" i="1"/>
  <c r="AU56" i="1" s="1"/>
  <c r="AN56" i="2"/>
  <c r="AO56" i="2" s="1"/>
  <c r="AR37" i="12"/>
  <c r="BR46" i="2"/>
  <c r="BS46" i="2" s="1"/>
  <c r="BX46" i="1"/>
  <c r="BY46" i="1" s="1"/>
  <c r="AR41" i="12"/>
  <c r="BX50" i="1"/>
  <c r="BY50" i="1" s="1"/>
  <c r="BR50" i="2"/>
  <c r="BS50" i="2" s="1"/>
  <c r="AR35" i="10"/>
  <c r="AT44" i="2"/>
  <c r="AU44" i="2" s="1"/>
  <c r="AZ44" i="1"/>
  <c r="BA44" i="1" s="1"/>
  <c r="AR16" i="10"/>
  <c r="AZ25" i="1"/>
  <c r="BA25" i="1" s="1"/>
  <c r="AT25" i="2"/>
  <c r="AU25" i="2" s="1"/>
  <c r="AR25" i="10"/>
  <c r="AZ34" i="1"/>
  <c r="BA34" i="1" s="1"/>
  <c r="AT34" i="2"/>
  <c r="AU34" i="2" s="1"/>
  <c r="AR6" i="9"/>
  <c r="AQ15" i="2"/>
  <c r="AR15" i="2" s="1"/>
  <c r="AW15" i="1"/>
  <c r="AX15" i="1" s="1"/>
  <c r="AG65" i="1"/>
  <c r="AF65" i="1"/>
  <c r="Z21" i="2"/>
  <c r="AA21" i="2"/>
  <c r="AG35" i="1"/>
  <c r="AF35" i="1"/>
  <c r="AG37" i="1"/>
  <c r="AF37" i="1"/>
  <c r="Z14" i="2"/>
  <c r="AA14" i="2"/>
  <c r="AR40" i="11"/>
  <c r="BC49" i="1"/>
  <c r="BD49" i="1" s="1"/>
  <c r="AW49" i="2"/>
  <c r="AX49" i="2" s="1"/>
  <c r="AR7" i="11"/>
  <c r="AW16" i="2"/>
  <c r="AX16" i="2" s="1"/>
  <c r="BC16" i="1"/>
  <c r="BD16" i="1" s="1"/>
  <c r="AR29" i="11"/>
  <c r="AW38" i="2"/>
  <c r="AX38" i="2" s="1"/>
  <c r="BC38" i="1"/>
  <c r="BD38" i="1" s="1"/>
  <c r="AQ69" i="11"/>
  <c r="AQ60" i="11"/>
  <c r="AR4" i="11"/>
  <c r="AW13" i="2"/>
  <c r="BC13" i="1"/>
  <c r="AR10" i="12"/>
  <c r="BX19" i="1"/>
  <c r="BY19" i="1" s="1"/>
  <c r="BR19" i="2"/>
  <c r="BS19" i="2" s="1"/>
  <c r="AR24" i="12"/>
  <c r="BX33" i="1"/>
  <c r="BY33" i="1" s="1"/>
  <c r="BR33" i="2"/>
  <c r="BS33" i="2" s="1"/>
  <c r="AR14" i="12"/>
  <c r="BX23" i="1"/>
  <c r="BY23" i="1" s="1"/>
  <c r="BR23" i="2"/>
  <c r="BS23" i="2" s="1"/>
  <c r="AR11" i="10"/>
  <c r="AZ20" i="1"/>
  <c r="BA20" i="1" s="1"/>
  <c r="AT20" i="2"/>
  <c r="AU20" i="2" s="1"/>
  <c r="AQ60" i="10"/>
  <c r="AQ69" i="10"/>
  <c r="AR4" i="10"/>
  <c r="AZ13" i="1"/>
  <c r="AT13" i="2"/>
  <c r="AR21" i="10"/>
  <c r="AT30" i="2"/>
  <c r="AU30" i="2" s="1"/>
  <c r="AZ30" i="1"/>
  <c r="BA30" i="1" s="1"/>
  <c r="AR36" i="8"/>
  <c r="AT45" i="1"/>
  <c r="AU45" i="1" s="1"/>
  <c r="AN45" i="2"/>
  <c r="AO45" i="2" s="1"/>
  <c r="AR57" i="9"/>
  <c r="AQ66" i="2"/>
  <c r="AR66" i="2" s="1"/>
  <c r="AW66" i="1"/>
  <c r="AX66" i="1" s="1"/>
  <c r="AR7" i="9"/>
  <c r="AQ16" i="2"/>
  <c r="AR16" i="2" s="1"/>
  <c r="AW16" i="1"/>
  <c r="AX16" i="1" s="1"/>
  <c r="AF22" i="1"/>
  <c r="AG22" i="1"/>
  <c r="AA66" i="2"/>
  <c r="Z66" i="2"/>
  <c r="AF64" i="1"/>
  <c r="AG64" i="1"/>
  <c r="AR44" i="12"/>
  <c r="BR53" i="2"/>
  <c r="BS53" i="2" s="1"/>
  <c r="BX53" i="1"/>
  <c r="BY53" i="1" s="1"/>
  <c r="AR36" i="11"/>
  <c r="AW45" i="2"/>
  <c r="AX45" i="2" s="1"/>
  <c r="BC45" i="1"/>
  <c r="BD45" i="1" s="1"/>
  <c r="AR53" i="11"/>
  <c r="AW62" i="2"/>
  <c r="AX62" i="2" s="1"/>
  <c r="BC62" i="1"/>
  <c r="BD62" i="1" s="1"/>
  <c r="AR47" i="11"/>
  <c r="BC56" i="1"/>
  <c r="BD56" i="1" s="1"/>
  <c r="AW56" i="2"/>
  <c r="AX56" i="2" s="1"/>
  <c r="AR55" i="8"/>
  <c r="AN64" i="2"/>
  <c r="AO64" i="2" s="1"/>
  <c r="AT64" i="1"/>
  <c r="AU64" i="1" s="1"/>
  <c r="AR52" i="8"/>
  <c r="AN61" i="2"/>
  <c r="AO61" i="2" s="1"/>
  <c r="AT61" i="1"/>
  <c r="AU61" i="1" s="1"/>
  <c r="AR42" i="10"/>
  <c r="AT51" i="2"/>
  <c r="AU51" i="2" s="1"/>
  <c r="AZ51" i="1"/>
  <c r="BA51" i="1" s="1"/>
  <c r="AR12" i="10"/>
  <c r="AZ21" i="1"/>
  <c r="BA21" i="1" s="1"/>
  <c r="AT21" i="2"/>
  <c r="AU21" i="2" s="1"/>
  <c r="AR15" i="10"/>
  <c r="AT24" i="2"/>
  <c r="AU24" i="2" s="1"/>
  <c r="AZ24" i="1"/>
  <c r="BA24" i="1" s="1"/>
  <c r="AR38" i="10"/>
  <c r="AT47" i="2"/>
  <c r="AU47" i="2" s="1"/>
  <c r="AZ47" i="1"/>
  <c r="BA47" i="1" s="1"/>
  <c r="AR20" i="8"/>
  <c r="AT29" i="1"/>
  <c r="AU29" i="1" s="1"/>
  <c r="AN29" i="2"/>
  <c r="AO29" i="2" s="1"/>
  <c r="AR20" i="9"/>
  <c r="AQ29" i="2"/>
  <c r="AR29" i="2" s="1"/>
  <c r="AW29" i="1"/>
  <c r="AX29" i="1" s="1"/>
  <c r="AR56" i="9"/>
  <c r="AQ65" i="2"/>
  <c r="AR65" i="2" s="1"/>
  <c r="AW65" i="1"/>
  <c r="AX65" i="1" s="1"/>
  <c r="AR27" i="9"/>
  <c r="AQ36" i="2"/>
  <c r="AR36" i="2" s="1"/>
  <c r="AW36" i="1"/>
  <c r="AX36" i="1" s="1"/>
  <c r="AR9" i="9"/>
  <c r="AQ18" i="2"/>
  <c r="AR18" i="2" s="1"/>
  <c r="AW18" i="1"/>
  <c r="AX18" i="1" s="1"/>
  <c r="AA56" i="2"/>
  <c r="Z56" i="2"/>
  <c r="Z41" i="2"/>
  <c r="AA41" i="2"/>
  <c r="AF62" i="1"/>
  <c r="AG62" i="1"/>
  <c r="AG49" i="1"/>
  <c r="AF49" i="1"/>
  <c r="AG25" i="1"/>
  <c r="AF25" i="1"/>
  <c r="AR54" i="12"/>
  <c r="BX63" i="1"/>
  <c r="BY63" i="1" s="1"/>
  <c r="BR63" i="2"/>
  <c r="BS63" i="2" s="1"/>
  <c r="AR32" i="11"/>
  <c r="AW41" i="2"/>
  <c r="AX41" i="2" s="1"/>
  <c r="BC41" i="1"/>
  <c r="BD41" i="1" s="1"/>
  <c r="AF36" i="1"/>
  <c r="AG36" i="1"/>
  <c r="AA26" i="2"/>
  <c r="Z26" i="2"/>
  <c r="AG55" i="1"/>
  <c r="AF55" i="1"/>
  <c r="AA51" i="2"/>
  <c r="Z51" i="2"/>
  <c r="AA48" i="2"/>
  <c r="Z48" i="2"/>
  <c r="AA27" i="2"/>
  <c r="Z27" i="2"/>
  <c r="AF60" i="1"/>
  <c r="AG60" i="1"/>
  <c r="AA47" i="2"/>
  <c r="Z47" i="2"/>
  <c r="AG63" i="1"/>
  <c r="AF63" i="1"/>
  <c r="Z17" i="2"/>
  <c r="AA17" i="2"/>
  <c r="AF38" i="1"/>
  <c r="AG38" i="1"/>
  <c r="Z43" i="2"/>
  <c r="AA43" i="2"/>
  <c r="AR35" i="11"/>
  <c r="BC44" i="1"/>
  <c r="BD44" i="1" s="1"/>
  <c r="AW44" i="2"/>
  <c r="AX44" i="2" s="1"/>
  <c r="AR19" i="11"/>
  <c r="AW28" i="2"/>
  <c r="AX28" i="2" s="1"/>
  <c r="BC28" i="1"/>
  <c r="BD28" i="1" s="1"/>
  <c r="AR43" i="11"/>
  <c r="BC52" i="1"/>
  <c r="BD52" i="1" s="1"/>
  <c r="AW52" i="2"/>
  <c r="AX52" i="2" s="1"/>
  <c r="AR34" i="8"/>
  <c r="AN43" i="2"/>
  <c r="AO43" i="2" s="1"/>
  <c r="AT43" i="1"/>
  <c r="AU43" i="1" s="1"/>
  <c r="AR45" i="12"/>
  <c r="BX54" i="1"/>
  <c r="BY54" i="1" s="1"/>
  <c r="BR54" i="2"/>
  <c r="BS54" i="2" s="1"/>
  <c r="AR9" i="10"/>
  <c r="AZ18" i="1"/>
  <c r="BA18" i="1" s="1"/>
  <c r="AT18" i="2"/>
  <c r="AU18" i="2" s="1"/>
  <c r="AR51" i="10"/>
  <c r="AT60" i="2"/>
  <c r="AU60" i="2" s="1"/>
  <c r="AZ60" i="1"/>
  <c r="BA60" i="1" s="1"/>
  <c r="AR22" i="10"/>
  <c r="AZ31" i="1"/>
  <c r="BA31" i="1" s="1"/>
  <c r="AT31" i="2"/>
  <c r="AU31" i="2" s="1"/>
  <c r="AR29" i="10"/>
  <c r="AZ38" i="1"/>
  <c r="BA38" i="1" s="1"/>
  <c r="AT38" i="2"/>
  <c r="AU38" i="2" s="1"/>
  <c r="AR22" i="8"/>
  <c r="AT31" i="1"/>
  <c r="AU31" i="1" s="1"/>
  <c r="AN31" i="2"/>
  <c r="AO31" i="2" s="1"/>
  <c r="AR20" i="12"/>
  <c r="BX29" i="1"/>
  <c r="BY29" i="1" s="1"/>
  <c r="BR29" i="2"/>
  <c r="BS29" i="2" s="1"/>
  <c r="AG31" i="1"/>
  <c r="AF31" i="1"/>
  <c r="AA65" i="2"/>
  <c r="Z65" i="2"/>
  <c r="AF28" i="1"/>
  <c r="AG28" i="1"/>
  <c r="Z35" i="2"/>
  <c r="AA35" i="2"/>
  <c r="AF42" i="1"/>
  <c r="AG42" i="1"/>
  <c r="AA37" i="2"/>
  <c r="Z37" i="2"/>
  <c r="AR13" i="11"/>
  <c r="AW22" i="2"/>
  <c r="AX22" i="2" s="1"/>
  <c r="BC22" i="1"/>
  <c r="BD22" i="1" s="1"/>
  <c r="AR38" i="11"/>
  <c r="AW47" i="2"/>
  <c r="AX47" i="2" s="1"/>
  <c r="BC47" i="1"/>
  <c r="BD47" i="1" s="1"/>
  <c r="AR37" i="11"/>
  <c r="AW46" i="2"/>
  <c r="AX46" i="2" s="1"/>
  <c r="BC46" i="1"/>
  <c r="BD46" i="1" s="1"/>
  <c r="AR46" i="8"/>
  <c r="AN55" i="2"/>
  <c r="AO55" i="2" s="1"/>
  <c r="AT55" i="1"/>
  <c r="AU55" i="1" s="1"/>
  <c r="AR18" i="10"/>
  <c r="AZ27" i="1"/>
  <c r="BA27" i="1" s="1"/>
  <c r="AT27" i="2"/>
  <c r="AU27" i="2" s="1"/>
  <c r="AR26" i="10"/>
  <c r="AZ35" i="1"/>
  <c r="BA35" i="1" s="1"/>
  <c r="AT35" i="2"/>
  <c r="AU35" i="2" s="1"/>
  <c r="AR28" i="10"/>
  <c r="AZ37" i="1"/>
  <c r="BA37" i="1" s="1"/>
  <c r="AT37" i="2"/>
  <c r="AU37" i="2" s="1"/>
  <c r="AR38" i="9"/>
  <c r="AQ47" i="2"/>
  <c r="AR47" i="2" s="1"/>
  <c r="AW47" i="1"/>
  <c r="AX47" i="1" s="1"/>
  <c r="AR52" i="9"/>
  <c r="AQ61" i="2"/>
  <c r="AR61" i="2" s="1"/>
  <c r="AW61" i="1"/>
  <c r="AX61" i="1" s="1"/>
  <c r="AR40" i="9"/>
  <c r="AQ49" i="2"/>
  <c r="AR49" i="2" s="1"/>
  <c r="AW49" i="1"/>
  <c r="AX49" i="1" s="1"/>
  <c r="AR36" i="9"/>
  <c r="AW45" i="1"/>
  <c r="AX45" i="1" s="1"/>
  <c r="AQ45" i="2"/>
  <c r="AR45" i="2" s="1"/>
  <c r="AR44" i="9"/>
  <c r="AQ53" i="2"/>
  <c r="AR53" i="2" s="1"/>
  <c r="AW53" i="1"/>
  <c r="AX53" i="1" s="1"/>
  <c r="AA22" i="2"/>
  <c r="Z22" i="2"/>
  <c r="AG23" i="1"/>
  <c r="AF23" i="1"/>
  <c r="AA64" i="2"/>
  <c r="Z64" i="2"/>
  <c r="AR49" i="11"/>
  <c r="AW58" i="2"/>
  <c r="AX58" i="2" s="1"/>
  <c r="BC58" i="1"/>
  <c r="BD58" i="1" s="1"/>
  <c r="AR28" i="11"/>
  <c r="AW37" i="2"/>
  <c r="AX37" i="2" s="1"/>
  <c r="BC37" i="1"/>
  <c r="BD37" i="1" s="1"/>
  <c r="AR57" i="11"/>
  <c r="AW66" i="2"/>
  <c r="AX66" i="2" s="1"/>
  <c r="BC66" i="1"/>
  <c r="BD66" i="1" s="1"/>
  <c r="AR24" i="11"/>
  <c r="AW33" i="2"/>
  <c r="AX33" i="2" s="1"/>
  <c r="BC33" i="1"/>
  <c r="BD33" i="1" s="1"/>
  <c r="AR19" i="8"/>
  <c r="AT28" i="1"/>
  <c r="AU28" i="1" s="1"/>
  <c r="AN28" i="2"/>
  <c r="AO28" i="2" s="1"/>
  <c r="AR47" i="10"/>
  <c r="AT56" i="2"/>
  <c r="AU56" i="2" s="1"/>
  <c r="AZ56" i="1"/>
  <c r="BA56" i="1" s="1"/>
  <c r="AR27" i="10"/>
  <c r="AZ36" i="1"/>
  <c r="BA36" i="1" s="1"/>
  <c r="AT36" i="2"/>
  <c r="AU36" i="2" s="1"/>
  <c r="AR14" i="10"/>
  <c r="AZ23" i="1"/>
  <c r="BA23" i="1" s="1"/>
  <c r="AT23" i="2"/>
  <c r="AU23" i="2" s="1"/>
  <c r="AR30" i="8"/>
  <c r="AT39" i="1"/>
  <c r="AU39" i="1" s="1"/>
  <c r="AN39" i="2"/>
  <c r="AO39" i="2" s="1"/>
  <c r="AR19" i="12"/>
  <c r="BR28" i="2"/>
  <c r="BS28" i="2" s="1"/>
  <c r="BX28" i="1"/>
  <c r="BY28" i="1" s="1"/>
  <c r="AR48" i="9"/>
  <c r="AQ57" i="2"/>
  <c r="AR57" i="2" s="1"/>
  <c r="AW57" i="1"/>
  <c r="AX57" i="1" s="1"/>
  <c r="AR17" i="9"/>
  <c r="AQ26" i="2"/>
  <c r="AR26" i="2" s="1"/>
  <c r="AW26" i="1"/>
  <c r="AX26" i="1" s="1"/>
  <c r="AR45" i="9"/>
  <c r="AQ54" i="2"/>
  <c r="AR54" i="2" s="1"/>
  <c r="AW54" i="1"/>
  <c r="AX54" i="1" s="1"/>
  <c r="AQ69" i="7"/>
  <c r="AR4" i="7"/>
  <c r="AQ60" i="7"/>
  <c r="AK13" i="2"/>
  <c r="AQ13" i="1"/>
  <c r="AF40" i="1"/>
  <c r="AG40" i="1"/>
  <c r="AF56" i="1"/>
  <c r="AG56" i="1"/>
  <c r="AG61" i="1"/>
  <c r="AF61" i="1"/>
  <c r="AA62" i="2"/>
  <c r="Z62" i="2"/>
  <c r="AF58" i="1"/>
  <c r="AG58" i="1"/>
  <c r="Z25" i="2"/>
  <c r="AA25" i="2"/>
  <c r="AF24" i="1"/>
  <c r="AG24" i="1"/>
  <c r="AQ69" i="12"/>
  <c r="AQ60" i="12"/>
  <c r="AR4" i="12"/>
  <c r="BX13" i="1"/>
  <c r="BR13" i="2"/>
  <c r="AR12" i="11"/>
  <c r="AW21" i="2"/>
  <c r="AX21" i="2" s="1"/>
  <c r="BC21" i="1"/>
  <c r="BD21" i="1" s="1"/>
  <c r="AR50" i="8"/>
  <c r="AT59" i="1"/>
  <c r="AU59" i="1" s="1"/>
  <c r="AN59" i="2"/>
  <c r="AO59" i="2" s="1"/>
  <c r="AR51" i="11"/>
  <c r="AW60" i="2"/>
  <c r="AX60" i="2" s="1"/>
  <c r="BC60" i="1"/>
  <c r="BD60" i="1" s="1"/>
  <c r="AR55" i="11"/>
  <c r="AW64" i="2"/>
  <c r="AX64" i="2" s="1"/>
  <c r="BC64" i="1"/>
  <c r="BD64" i="1" s="1"/>
  <c r="AR53" i="8"/>
  <c r="AN62" i="2"/>
  <c r="AO62" i="2" s="1"/>
  <c r="AT62" i="1"/>
  <c r="AU62" i="1" s="1"/>
  <c r="AR32" i="8"/>
  <c r="AT41" i="1"/>
  <c r="AU41" i="1" s="1"/>
  <c r="AN41" i="2"/>
  <c r="AO41" i="2" s="1"/>
  <c r="AR30" i="10"/>
  <c r="AZ39" i="1"/>
  <c r="BA39" i="1" s="1"/>
  <c r="AT39" i="2"/>
  <c r="AU39" i="2" s="1"/>
  <c r="AR24" i="9"/>
  <c r="AQ33" i="2"/>
  <c r="AR33" i="2" s="1"/>
  <c r="AW33" i="1"/>
  <c r="AX33" i="1" s="1"/>
  <c r="AR21" i="9"/>
  <c r="AQ30" i="2"/>
  <c r="AR30" i="2" s="1"/>
  <c r="AW30" i="1"/>
  <c r="AX30" i="1" s="1"/>
  <c r="AR11" i="9"/>
  <c r="AQ20" i="2"/>
  <c r="AR20" i="2" s="1"/>
  <c r="AW20" i="1"/>
  <c r="AX20" i="1" s="1"/>
  <c r="AR18" i="11"/>
  <c r="AW27" i="2"/>
  <c r="AX27" i="2" s="1"/>
  <c r="BC27" i="1"/>
  <c r="BD27" i="1" s="1"/>
  <c r="AR50" i="11"/>
  <c r="AW59" i="2"/>
  <c r="AX59" i="2" s="1"/>
  <c r="BC59" i="1"/>
  <c r="BD59" i="1" s="1"/>
  <c r="AR6" i="11"/>
  <c r="AW15" i="2"/>
  <c r="AX15" i="2" s="1"/>
  <c r="BC15" i="1"/>
  <c r="BD15" i="1" s="1"/>
  <c r="AR23" i="12"/>
  <c r="BX32" i="1"/>
  <c r="BY32" i="1" s="1"/>
  <c r="BR32" i="2"/>
  <c r="BS32" i="2" s="1"/>
  <c r="AR19" i="10"/>
  <c r="AZ28" i="1"/>
  <c r="BA28" i="1" s="1"/>
  <c r="AT28" i="2"/>
  <c r="AU28" i="2" s="1"/>
  <c r="AR23" i="10"/>
  <c r="AT32" i="2"/>
  <c r="AU32" i="2" s="1"/>
  <c r="AZ32" i="1"/>
  <c r="BA32" i="1" s="1"/>
  <c r="AR49" i="10"/>
  <c r="AZ58" i="1"/>
  <c r="BA58" i="1" s="1"/>
  <c r="AT58" i="2"/>
  <c r="AU58" i="2" s="1"/>
  <c r="AR24" i="10"/>
  <c r="AZ33" i="1"/>
  <c r="BA33" i="1" s="1"/>
  <c r="AT33" i="2"/>
  <c r="AU33" i="2" s="1"/>
  <c r="AR16" i="9"/>
  <c r="AQ25" i="2"/>
  <c r="AR25" i="2" s="1"/>
  <c r="AW25" i="1"/>
  <c r="AX25" i="1" s="1"/>
  <c r="AR4" i="9"/>
  <c r="AQ60" i="9"/>
  <c r="AQ69" i="9"/>
  <c r="AQ13" i="2"/>
  <c r="AW13" i="1"/>
  <c r="AR10" i="9"/>
  <c r="AQ19" i="2"/>
  <c r="AR19" i="2" s="1"/>
  <c r="AW19" i="1"/>
  <c r="AX19" i="1" s="1"/>
  <c r="AR34" i="9"/>
  <c r="AQ43" i="2"/>
  <c r="AR43" i="2" s="1"/>
  <c r="AW43" i="1"/>
  <c r="AX43" i="1" s="1"/>
  <c r="AG59" i="1"/>
  <c r="AF59" i="1"/>
  <c r="Z36" i="2"/>
  <c r="AA36" i="2"/>
  <c r="AA45" i="2"/>
  <c r="Z45" i="2"/>
  <c r="AA55" i="2"/>
  <c r="Z55" i="2"/>
  <c r="AG19" i="1"/>
  <c r="AF19" i="1"/>
  <c r="AF48" i="1"/>
  <c r="AG48" i="1"/>
  <c r="AF20" i="1"/>
  <c r="AG20" i="1"/>
  <c r="Z60" i="2"/>
  <c r="AA60" i="2"/>
  <c r="AG39" i="1"/>
  <c r="AF39" i="1"/>
  <c r="AA63" i="2"/>
  <c r="Z63" i="2"/>
  <c r="AG29" i="1"/>
  <c r="AF29" i="1"/>
  <c r="AA38" i="2"/>
  <c r="Z38" i="2"/>
  <c r="AR26" i="12"/>
  <c r="BX35" i="1"/>
  <c r="BY35" i="1" s="1"/>
  <c r="BR35" i="2"/>
  <c r="BS35" i="2" s="1"/>
  <c r="AR16" i="11"/>
  <c r="AW25" i="2"/>
  <c r="AX25" i="2" s="1"/>
  <c r="BC25" i="1"/>
  <c r="BD25" i="1" s="1"/>
  <c r="AR10" i="11"/>
  <c r="AW19" i="2"/>
  <c r="AX19" i="2" s="1"/>
  <c r="BC19" i="1"/>
  <c r="BD19" i="1" s="1"/>
  <c r="AR42" i="11"/>
  <c r="AW51" i="2"/>
  <c r="AX51" i="2" s="1"/>
  <c r="BC51" i="1"/>
  <c r="BD51" i="1" s="1"/>
  <c r="AR16" i="12"/>
  <c r="BX25" i="1"/>
  <c r="BY25" i="1" s="1"/>
  <c r="BR25" i="2"/>
  <c r="BS25" i="2" s="1"/>
  <c r="AR40" i="10"/>
  <c r="AT49" i="2"/>
  <c r="AU49" i="2" s="1"/>
  <c r="AZ49" i="1"/>
  <c r="BA49" i="1" s="1"/>
  <c r="AR17" i="10"/>
  <c r="AT26" i="2"/>
  <c r="AU26" i="2" s="1"/>
  <c r="AZ26" i="1"/>
  <c r="BA26" i="1" s="1"/>
  <c r="AR48" i="10"/>
  <c r="AT57" i="2"/>
  <c r="AU57" i="2" s="1"/>
  <c r="AZ57" i="1"/>
  <c r="BA57" i="1" s="1"/>
  <c r="AR56" i="10"/>
  <c r="AZ65" i="1"/>
  <c r="BA65" i="1" s="1"/>
  <c r="AT65" i="2"/>
  <c r="AU65" i="2" s="1"/>
  <c r="AR50" i="12"/>
  <c r="BX59" i="1"/>
  <c r="BY59" i="1" s="1"/>
  <c r="BR59" i="2"/>
  <c r="BS59" i="2" s="1"/>
  <c r="AQ60" i="8"/>
  <c r="AR4" i="8"/>
  <c r="AQ69" i="8"/>
  <c r="AT13" i="1"/>
  <c r="AN13" i="2"/>
  <c r="AR29" i="9"/>
  <c r="AQ38" i="2"/>
  <c r="AR38" i="2" s="1"/>
  <c r="AW38" i="1"/>
  <c r="AX38" i="1" s="1"/>
  <c r="AF16" i="1"/>
  <c r="AG16" i="1"/>
  <c r="AA31" i="2"/>
  <c r="Z31" i="2"/>
  <c r="AA44" i="2"/>
  <c r="Z44" i="2"/>
  <c r="AA28" i="2"/>
  <c r="Z28" i="2"/>
  <c r="AF34" i="1"/>
  <c r="AG34" i="1"/>
  <c r="AA42" i="2"/>
  <c r="Z42" i="2"/>
  <c r="AA52" i="2"/>
  <c r="Z52" i="2"/>
  <c r="AR27" i="11"/>
  <c r="AW36" i="2"/>
  <c r="AX36" i="2" s="1"/>
  <c r="BC36" i="1"/>
  <c r="BD36" i="1" s="1"/>
  <c r="AR14" i="11"/>
  <c r="AW23" i="2"/>
  <c r="AX23" i="2" s="1"/>
  <c r="BC23" i="1"/>
  <c r="BD23" i="1" s="1"/>
  <c r="AR46" i="11"/>
  <c r="AW55" i="2"/>
  <c r="AX55" i="2" s="1"/>
  <c r="BC55" i="1"/>
  <c r="BD55" i="1" s="1"/>
  <c r="AR34" i="11"/>
  <c r="AW43" i="2"/>
  <c r="AX43" i="2" s="1"/>
  <c r="BC43" i="1"/>
  <c r="BD43" i="1" s="1"/>
  <c r="AR50" i="10"/>
  <c r="AT59" i="2"/>
  <c r="AU59" i="2" s="1"/>
  <c r="AZ59" i="1"/>
  <c r="BA59" i="1" s="1"/>
  <c r="AR55" i="10"/>
  <c r="AT64" i="2"/>
  <c r="AU64" i="2" s="1"/>
  <c r="AZ64" i="1"/>
  <c r="BA64" i="1" s="1"/>
  <c r="AR34" i="10"/>
  <c r="AT43" i="2"/>
  <c r="AU43" i="2" s="1"/>
  <c r="AZ43" i="1"/>
  <c r="BA43" i="1" s="1"/>
  <c r="AR42" i="8"/>
  <c r="AN51" i="2"/>
  <c r="AO51" i="2" s="1"/>
  <c r="AT51" i="1"/>
  <c r="AU51" i="1" s="1"/>
  <c r="AR33" i="8"/>
  <c r="AT42" i="1"/>
  <c r="AU42" i="1" s="1"/>
  <c r="AN42" i="2"/>
  <c r="AO42" i="2" s="1"/>
  <c r="AR37" i="9"/>
  <c r="AQ46" i="2"/>
  <c r="AR46" i="2" s="1"/>
  <c r="AW46" i="1"/>
  <c r="AX46" i="1" s="1"/>
  <c r="AF46" i="1"/>
  <c r="AG46" i="1"/>
  <c r="Z23" i="2"/>
  <c r="AA23" i="2"/>
  <c r="AR31" i="11"/>
  <c r="AW40" i="2"/>
  <c r="AX40" i="2" s="1"/>
  <c r="BC40" i="1"/>
  <c r="BD40" i="1" s="1"/>
  <c r="AR8" i="11"/>
  <c r="AW17" i="2"/>
  <c r="AX17" i="2" s="1"/>
  <c r="BC17" i="1"/>
  <c r="BD17" i="1" s="1"/>
  <c r="AR5" i="11"/>
  <c r="AW14" i="2"/>
  <c r="AX14" i="2" s="1"/>
  <c r="BC14" i="1"/>
  <c r="BD14" i="1" s="1"/>
  <c r="AR56" i="11"/>
  <c r="AW65" i="2"/>
  <c r="AX65" i="2" s="1"/>
  <c r="BC65" i="1"/>
  <c r="BD65" i="1" s="1"/>
  <c r="AR13" i="10"/>
  <c r="AZ22" i="1"/>
  <c r="BA22" i="1" s="1"/>
  <c r="AT22" i="2"/>
  <c r="AU22" i="2" s="1"/>
  <c r="AR45" i="10"/>
  <c r="AT54" i="2"/>
  <c r="AU54" i="2" s="1"/>
  <c r="AZ54" i="1"/>
  <c r="BA54" i="1" s="1"/>
  <c r="AR10" i="10"/>
  <c r="AZ19" i="1"/>
  <c r="BA19" i="1" s="1"/>
  <c r="AT19" i="2"/>
  <c r="AU19" i="2" s="1"/>
  <c r="AR48" i="12"/>
  <c r="BX57" i="1"/>
  <c r="BY57" i="1" s="1"/>
  <c r="BR57" i="2"/>
  <c r="BS57" i="2" s="1"/>
  <c r="AR50" i="9"/>
  <c r="AQ59" i="2"/>
  <c r="AR59" i="2" s="1"/>
  <c r="AW59" i="1"/>
  <c r="AX59" i="1" s="1"/>
  <c r="AR42" i="9"/>
  <c r="AW51" i="1"/>
  <c r="AX51" i="1" s="1"/>
  <c r="AQ51" i="2"/>
  <c r="AR51" i="2" s="1"/>
  <c r="AR53" i="9"/>
  <c r="AQ62" i="2"/>
  <c r="AR62" i="2" s="1"/>
  <c r="AW62" i="1"/>
  <c r="AX62" i="1" s="1"/>
  <c r="AA40" i="2"/>
  <c r="Z40" i="2"/>
  <c r="AF30" i="1"/>
  <c r="AG30" i="1"/>
  <c r="AA61" i="2"/>
  <c r="Z61" i="2"/>
  <c r="AF32" i="1"/>
  <c r="AG32" i="1"/>
  <c r="AA58" i="2"/>
  <c r="Z58" i="2"/>
  <c r="AA53" i="2"/>
  <c r="Z53" i="2"/>
  <c r="Z24" i="2"/>
  <c r="AA24" i="2"/>
  <c r="AR48" i="8"/>
  <c r="AT57" i="1"/>
  <c r="AU57" i="1" s="1"/>
  <c r="AN57" i="2"/>
  <c r="AO57" i="2" s="1"/>
  <c r="AR46" i="10"/>
  <c r="AT55" i="2"/>
  <c r="AU55" i="2" s="1"/>
  <c r="AZ55" i="1"/>
  <c r="BA55" i="1" s="1"/>
  <c r="AR57" i="10"/>
  <c r="AT66" i="2"/>
  <c r="AU66" i="2" s="1"/>
  <c r="AZ66" i="1"/>
  <c r="BA66" i="1" s="1"/>
  <c r="AR33" i="11"/>
  <c r="AW42" i="2"/>
  <c r="AX42" i="2" s="1"/>
  <c r="BC42" i="1"/>
  <c r="BD42" i="1" s="1"/>
  <c r="AR11" i="11"/>
  <c r="AW20" i="2"/>
  <c r="AX20" i="2" s="1"/>
  <c r="BC20" i="1"/>
  <c r="BD20" i="1" s="1"/>
  <c r="AR39" i="11"/>
  <c r="BC48" i="1"/>
  <c r="BD48" i="1" s="1"/>
  <c r="AW48" i="2"/>
  <c r="AX48" i="2" s="1"/>
  <c r="AR54" i="11"/>
  <c r="AW63" i="2"/>
  <c r="AX63" i="2" s="1"/>
  <c r="BC63" i="1"/>
  <c r="BD63" i="1" s="1"/>
  <c r="AR47" i="12"/>
  <c r="BR56" i="2"/>
  <c r="BS56" i="2" s="1"/>
  <c r="BX56" i="1"/>
  <c r="BY56" i="1" s="1"/>
  <c r="AR32" i="10"/>
  <c r="AZ41" i="1"/>
  <c r="BA41" i="1" s="1"/>
  <c r="AT41" i="2"/>
  <c r="AU41" i="2" s="1"/>
  <c r="AR41" i="10"/>
  <c r="AZ50" i="1"/>
  <c r="BA50" i="1" s="1"/>
  <c r="AT50" i="2"/>
  <c r="AU50" i="2" s="1"/>
  <c r="AR20" i="10"/>
  <c r="AZ29" i="1"/>
  <c r="BA29" i="1" s="1"/>
  <c r="AT29" i="2"/>
  <c r="AU29" i="2" s="1"/>
  <c r="AR44" i="10"/>
  <c r="AZ53" i="1"/>
  <c r="BA53" i="1" s="1"/>
  <c r="AT53" i="2"/>
  <c r="AU53" i="2" s="1"/>
  <c r="AR46" i="12"/>
  <c r="BX55" i="1"/>
  <c r="BY55" i="1" s="1"/>
  <c r="BR55" i="2"/>
  <c r="BS55" i="2" s="1"/>
  <c r="AR25" i="8"/>
  <c r="AT34" i="1"/>
  <c r="AU34" i="1" s="1"/>
  <c r="AN34" i="2"/>
  <c r="AO34" i="2" s="1"/>
  <c r="AR18" i="9"/>
  <c r="AQ27" i="2"/>
  <c r="AR27" i="2" s="1"/>
  <c r="AW27" i="1"/>
  <c r="AX27" i="1" s="1"/>
  <c r="AR39" i="9"/>
  <c r="AW48" i="1"/>
  <c r="AX48" i="1" s="1"/>
  <c r="AQ48" i="2"/>
  <c r="AR48" i="2" s="1"/>
  <c r="AR10" i="8"/>
  <c r="AT19" i="1"/>
  <c r="AU19" i="1" s="1"/>
  <c r="AN19" i="2"/>
  <c r="AO19" i="2" s="1"/>
  <c r="AF54" i="1"/>
  <c r="AG54" i="1"/>
  <c r="AA59" i="2"/>
  <c r="Z59" i="2"/>
  <c r="AF50" i="1"/>
  <c r="AG50" i="1"/>
  <c r="AG45" i="1"/>
  <c r="AF45" i="1"/>
  <c r="AG15" i="1"/>
  <c r="AF15" i="1"/>
  <c r="AA19" i="2"/>
  <c r="Z19" i="2"/>
  <c r="AG33" i="1"/>
  <c r="AF33" i="1"/>
  <c r="Z20" i="2"/>
  <c r="AA20" i="2"/>
  <c r="AF18" i="1"/>
  <c r="AG18" i="1"/>
  <c r="Z39" i="2"/>
  <c r="AA39" i="2"/>
  <c r="Z29" i="2"/>
  <c r="AA29" i="2"/>
  <c r="AA57" i="2"/>
  <c r="Z57" i="2"/>
  <c r="AR45" i="11"/>
  <c r="AW54" i="2"/>
  <c r="AX54" i="2" s="1"/>
  <c r="BC54" i="1"/>
  <c r="BD54" i="1" s="1"/>
  <c r="AR17" i="11"/>
  <c r="AW26" i="2"/>
  <c r="AX26" i="2" s="1"/>
  <c r="BC26" i="1"/>
  <c r="BD26" i="1" s="1"/>
  <c r="AR48" i="11"/>
  <c r="AW57" i="2"/>
  <c r="AX57" i="2" s="1"/>
  <c r="BC57" i="1"/>
  <c r="BD57" i="1" s="1"/>
  <c r="AR20" i="11"/>
  <c r="AW29" i="2"/>
  <c r="AX29" i="2" s="1"/>
  <c r="BC29" i="1"/>
  <c r="BD29" i="1" s="1"/>
  <c r="AR14" i="8"/>
  <c r="AT23" i="1"/>
  <c r="AU23" i="1" s="1"/>
  <c r="AN23" i="2"/>
  <c r="AO23" i="2" s="1"/>
  <c r="AR5" i="10"/>
  <c r="AT14" i="2"/>
  <c r="AU14" i="2" s="1"/>
  <c r="AZ14" i="1"/>
  <c r="BA14" i="1" s="1"/>
  <c r="AR6" i="10"/>
  <c r="AZ15" i="1"/>
  <c r="BA15" i="1" s="1"/>
  <c r="AT15" i="2"/>
  <c r="AU15" i="2" s="1"/>
  <c r="AR54" i="10"/>
  <c r="AT63" i="2"/>
  <c r="AU63" i="2" s="1"/>
  <c r="AZ63" i="1"/>
  <c r="BA63" i="1" s="1"/>
  <c r="AR35" i="9"/>
  <c r="AW44" i="1"/>
  <c r="AX44" i="1" s="1"/>
  <c r="AQ44" i="2"/>
  <c r="AR44" i="2" s="1"/>
  <c r="AR28" i="9"/>
  <c r="AQ37" i="2"/>
  <c r="AR37" i="2" s="1"/>
  <c r="AW37" i="1"/>
  <c r="AX37" i="1" s="1"/>
  <c r="Z16" i="2"/>
  <c r="AA16" i="2"/>
  <c r="AG21" i="1"/>
  <c r="AF21" i="1"/>
  <c r="AF44" i="1"/>
  <c r="AG44" i="1"/>
  <c r="Z34" i="2"/>
  <c r="AA34" i="2"/>
  <c r="AF14" i="1"/>
  <c r="AG14" i="1"/>
  <c r="AF52" i="1"/>
  <c r="AG52" i="1"/>
  <c r="AR26" i="11"/>
  <c r="AW35" i="2"/>
  <c r="AX35" i="2" s="1"/>
  <c r="BC35" i="1"/>
  <c r="BD35" i="1" s="1"/>
  <c r="AR23" i="11"/>
  <c r="AW32" i="2"/>
  <c r="AX32" i="2" s="1"/>
  <c r="BC32" i="1"/>
  <c r="BD32" i="1" s="1"/>
  <c r="AR52" i="11"/>
  <c r="AW61" i="2"/>
  <c r="AX61" i="2" s="1"/>
  <c r="BC61" i="1"/>
  <c r="BD61" i="1" s="1"/>
  <c r="AR57" i="8"/>
  <c r="AT66" i="1"/>
  <c r="AU66" i="1" s="1"/>
  <c r="AN66" i="2"/>
  <c r="AO66" i="2" s="1"/>
  <c r="AR51" i="8"/>
  <c r="AT60" i="1"/>
  <c r="AU60" i="1" s="1"/>
  <c r="AN60" i="2"/>
  <c r="AO60" i="2" s="1"/>
  <c r="AR8" i="10"/>
  <c r="AZ17" i="1"/>
  <c r="BA17" i="1" s="1"/>
  <c r="AT17" i="2"/>
  <c r="AU17" i="2" s="1"/>
  <c r="AR31" i="10"/>
  <c r="AT40" i="2"/>
  <c r="AU40" i="2" s="1"/>
  <c r="AZ40" i="1"/>
  <c r="BA40" i="1" s="1"/>
  <c r="AR33" i="10"/>
  <c r="AT42" i="2"/>
  <c r="AU42" i="2" s="1"/>
  <c r="AZ42" i="1"/>
  <c r="BA42" i="1" s="1"/>
  <c r="AR43" i="10"/>
  <c r="AT52" i="2"/>
  <c r="AU52" i="2" s="1"/>
  <c r="AZ52" i="1"/>
  <c r="BA52" i="1" s="1"/>
  <c r="AR36" i="12"/>
  <c r="BR45" i="2"/>
  <c r="BS45" i="2" s="1"/>
  <c r="BX45" i="1"/>
  <c r="BY45" i="1" s="1"/>
  <c r="AR28" i="12"/>
  <c r="BX37" i="1"/>
  <c r="BY37" i="1" s="1"/>
  <c r="BR37" i="2"/>
  <c r="BS37" i="2" s="1"/>
  <c r="AF66" i="1"/>
  <c r="AG66" i="1"/>
  <c r="Z46" i="2"/>
  <c r="AA46" i="2"/>
  <c r="AR21" i="11"/>
  <c r="AW30" i="2"/>
  <c r="AX30" i="2" s="1"/>
  <c r="BC30" i="1"/>
  <c r="BD30" i="1" s="1"/>
  <c r="AR22" i="11"/>
  <c r="AW31" i="2"/>
  <c r="AX31" i="2" s="1"/>
  <c r="BC31" i="1"/>
  <c r="BD31" i="1" s="1"/>
  <c r="AR30" i="11"/>
  <c r="AW39" i="2"/>
  <c r="AX39" i="2" s="1"/>
  <c r="BC39" i="1"/>
  <c r="BD39" i="1" s="1"/>
  <c r="AR40" i="8"/>
  <c r="AT49" i="1"/>
  <c r="AU49" i="1" s="1"/>
  <c r="AN49" i="2"/>
  <c r="AO49" i="2" s="1"/>
  <c r="AR27" i="12"/>
  <c r="BX36" i="1"/>
  <c r="BY36" i="1" s="1"/>
  <c r="BR36" i="2"/>
  <c r="BS36" i="2" s="1"/>
  <c r="AR52" i="10"/>
  <c r="AZ61" i="1"/>
  <c r="BA61" i="1" s="1"/>
  <c r="AT61" i="2"/>
  <c r="AU61" i="2" s="1"/>
  <c r="AR36" i="10"/>
  <c r="AZ45" i="1"/>
  <c r="BA45" i="1" s="1"/>
  <c r="AT45" i="2"/>
  <c r="AU45" i="2" s="1"/>
  <c r="AR37" i="10"/>
  <c r="AZ46" i="1"/>
  <c r="BA46" i="1" s="1"/>
  <c r="AT46" i="2"/>
  <c r="AU46" i="2" s="1"/>
  <c r="AR43" i="12"/>
  <c r="BR52" i="2"/>
  <c r="BS52" i="2" s="1"/>
  <c r="BX52" i="1"/>
  <c r="BY52" i="1" s="1"/>
  <c r="AR51" i="9"/>
  <c r="AQ60" i="2"/>
  <c r="AR60" i="2" s="1"/>
  <c r="AW60" i="1"/>
  <c r="AX60" i="1" s="1"/>
  <c r="AR22" i="9"/>
  <c r="AQ31" i="2"/>
  <c r="AR31" i="2" s="1"/>
  <c r="AW31" i="1"/>
  <c r="AX31" i="1" s="1"/>
  <c r="AR55" i="9"/>
  <c r="AQ64" i="2"/>
  <c r="AR64" i="2" s="1"/>
  <c r="AW64" i="1"/>
  <c r="AX64" i="1" s="1"/>
  <c r="AR30" i="12"/>
  <c r="BX39" i="1"/>
  <c r="BY39" i="1" s="1"/>
  <c r="BR39" i="2"/>
  <c r="BS39" i="2" s="1"/>
  <c r="AG41" i="1"/>
  <c r="AF41" i="1"/>
  <c r="Z30" i="2"/>
  <c r="AA30" i="2"/>
  <c r="AA49" i="2"/>
  <c r="Z49" i="2"/>
  <c r="AA32" i="2"/>
  <c r="Z32" i="2"/>
  <c r="AQ60" i="6"/>
  <c r="AR4" i="6"/>
  <c r="AQ69" i="6"/>
  <c r="Y13" i="2"/>
  <c r="AE13" i="1"/>
  <c r="AG53" i="1"/>
  <c r="AF53" i="1"/>
  <c r="BR79" i="2" l="1"/>
  <c r="BS79" i="2" s="1"/>
  <c r="BR69" i="2"/>
  <c r="BS13" i="2"/>
  <c r="AN69" i="2"/>
  <c r="AN79" i="2"/>
  <c r="AO13" i="2"/>
  <c r="BX79" i="1"/>
  <c r="BY79" i="1" s="1"/>
  <c r="BY13" i="1"/>
  <c r="BX69" i="1"/>
  <c r="AT69" i="2"/>
  <c r="AT79" i="2"/>
  <c r="AU13" i="2"/>
  <c r="AK69" i="2"/>
  <c r="AL13" i="2"/>
  <c r="AK79" i="2"/>
  <c r="AG13" i="1"/>
  <c r="AE69" i="1"/>
  <c r="AF13" i="1"/>
  <c r="Y69" i="2"/>
  <c r="AA13" i="2"/>
  <c r="Z13" i="2"/>
  <c r="AU13" i="1"/>
  <c r="AT79" i="1"/>
  <c r="AT69" i="1"/>
  <c r="AW79" i="1"/>
  <c r="AW69" i="1"/>
  <c r="AX13" i="1"/>
  <c r="AZ69" i="1"/>
  <c r="BA13" i="1"/>
  <c r="AZ79" i="1"/>
  <c r="BC79" i="1"/>
  <c r="BD79" i="1" s="1"/>
  <c r="BD13" i="1"/>
  <c r="BC69" i="1"/>
  <c r="AQ79" i="2"/>
  <c r="AQ69" i="2"/>
  <c r="AR13" i="2"/>
  <c r="AQ79" i="1"/>
  <c r="AR13" i="1"/>
  <c r="AQ69" i="1"/>
  <c r="AW69" i="2"/>
  <c r="AW79" i="2"/>
  <c r="AX79" i="2" s="1"/>
  <c r="AX13" i="2"/>
  <c r="BY78" i="1" l="1"/>
  <c r="BY76" i="1"/>
  <c r="BY77" i="1"/>
  <c r="BS78" i="2"/>
  <c r="BS76" i="2"/>
  <c r="BS77" i="2"/>
  <c r="BD78" i="1"/>
  <c r="BD76" i="1"/>
  <c r="BD77" i="1"/>
  <c r="AX78" i="2"/>
  <c r="AX76" i="2"/>
  <c r="AX77" i="2"/>
</calcChain>
</file>

<file path=xl/comments1.xml><?xml version="1.0" encoding="utf-8"?>
<comments xmlns="http://schemas.openxmlformats.org/spreadsheetml/2006/main">
  <authors>
    <author/>
  </authors>
  <commentList>
    <comment ref="R3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P7" authorId="0" shapeId="0">
      <text>
        <r>
          <rPr>
            <sz val="11"/>
            <color rgb="FF000000"/>
            <rFont val="Calibri"/>
          </rPr>
          <t>$30.67 per mo</t>
        </r>
      </text>
    </comment>
    <comment ref="R7" authorId="0" shapeId="0">
      <text>
        <r>
          <rPr>
            <sz val="11"/>
            <color rgb="FF000000"/>
            <rFont val="Calibri"/>
          </rPr>
          <t>$32.67 per mo</t>
        </r>
      </text>
    </comment>
    <comment ref="T7" authorId="0" shapeId="0">
      <text>
        <r>
          <rPr>
            <sz val="11"/>
            <color rgb="FF000000"/>
            <rFont val="Calibri"/>
          </rPr>
          <t>$33.33 per mo</t>
        </r>
      </text>
    </comment>
    <comment ref="AA7" authorId="0" shapeId="0">
      <text>
        <r>
          <rPr>
            <sz val="11"/>
            <color rgb="FF000000"/>
            <rFont val="Calibri"/>
          </rPr>
          <t xml:space="preserve">$35.42 per mo
</t>
        </r>
      </text>
    </comment>
    <comment ref="AC7" authorId="0" shapeId="0">
      <text>
        <r>
          <rPr>
            <sz val="11"/>
            <color rgb="FF000000"/>
            <rFont val="Calibri"/>
          </rPr>
          <t>PERS rate increase average = 6%</t>
        </r>
      </text>
    </comment>
    <comment ref="A24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A37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A58" authorId="0" shapeId="0">
      <text>
        <r>
          <rPr>
            <sz val="11"/>
            <color rgb="FF000000"/>
            <rFont val="Calibri"/>
          </rPr>
          <t>Includes So Wasco &amp; Dufur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24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A37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A58" authorId="0" shapeId="0">
      <text>
        <r>
          <rPr>
            <sz val="11"/>
            <color rgb="FF000000"/>
            <rFont val="Calibri"/>
          </rPr>
          <t>Includes So Wasco &amp; Dufur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A24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A37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A58" authorId="0" shapeId="0">
      <text>
        <r>
          <rPr>
            <sz val="11"/>
            <color rgb="FF000000"/>
            <rFont val="Calibri"/>
          </rPr>
          <t>Includes So Wasco &amp; Dufur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3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A24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A37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A58" authorId="0" shapeId="0">
      <text>
        <r>
          <rPr>
            <sz val="11"/>
            <color rgb="FF000000"/>
            <rFont val="Calibri"/>
          </rPr>
          <t>Includes So Wasco &amp; Dufur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F2" authorId="0" shapeId="0">
      <text>
        <r>
          <rPr>
            <sz val="11"/>
            <color rgb="FF000000"/>
            <rFont val="Calibri"/>
          </rPr>
          <t xml:space="preserve">BCLD becomes fiscal agent
</t>
        </r>
      </text>
    </comment>
    <comment ref="AD3" authorId="0" shapeId="0">
      <text>
        <r>
          <rPr>
            <sz val="11"/>
            <color rgb="FF000000"/>
            <rFont val="Calibri"/>
          </rPr>
          <t>COLI</t>
        </r>
      </text>
    </comment>
    <comment ref="P11" authorId="0" shapeId="0">
      <text>
        <r>
          <rPr>
            <sz val="11"/>
            <color rgb="FF000000"/>
            <rFont val="Calibri"/>
          </rPr>
          <t>Includes invoiced-not yet paid memberships per Beth 1/24/17</t>
        </r>
      </text>
    </comment>
    <comment ref="T11" authorId="0" shapeId="0">
      <text>
        <r>
          <rPr>
            <sz val="11"/>
            <color rgb="FF000000"/>
            <rFont val="Calibri"/>
          </rPr>
          <t>Approx. $10,000 less due to new tier revision 4k-7500k (Grant, Harney)</t>
        </r>
      </text>
    </comment>
    <comment ref="X11" authorId="0" shapeId="0">
      <text>
        <r>
          <rPr>
            <sz val="11"/>
            <color rgb="FF000000"/>
            <rFont val="Calibri"/>
          </rPr>
          <t xml:space="preserve">6.5% increase
Increases primarily for recovery of loss from 2017-18 tier revision &amp; personnel costs (huge PERS increase, moderate health insurance increase, 3% COLI)
</t>
        </r>
      </text>
    </comment>
    <comment ref="AD11" authorId="0" shapeId="0">
      <text>
        <r>
          <rPr>
            <sz val="11"/>
            <color rgb="FF000000"/>
            <rFont val="Calibri"/>
          </rPr>
          <t xml:space="preserve">6.5% increase
Increases primarily for recovery of loss from 2017-18 tier revision &amp; personnel costs (huge PERS increase, moderate health insurance increase, 3% COLI)
</t>
        </r>
      </text>
    </comment>
    <comment ref="D16" authorId="0" shapeId="0">
      <text>
        <r>
          <rPr>
            <sz val="11"/>
            <color rgb="FF000000"/>
            <rFont val="Calibri"/>
          </rPr>
          <t xml:space="preserve">LSTA clean slate year 1
LSTA courier grant
</t>
        </r>
      </text>
    </comment>
    <comment ref="F16" authorId="0" shapeId="0">
      <text>
        <r>
          <rPr>
            <sz val="11"/>
            <color rgb="FF000000"/>
            <rFont val="Calibri"/>
          </rPr>
          <t>LSTA clean slate year 2
LSTA courier grant</t>
        </r>
      </text>
    </comment>
    <comment ref="I16" authorId="0" shapeId="0">
      <text>
        <r>
          <rPr>
            <sz val="11"/>
            <color rgb="FF000000"/>
            <rFont val="Calibri"/>
          </rPr>
          <t>LSTA courier grant</t>
        </r>
      </text>
    </comment>
    <comment ref="L16" authorId="0" shapeId="0">
      <text>
        <r>
          <rPr>
            <sz val="11"/>
            <color rgb="FF000000"/>
            <rFont val="Calibri"/>
          </rPr>
          <t>LSTA courier grant</t>
        </r>
      </text>
    </comment>
    <comment ref="I17" authorId="0" shapeId="0">
      <text>
        <r>
          <rPr>
            <sz val="11"/>
            <color rgb="FF000000"/>
            <rFont val="Calibri"/>
          </rPr>
          <t>Member OCLC subscriptions</t>
        </r>
      </text>
    </comment>
    <comment ref="L17" authorId="0" shapeId="0">
      <text>
        <r>
          <rPr>
            <sz val="11"/>
            <color rgb="FF000000"/>
            <rFont val="Calibri"/>
          </rPr>
          <t>Member OCLC subscriptions</t>
        </r>
      </text>
    </comment>
    <comment ref="S17" authorId="0" shapeId="0">
      <text>
        <r>
          <rPr>
            <sz val="11"/>
            <color rgb="FF000000"/>
            <rFont val="Calibri"/>
          </rPr>
          <t>Member OCLC subscriptions</t>
        </r>
      </text>
    </comment>
    <comment ref="X36" authorId="0" shapeId="0">
      <text>
        <r>
          <rPr>
            <sz val="11"/>
            <color rgb="FF000000"/>
            <rFont val="Calibri"/>
          </rPr>
          <t xml:space="preserve">Quoted 7% premium increase by SDIS. </t>
        </r>
      </text>
    </comment>
    <comment ref="X47" authorId="0" shapeId="0">
      <text>
        <r>
          <rPr>
            <sz val="11"/>
            <color rgb="FF000000"/>
            <rFont val="Calibri"/>
          </rPr>
          <t>Revised from $3,760 (2% of total fund less BCL accountant salary + benefits -- PERS, payroll taxes, est)
	-Baker Librarian</t>
        </r>
      </text>
    </comment>
    <comment ref="F51" authorId="0" shapeId="0">
      <text>
        <r>
          <rPr>
            <sz val="11"/>
            <color rgb="FF000000"/>
            <rFont val="Calibri"/>
          </rPr>
          <t xml:space="preserve">Clean slate grant
</t>
        </r>
      </text>
    </comment>
    <comment ref="AB57" authorId="0" shapeId="0">
      <text>
        <r>
          <rPr>
            <sz val="11"/>
            <color rgb="FF000000"/>
            <rFont val="Calibri"/>
          </rPr>
          <t xml:space="preserve">10/30/19 server memory storage $1,225
10/30/19 SnagIt software $25
</t>
        </r>
      </text>
    </comment>
    <comment ref="I59" authorId="0" shapeId="0">
      <text>
        <r>
          <rPr>
            <sz val="11"/>
            <color rgb="FF000000"/>
            <rFont val="Calibri"/>
          </rPr>
          <t>2 people to attend Evergreen conference 
(2017 @Covington, KY)</t>
        </r>
      </text>
    </comment>
    <comment ref="D63" authorId="0" shapeId="0">
      <text>
        <r>
          <rPr>
            <sz val="11"/>
            <color rgb="FF000000"/>
            <rFont val="Calibri"/>
          </rPr>
          <t>UNKNOWN. Estimated</t>
        </r>
      </text>
    </comment>
    <comment ref="X64" authorId="0" shapeId="0">
      <text>
        <r>
          <rPr>
            <sz val="11"/>
            <color rgb="FF000000"/>
            <rFont val="Calibri"/>
          </rPr>
          <t>Slight reduction based on history. Does not include in-kind member contributions which make up to the 50-50% match.</t>
        </r>
      </text>
    </comment>
    <comment ref="AD64" authorId="0" shapeId="0">
      <text>
        <r>
          <rPr>
            <sz val="11"/>
            <color rgb="FF000000"/>
            <rFont val="Calibri"/>
          </rPr>
          <t>Slight reduction based on history. Does not include in-kind member contributions which make up to the 50-50% match.</t>
        </r>
      </text>
    </comment>
    <comment ref="X66" authorId="0" shapeId="0">
      <text>
        <r>
          <rPr>
            <sz val="11"/>
            <color rgb="FF000000"/>
            <rFont val="Calibri"/>
          </rPr>
          <t>$2,627 remainder?
$12,520-6,931-2,962=$2,627</t>
        </r>
      </text>
    </comment>
    <comment ref="AD66" authorId="0" shapeId="0">
      <text>
        <r>
          <rPr>
            <sz val="11"/>
            <color rgb="FF000000"/>
            <rFont val="Calibri"/>
          </rPr>
          <t>$2,627 remainder?
$12,520-6,931-2,962=$2,627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2" authorId="0" shapeId="0">
      <text>
        <r>
          <rPr>
            <sz val="11"/>
            <color rgb="FF000000"/>
            <rFont val="Calibri"/>
          </rPr>
          <t>State Library Report error? (490)</t>
        </r>
      </text>
    </comment>
    <comment ref="D3" authorId="0" shapeId="0">
      <text>
        <r>
          <rPr>
            <sz val="11"/>
            <color rgb="FF000000"/>
            <rFont val="Calibri"/>
          </rPr>
          <t>State Library Report error? (861)</t>
        </r>
      </text>
    </comment>
    <comment ref="D10" authorId="0" shapeId="0">
      <text>
        <r>
          <rPr>
            <sz val="11"/>
            <color rgb="FF000000"/>
            <rFont val="Calibri"/>
          </rPr>
          <t xml:space="preserve">State Library Report error ? (981)
</t>
        </r>
      </text>
    </comment>
    <comment ref="D13" authorId="0" shapeId="0">
      <text>
        <r>
          <rPr>
            <sz val="11"/>
            <color rgb="FF000000"/>
            <rFont val="Calibri"/>
          </rPr>
          <t xml:space="preserve">State report error?
3,239
</t>
        </r>
      </text>
    </comment>
    <comment ref="D15" authorId="0" shapeId="0">
      <text>
        <r>
          <rPr>
            <sz val="11"/>
            <color rgb="FF000000"/>
            <rFont val="Calibri"/>
          </rPr>
          <t xml:space="preserve">State Library Report error? (1,009)
</t>
        </r>
      </text>
    </comment>
    <comment ref="D19" authorId="0" shapeId="0">
      <text>
        <r>
          <rPr>
            <sz val="11"/>
            <color rgb="FF000000"/>
            <rFont val="Calibri"/>
          </rPr>
          <t xml:space="preserve">State Library Report error ? (259)
</t>
        </r>
      </text>
    </comment>
    <comment ref="D21" authorId="0" shapeId="0">
      <text>
        <r>
          <rPr>
            <sz val="11"/>
            <color rgb="FF000000"/>
            <rFont val="Calibri"/>
          </rPr>
          <t xml:space="preserve">State Library Report error ? (25,003)
</t>
        </r>
      </text>
    </comment>
    <comment ref="D26" authorId="0" shapeId="0">
      <text>
        <r>
          <rPr>
            <sz val="11"/>
            <color rgb="FF000000"/>
            <rFont val="Calibri"/>
          </rPr>
          <t xml:space="preserve">State Library Report error ? (989)
</t>
        </r>
      </text>
    </comment>
    <comment ref="D28" authorId="0" shapeId="0">
      <text>
        <r>
          <rPr>
            <sz val="11"/>
            <color rgb="FF000000"/>
            <rFont val="Calibri"/>
          </rPr>
          <t xml:space="preserve">State Library Report error ? (1,811)
</t>
        </r>
      </text>
    </comment>
    <comment ref="D33" authorId="0" shapeId="0">
      <text>
        <r>
          <rPr>
            <sz val="11"/>
            <color rgb="FF000000"/>
            <rFont val="Calibri"/>
          </rPr>
          <t xml:space="preserve">State Library Report error ? (9,872)
</t>
        </r>
      </text>
    </comment>
    <comment ref="D39" authorId="0" shapeId="0">
      <text>
        <r>
          <rPr>
            <sz val="11"/>
            <color rgb="FF000000"/>
            <rFont val="Calibri"/>
          </rPr>
          <t xml:space="preserve">State Library Report error ? (9,294)
</t>
        </r>
      </text>
    </comment>
    <comment ref="D40" authorId="0" shapeId="0">
      <text>
        <r>
          <rPr>
            <sz val="11"/>
            <color rgb="FF000000"/>
            <rFont val="Calibri"/>
          </rPr>
          <t xml:space="preserve">State Library Report error ? (23,266)
</t>
        </r>
      </text>
    </comment>
    <comment ref="D41" authorId="0" shapeId="0">
      <text>
        <r>
          <rPr>
            <sz val="11"/>
            <color rgb="FF000000"/>
            <rFont val="Calibri"/>
          </rPr>
          <t xml:space="preserve">State Library Report error ? (2,148)
</t>
        </r>
      </text>
    </comment>
    <comment ref="D44" authorId="0" shapeId="0">
      <text>
        <r>
          <rPr>
            <sz val="11"/>
            <color rgb="FF000000"/>
            <rFont val="Calibri"/>
          </rPr>
          <t>State Library Report error ? (2,866)</t>
        </r>
      </text>
    </comment>
    <comment ref="F47" authorId="0" shapeId="0">
      <text>
        <r>
          <rPr>
            <sz val="11"/>
            <color rgb="FF000000"/>
            <rFont val="Calibri"/>
          </rPr>
          <t xml:space="preserve">The Dalles, WCLSD, So Wasco, Dufur
</t>
        </r>
      </text>
    </comment>
    <comment ref="D49" authorId="0" shapeId="0">
      <text>
        <r>
          <rPr>
            <sz val="11"/>
            <color rgb="FF000000"/>
            <rFont val="Calibri"/>
          </rPr>
          <t xml:space="preserve">State Library Report error ? (432)
</t>
        </r>
      </text>
    </comment>
    <comment ref="D50" authorId="0" shapeId="0">
      <text>
        <r>
          <rPr>
            <sz val="11"/>
            <color rgb="FF000000"/>
            <rFont val="Calibri"/>
          </rPr>
          <t xml:space="preserve">State Library Report error ? (9,676)
</t>
        </r>
      </text>
    </comment>
    <comment ref="D54" authorId="0" shapeId="0">
      <text>
        <r>
          <rPr>
            <sz val="11"/>
            <color rgb="FF000000"/>
            <rFont val="Calibri"/>
          </rPr>
          <t xml:space="preserve">Corrected for assumed State Library Report error  (1,352)
</t>
        </r>
      </text>
    </comment>
    <comment ref="D55" authorId="0" shapeId="0">
      <text>
        <r>
          <rPr>
            <sz val="11"/>
            <color rgb="FF000000"/>
            <rFont val="Calibri"/>
          </rPr>
          <t xml:space="preserve">State Library Report error ? (978)
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BE1" authorId="0" shapeId="0">
      <text>
        <r>
          <rPr>
            <sz val="11"/>
            <color rgb="FF000000"/>
            <rFont val="Calibri"/>
          </rPr>
          <t>2019-01-30 Committee consensus that per capita rate alone is not adequate
	-Baker Librarian</t>
        </r>
      </text>
    </comment>
    <comment ref="BN1" authorId="0" shapeId="0">
      <text>
        <r>
          <rPr>
            <sz val="11"/>
            <color rgb="FF000000"/>
            <rFont val="Calibri"/>
          </rPr>
          <t>2019-01-30 Committee prefers a mix of demographic &amp; usage criteria be explored to craft pricing formula
	-Baker Librarian</t>
        </r>
      </text>
    </comment>
    <comment ref="BA2" authorId="0" shapeId="0">
      <text>
        <r>
          <rPr>
            <sz val="11"/>
            <color rgb="FF000000"/>
            <rFont val="Calibri"/>
          </rPr>
          <t>PERS &amp; courier costs
----
1. Moved Ione &amp; Vale libraries to correct tier per current service population. 
2. Rate increase corrected from 5.5% to 7% to cover operating costs. Not sure why I missed that in presentation. Maybe I was looking at line 85.
	-Baker Librarian</t>
        </r>
      </text>
    </comment>
    <comment ref="BN11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A15" authorId="0" shapeId="0">
      <text>
        <r>
          <rPr>
            <sz val="11"/>
            <color rgb="FF000000"/>
            <rFont val="Calibri"/>
          </rPr>
          <t xml:space="preserve">Moved down </t>
        </r>
      </text>
    </comment>
    <comment ref="BN16" authorId="0" shapeId="0">
      <text>
        <r>
          <rPr>
            <sz val="11"/>
            <color rgb="FF000000"/>
            <rFont val="Calibri"/>
          </rPr>
          <t xml:space="preserve">$600 annual tier surcharge
</t>
        </r>
      </text>
    </comment>
    <comment ref="BN18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BN26" authorId="0" shapeId="0">
      <text>
        <r>
          <rPr>
            <sz val="11"/>
            <color rgb="FF000000"/>
            <rFont val="Calibri"/>
          </rPr>
          <t xml:space="preserve">$1,800 annual tier surcharge
</t>
        </r>
      </text>
    </comment>
    <comment ref="A28" authorId="0" shapeId="0">
      <text>
        <r>
          <rPr>
            <sz val="11"/>
            <color rgb="FF000000"/>
            <rFont val="Calibri"/>
          </rPr>
          <t>Moved up from lower tier</t>
        </r>
      </text>
    </comment>
    <comment ref="BN37" authorId="0" shapeId="0">
      <text>
        <r>
          <rPr>
            <sz val="11"/>
            <color rgb="FF000000"/>
            <rFont val="Calibri"/>
          </rPr>
          <t xml:space="preserve">$1,200 annual tier surcharge
</t>
        </r>
      </text>
    </comment>
    <comment ref="BN38" authorId="0" shapeId="0">
      <text>
        <r>
          <rPr>
            <sz val="11"/>
            <color rgb="FF000000"/>
            <rFont val="Calibri"/>
          </rPr>
          <t>$3,000 annual tier surcharge</t>
        </r>
      </text>
    </comment>
    <comment ref="BN41" authorId="0" shapeId="0">
      <text>
        <r>
          <rPr>
            <sz val="11"/>
            <color rgb="FF000000"/>
            <rFont val="Calibri"/>
          </rPr>
          <t>$2,400 annual tier surcharge</t>
        </r>
      </text>
    </comment>
    <comment ref="BN44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  <comment ref="A49" authorId="0" shapeId="0">
      <text>
        <r>
          <rPr>
            <sz val="11"/>
            <color rgb="FF000000"/>
            <rFont val="Calibri"/>
          </rPr>
          <t>Includes So Wasco &amp; Dufur</t>
        </r>
      </text>
    </comment>
    <comment ref="A54" authorId="0" shapeId="0">
      <text>
        <r>
          <rPr>
            <sz val="11"/>
            <color rgb="FF000000"/>
            <rFont val="Calibri"/>
          </rPr>
          <t>Moved down from upper tier</t>
        </r>
      </text>
    </comment>
    <comment ref="BN55" authorId="0" shapeId="0">
      <text>
        <r>
          <rPr>
            <sz val="11"/>
            <color rgb="FF000000"/>
            <rFont val="Calibri"/>
          </rPr>
          <t xml:space="preserve">$900 annual tier surcharge
</t>
        </r>
      </text>
    </comment>
  </commentList>
</comments>
</file>

<file path=xl/sharedStrings.xml><?xml version="1.0" encoding="utf-8"?>
<sst xmlns="http://schemas.openxmlformats.org/spreadsheetml/2006/main" count="2364" uniqueCount="500">
  <si>
    <t>DEFAULT</t>
  </si>
  <si>
    <t>OPTION 1</t>
  </si>
  <si>
    <t>OPTION 2</t>
  </si>
  <si>
    <t>OPTION 3</t>
  </si>
  <si>
    <t>OPTION 4</t>
  </si>
  <si>
    <t>OPTION 5</t>
  </si>
  <si>
    <t>OPTION 6</t>
  </si>
  <si>
    <t>OPTION 7</t>
  </si>
  <si>
    <t>OPTION 8.0
*MASTER*</t>
  </si>
  <si>
    <t>OPTION 8.1</t>
  </si>
  <si>
    <t>OPTION 8.2</t>
  </si>
  <si>
    <t>OPTION 8.3</t>
  </si>
  <si>
    <t>OPTION 8.4</t>
  </si>
  <si>
    <t>OPTION 8.5</t>
  </si>
  <si>
    <t>OPTION 8.6</t>
  </si>
  <si>
    <t>OPTION 9.0
*MASTER*</t>
  </si>
  <si>
    <t>OPTION 9.1</t>
  </si>
  <si>
    <t>OPTION 9.2</t>
  </si>
  <si>
    <t>OPTION 9.3</t>
  </si>
  <si>
    <t>OPTION 9.4</t>
  </si>
  <si>
    <t>OPTION 9.5</t>
  </si>
  <si>
    <t>OPTION 9.6</t>
  </si>
  <si>
    <t xml:space="preserve">Library </t>
  </si>
  <si>
    <t>Email</t>
  </si>
  <si>
    <t>Current Group</t>
  </si>
  <si>
    <t>Prior Yr Population Avg 3 Years</t>
  </si>
  <si>
    <t>Service Population
Avg
3 years</t>
  </si>
  <si>
    <t>Prior Year Pop %</t>
  </si>
  <si>
    <t>Pop %</t>
  </si>
  <si>
    <t>Chg</t>
  </si>
  <si>
    <t>Patron Count with Expiration date &gt; 2010-12-01</t>
  </si>
  <si>
    <t>Patron Count with Expiration date &gt; 2017-01-01</t>
  </si>
  <si>
    <t>Patron Count with Expiration date &gt; 2019-01-01</t>
  </si>
  <si>
    <t>Active accounts Avg
3 years</t>
  </si>
  <si>
    <t>Accounts  %</t>
  </si>
  <si>
    <t>2018/19  
Fee schedule</t>
  </si>
  <si>
    <t>2019/20  
Fee schedule</t>
  </si>
  <si>
    <t>2020/21
Fee schedule</t>
  </si>
  <si>
    <t>Cost per capita</t>
  </si>
  <si>
    <t>STANDARD
2021/22
Fee schedule</t>
  </si>
  <si>
    <t>$chg</t>
  </si>
  <si>
    <t>Growth rate
2021/22
Fee schedule</t>
  </si>
  <si>
    <t>Service Pop
(3 yr Avg)
fee</t>
  </si>
  <si>
    <t>Active Accounts 
(3 yr Avg)
fee
ONLY</t>
  </si>
  <si>
    <t>Cost per capita
(Service Pop)</t>
  </si>
  <si>
    <t>Cost per capita
(Accounts)</t>
  </si>
  <si>
    <t>Item fee
ONLY</t>
  </si>
  <si>
    <t>Accounts + base fee + courier fee</t>
  </si>
  <si>
    <t>Accounts + base fee + courier fee 
(net ILL +/-)</t>
  </si>
  <si>
    <t>Items + base fee  + courier fee 
(net ILL +/-)</t>
  </si>
  <si>
    <t>Circ + base fee  + courier fee 
(net ILL +/-)</t>
  </si>
  <si>
    <t>Accounts + item + base+ circ + courier fee 
(net ILL +/-)</t>
  </si>
  <si>
    <t>Pop + item + base+ circ + courier fee 
(net ILL +/-)</t>
  </si>
  <si>
    <t>% chg / base rate</t>
  </si>
  <si>
    <t>Variable</t>
  </si>
  <si>
    <t>SERVICE POP %</t>
  </si>
  <si>
    <t>ACCOUNTS %</t>
  </si>
  <si>
    <t>ITEMS %</t>
  </si>
  <si>
    <t>BASE FEE %</t>
  </si>
  <si>
    <t>CIRC %</t>
  </si>
  <si>
    <t>Sage COURIER cost recovery</t>
  </si>
  <si>
    <t xml:space="preserve">COURIER net loan/borrow proration rate </t>
  </si>
  <si>
    <t>Adams Public Library (UCSLD)</t>
  </si>
  <si>
    <t xml:space="preserve">library@cityofadamsoregon.com </t>
  </si>
  <si>
    <t>Public (&lt; 750)</t>
  </si>
  <si>
    <t>Arlington Public Library</t>
  </si>
  <si>
    <t xml:space="preserve">arlingtonpubliclibraryor97812@gmail.com </t>
  </si>
  <si>
    <t>Athena Public (UCSLD)</t>
  </si>
  <si>
    <t xml:space="preserve">athenalibrary@cityofathena.com </t>
  </si>
  <si>
    <t>Public  (750-2K)</t>
  </si>
  <si>
    <t>Baker County District</t>
  </si>
  <si>
    <t xml:space="preserve">info@bakerlib.org </t>
  </si>
  <si>
    <t>Public (15K - 30K)</t>
  </si>
  <si>
    <t>BMCC</t>
  </si>
  <si>
    <t xml:space="preserve">onlinelibrary@bluecc.edu </t>
  </si>
  <si>
    <t>Academic - Community College (moderate)</t>
  </si>
  <si>
    <t>CGCC</t>
  </si>
  <si>
    <t>DMcManus@cgcc.edu</t>
  </si>
  <si>
    <t>Academic - Community College (small)</t>
  </si>
  <si>
    <t>Cove School Library</t>
  </si>
  <si>
    <t xml:space="preserve">tallyk@cove.k12.or.us </t>
  </si>
  <si>
    <t>Schools (&lt; 500)</t>
  </si>
  <si>
    <t>Crane Union High School</t>
  </si>
  <si>
    <t xml:space="preserve">starbuck@harneyesd.k12.or.us </t>
  </si>
  <si>
    <t>Schools (&lt;100)</t>
  </si>
  <si>
    <t>Echo Public Library (UCSLD)</t>
  </si>
  <si>
    <t xml:space="preserve">echolib@centurytel.net </t>
  </si>
  <si>
    <t>Elgin High School</t>
  </si>
  <si>
    <t xml:space="preserve">cchandler@mail.elgin.k12.or.us </t>
  </si>
  <si>
    <t>ILL only (incl museum)</t>
  </si>
  <si>
    <t>Elgin Public Library</t>
  </si>
  <si>
    <t xml:space="preserve">Publiclibrary@cityofelginor.org </t>
  </si>
  <si>
    <t>Public (2K - 4K)</t>
  </si>
  <si>
    <t>Enterprise Public Library</t>
  </si>
  <si>
    <t xml:space="preserve">enterpl@eoni.com </t>
  </si>
  <si>
    <t>Fossil Library</t>
  </si>
  <si>
    <t xml:space="preserve">libraryfossil46@gmail.com </t>
  </si>
  <si>
    <t>Gilliam County Library</t>
  </si>
  <si>
    <t xml:space="preserve">gclibrary@co.gilliam.or.us </t>
  </si>
  <si>
    <t>Grant County Library</t>
  </si>
  <si>
    <t xml:space="preserve">grant047@ortelco.net </t>
  </si>
  <si>
    <t>Public (4K - 7500)</t>
  </si>
  <si>
    <t>Harney County ESD</t>
  </si>
  <si>
    <t>criss.s@harneyesd.k12.or.us</t>
  </si>
  <si>
    <t>Harney County Library</t>
  </si>
  <si>
    <t>cheryl@harneycountylibrary.org</t>
  </si>
  <si>
    <t>Helix Public Library (UCLSD)</t>
  </si>
  <si>
    <t xml:space="preserve">helixlibrary@helixtel.com </t>
  </si>
  <si>
    <t>Hermiston High School</t>
  </si>
  <si>
    <t xml:space="preserve">delia.fields@hermistonsd.org </t>
  </si>
  <si>
    <t>Hermiston Public Library</t>
  </si>
  <si>
    <t xml:space="preserve">mrose@hermiston.or.us </t>
  </si>
  <si>
    <t>Hines Middle School</t>
  </si>
  <si>
    <t xml:space="preserve">debbiepfeiffer@hcsd3.k12.or.us </t>
  </si>
  <si>
    <t>Hood River Cnty District</t>
  </si>
  <si>
    <t xml:space="preserve">info@hoodriverlibrary.org </t>
  </si>
  <si>
    <t>Hood River High School</t>
  </si>
  <si>
    <t xml:space="preserve">ann.zuehlke@hoodriver.k12.or.us </t>
  </si>
  <si>
    <t>Schools (&gt; 500)</t>
  </si>
  <si>
    <t>Huntington School</t>
  </si>
  <si>
    <t>Harmonie.Hicks@huntington.k12.or.us</t>
  </si>
  <si>
    <t>Ione Library District</t>
  </si>
  <si>
    <t xml:space="preserve">ionelibrary@gmail.com </t>
  </si>
  <si>
    <t>Ione School Library</t>
  </si>
  <si>
    <t xml:space="preserve">Cathy.Halvorsen@ione.k12.or.us </t>
  </si>
  <si>
    <t>Joseph</t>
  </si>
  <si>
    <t xml:space="preserve">joseph97846@hotmail.com </t>
  </si>
  <si>
    <t>Josephy Library at Fishtrap</t>
  </si>
  <si>
    <t xml:space="preserve">rich@fishtrap.org </t>
  </si>
  <si>
    <t>KCC</t>
  </si>
  <si>
    <t xml:space="preserve">kcclrc@klamathcc.edu </t>
  </si>
  <si>
    <t>La Grande Cook Memorial Public Library</t>
  </si>
  <si>
    <t xml:space="preserve">KRoberson@cookmemoriallibrary.org </t>
  </si>
  <si>
    <t>Lake County Library District</t>
  </si>
  <si>
    <t xml:space="preserve">info@lakecountylibrary.org </t>
  </si>
  <si>
    <t>Public (7.5K - 15K)</t>
  </si>
  <si>
    <t>Milton-Freewater Public (UCSLD)</t>
  </si>
  <si>
    <t>Lili.Schmidt@milton-freewater-or.gov</t>
  </si>
  <si>
    <t>North Powder Public</t>
  </si>
  <si>
    <t>npcitylibrary1@gmail.com</t>
  </si>
  <si>
    <t>Nyssa Public Library</t>
  </si>
  <si>
    <t xml:space="preserve">nyssalibrary@nyssacity.org </t>
  </si>
  <si>
    <t>Ontario Community Library</t>
  </si>
  <si>
    <t xml:space="preserve">ontariolibrarydistrict@yahoo.com </t>
  </si>
  <si>
    <t>Ontario High School</t>
  </si>
  <si>
    <t xml:space="preserve">kpena@ontario.k12.or.us </t>
  </si>
  <si>
    <t>Ontario Middle School</t>
  </si>
  <si>
    <t xml:space="preserve">mfife@ontario.k12.or.us </t>
  </si>
  <si>
    <t>Oregon Trail Library District</t>
  </si>
  <si>
    <t xml:space="preserve">boardman@otld.org </t>
  </si>
  <si>
    <t>Pendleton Public Library (UCSLD)</t>
  </si>
  <si>
    <t xml:space="preserve">Jennifer.Costley@ci.pendleton.or.us </t>
  </si>
  <si>
    <t>Pilot Rock Public (UCSLD)</t>
  </si>
  <si>
    <t xml:space="preserve">pilotrockpl@centurytel.net </t>
  </si>
  <si>
    <t>Sherman County Public/Sch</t>
  </si>
  <si>
    <t xml:space="preserve">mmartin2@sherman.k12.or.us </t>
  </si>
  <si>
    <t>Slater Elementary School</t>
  </si>
  <si>
    <t>Stanfield Public Library (UCSLD)</t>
  </si>
  <si>
    <t xml:space="preserve">librarydirector@cityofstanfield.com </t>
  </si>
  <si>
    <t>Stanfield Secondary School Library</t>
  </si>
  <si>
    <t xml:space="preserve">penny.anderson@stanfieldsd.org </t>
  </si>
  <si>
    <t>Tamastslikt Institute</t>
  </si>
  <si>
    <t xml:space="preserve">malissa.minthorn@tamastslikt.org </t>
  </si>
  <si>
    <t>The Dalles/Wasco District</t>
  </si>
  <si>
    <t>jwavrunek@ci.the-dalles.or.us</t>
  </si>
  <si>
    <t>TVCC</t>
  </si>
  <si>
    <t xml:space="preserve">library@tvcc.cc </t>
  </si>
  <si>
    <t>Ukiah Public/School Library (UCSLD)</t>
  </si>
  <si>
    <t xml:space="preserve">Audrey.Durfey@ukiah.k12.or.us </t>
  </si>
  <si>
    <t>Umatilla Public Library (UCSLD)</t>
  </si>
  <si>
    <t xml:space="preserve">library@umatilla-city.org </t>
  </si>
  <si>
    <t>Union Public Library</t>
  </si>
  <si>
    <t xml:space="preserve">library@cityofunion.com </t>
  </si>
  <si>
    <t>Vale (Emma H) Public Library</t>
  </si>
  <si>
    <t xml:space="preserve">pshevham@cityofvale.com </t>
  </si>
  <si>
    <t>Vale High School</t>
  </si>
  <si>
    <t xml:space="preserve">jkoda@vale.k12.or.us </t>
  </si>
  <si>
    <t>Wallowa Public Library</t>
  </si>
  <si>
    <t xml:space="preserve">wallowapubliclibrary@gmail.com </t>
  </si>
  <si>
    <t>Weston Public Library (UCSLD)</t>
  </si>
  <si>
    <t xml:space="preserve">wcolibrary@cityofwestonoregon.com </t>
  </si>
  <si>
    <t>Grand Total</t>
  </si>
  <si>
    <t># MEMBERS</t>
  </si>
  <si>
    <t>Most at risk?/Smallest collection $ budget</t>
  </si>
  <si>
    <t>Operating budget less grants</t>
  </si>
  <si>
    <t>% increase</t>
  </si>
  <si>
    <t># increase</t>
  </si>
  <si>
    <t># decrease</t>
  </si>
  <si>
    <t>median</t>
  </si>
  <si>
    <t>UCSLD</t>
  </si>
  <si>
    <t>director@ucsld.org</t>
  </si>
  <si>
    <t xml:space="preserve">Sage Budget 2020/21 Draft </t>
  </si>
  <si>
    <t>Budget</t>
  </si>
  <si>
    <t>Actual</t>
  </si>
  <si>
    <t>Revised</t>
  </si>
  <si>
    <t>Approved</t>
  </si>
  <si>
    <t>APPROVED</t>
  </si>
  <si>
    <t>ACTUAL</t>
  </si>
  <si>
    <t>DRAFT</t>
  </si>
  <si>
    <t>2014/15</t>
  </si>
  <si>
    <t>2015/16</t>
  </si>
  <si>
    <t>2016/17</t>
  </si>
  <si>
    <t>2017/18</t>
  </si>
  <si>
    <t>FINAL</t>
  </si>
  <si>
    <t>2018/19</t>
  </si>
  <si>
    <t>$ over</t>
  </si>
  <si>
    <t>% of budget</t>
  </si>
  <si>
    <t>2019/20</t>
  </si>
  <si>
    <t>Chg $</t>
  </si>
  <si>
    <t>Chg %</t>
  </si>
  <si>
    <t>2020/21</t>
  </si>
  <si>
    <t>% CHG</t>
  </si>
  <si>
    <t>BAKER COUNTY LIBRARY DISTRICT</t>
  </si>
  <si>
    <t>FY2020-2021</t>
  </si>
  <si>
    <t>SPECIAL FUND</t>
  </si>
  <si>
    <t>RESOURCES AND REQUIREMENTS</t>
  </si>
  <si>
    <t>Sage Library System Fund</t>
  </si>
  <si>
    <t>RESOURCES</t>
  </si>
  <si>
    <t>Cash on hand * (cash basis), or</t>
  </si>
  <si>
    <t>Carryover of operating, contingency, capital reserves plus unallocated</t>
  </si>
  <si>
    <t>Membership dues</t>
  </si>
  <si>
    <t>Increased as needed to cover core operating expenses (Personnel + M&amp;S less grant ops)</t>
  </si>
  <si>
    <t>Interest</t>
  </si>
  <si>
    <t>Restricted grants</t>
  </si>
  <si>
    <t>LSTA Courier</t>
  </si>
  <si>
    <t>LSTA grant - courier</t>
  </si>
  <si>
    <t>LSTA Cataloging</t>
  </si>
  <si>
    <t>LSTA grant - cataloging</t>
  </si>
  <si>
    <t>Restricted grants TOTAL</t>
  </si>
  <si>
    <t>Other revenue</t>
  </si>
  <si>
    <t>OCLC CatExpress member use</t>
  </si>
  <si>
    <t>Total Resources, except taxes to be levied</t>
  </si>
  <si>
    <t>Taxes estimated to be received</t>
  </si>
  <si>
    <t>Taxes collected in year levied</t>
  </si>
  <si>
    <t>TOTAL RESOURCES</t>
  </si>
  <si>
    <t>REQUIREMENTS</t>
  </si>
  <si>
    <t>PERSONNEL SERVICES</t>
  </si>
  <si>
    <t>Salaries</t>
  </si>
  <si>
    <t>Systems administrator</t>
  </si>
  <si>
    <t>Administrative services (BCLD CFO)</t>
  </si>
  <si>
    <t>BCLD fiscal agent accountant (5 hrs/wk). Assumes 3% COLI</t>
  </si>
  <si>
    <t>Total salaries</t>
  </si>
  <si>
    <t>Benefits</t>
  </si>
  <si>
    <t>Retirement (PERS)</t>
  </si>
  <si>
    <t>PERS 23% increase</t>
  </si>
  <si>
    <t>PERS increase projected to 30% salary</t>
  </si>
  <si>
    <t>Social Security</t>
  </si>
  <si>
    <t>Worker's compensation</t>
  </si>
  <si>
    <t>Health insurance</t>
  </si>
  <si>
    <t>Note: Premium only. 
Deductible liability of $1,500 (half of $3,000) in contingency</t>
  </si>
  <si>
    <t>Unemployment insurance</t>
  </si>
  <si>
    <t>Rate increased by state</t>
  </si>
  <si>
    <t>Life insurance</t>
  </si>
  <si>
    <t>Payroll expenses</t>
  </si>
  <si>
    <t>Total benefits</t>
  </si>
  <si>
    <t>TOTAL PERSONNEL SERVICES</t>
  </si>
  <si>
    <t>Beth's salary and benefits at 1.0 FTE</t>
  </si>
  <si>
    <t>MATERIALS AND SERVICES</t>
  </si>
  <si>
    <t>Telecommunications</t>
  </si>
  <si>
    <t>discounted price for go to meeting through Tech soup</t>
  </si>
  <si>
    <t>GoToMeeting</t>
  </si>
  <si>
    <t>Technology</t>
  </si>
  <si>
    <t>$2,000 for development + $2,500 For Equinox for software upgrades</t>
  </si>
  <si>
    <t>Accounting and auditing</t>
  </si>
  <si>
    <t>per discussion at last meeting</t>
  </si>
  <si>
    <t>Simple financial review performed as part of BCLD audit.</t>
  </si>
  <si>
    <t>Administrative services (BCLD)</t>
  </si>
  <si>
    <t>Fiscal agency fee = 2% of Sage fund (TOTAL RESOURCES) less accountant expenses. Discounts BCLD membership / admin cost of approx 1 hrs per week for oversight</t>
  </si>
  <si>
    <t>System Support</t>
  </si>
  <si>
    <t>51,000 For Brent's salary and benefits +</t>
  </si>
  <si>
    <t>Brent's salary and benefits +</t>
  </si>
  <si>
    <t xml:space="preserve">System Admin Asst salary and benefits + </t>
  </si>
  <si>
    <t>Technical services</t>
  </si>
  <si>
    <t>Authority control</t>
  </si>
  <si>
    <t>??? For authority control</t>
  </si>
  <si>
    <t>Authority control.</t>
  </si>
  <si>
    <t>LSTA grant - Clean Slate</t>
  </si>
  <si>
    <t>LSTA Cataloging grant</t>
  </si>
  <si>
    <t>Technical services TOTAL</t>
  </si>
  <si>
    <t>Legal services</t>
  </si>
  <si>
    <t>placeholder</t>
  </si>
  <si>
    <t>placeholder (1 hr legal fee)</t>
  </si>
  <si>
    <t>Dues and subscriptions</t>
  </si>
  <si>
    <t>$300 for 2 OLA memberships + $800 for book covers</t>
  </si>
  <si>
    <t>Book cover image subscription, OLA memberships</t>
  </si>
  <si>
    <t>Book cover image subscription, OLA memberships, OCLC CAT Express, Website fees</t>
  </si>
  <si>
    <t>Postage/freight</t>
  </si>
  <si>
    <t>Printing</t>
  </si>
  <si>
    <t>Supplies, Office</t>
  </si>
  <si>
    <t>Stickers for Sage marketing</t>
  </si>
  <si>
    <t>Travel</t>
  </si>
  <si>
    <t>Beth's estimate for 1 visit per year is $2,500 (includes Brent costs)</t>
  </si>
  <si>
    <t>Training / Prof development</t>
  </si>
  <si>
    <t>2 people to attend Evergreen conference</t>
  </si>
  <si>
    <t xml:space="preserve">2 people to attend Evergreen conference 
</t>
  </si>
  <si>
    <t>Miscellaneous</t>
  </si>
  <si>
    <t>Furniture and equipment</t>
  </si>
  <si>
    <t>Courier</t>
  </si>
  <si>
    <t>LSTA funded</t>
  </si>
  <si>
    <t>LSTA courier grant</t>
  </si>
  <si>
    <t>Sage funded</t>
  </si>
  <si>
    <t>all courier costs excluding Orbis Cascade drop sites (incl labels, clicknship, *stamps.com dropped)</t>
  </si>
  <si>
    <t>All courier costs excluding Orbis Cascade drop sites (incl labels, clicknship, stamps.com, local couriers )</t>
  </si>
  <si>
    <t>Courier TOTAL</t>
  </si>
  <si>
    <t>Member credits</t>
  </si>
  <si>
    <t>Credits from  when SOLF libraries migrated to Sage from former</t>
  </si>
  <si>
    <t>TOTAL MATERIALS AND SERVICES</t>
  </si>
  <si>
    <t>TOTAL OPERATING BUDGET</t>
  </si>
  <si>
    <t>Capital outlay</t>
  </si>
  <si>
    <t>$25,000 based on ??</t>
  </si>
  <si>
    <t>Contingency</t>
  </si>
  <si>
    <t>$1,500 insurance deductible; emergency Equinox reserve; surplus from delayed hiring of SysAdmin Asst., etc.</t>
  </si>
  <si>
    <t>UNAPPROPRIATED ENDING FUND BALANCE</t>
  </si>
  <si>
    <t>*Operating reserve -- balance minimum : $135,000 required for Jul-Oct expenses. Most membership payments received in Nov. 
(LY expenses Jul-Dec: $120,000)</t>
  </si>
  <si>
    <t>TOTAL REQUIREMENTS</t>
  </si>
  <si>
    <t>Resources less requirements</t>
  </si>
  <si>
    <t>Total cash carryover</t>
  </si>
  <si>
    <t>Restricted</t>
  </si>
  <si>
    <t>Temporarily restricted (operations reserve)</t>
  </si>
  <si>
    <t>Increase to $150k (6 mo ops)</t>
  </si>
  <si>
    <t>Unrestricted balance</t>
  </si>
  <si>
    <r>
      <rPr>
        <b/>
        <sz val="12"/>
        <color rgb="FF000000"/>
        <rFont val="Calibri"/>
        <family val="2"/>
      </rPr>
      <t xml:space="preserve">Operating budget less grants 
</t>
    </r>
    <r>
      <rPr>
        <sz val="12"/>
        <color rgb="FF000000"/>
        <rFont val="Calibri"/>
        <family val="2"/>
      </rPr>
      <t>(Total expenses to be covered from membership dues)</t>
    </r>
  </si>
  <si>
    <t>Total expenses to be covered from membership dues</t>
  </si>
  <si>
    <t>Operating expenses minus grant(s). Increase primarily due to PERS, some salary</t>
  </si>
  <si>
    <t>Total fiscal agency fee (2%)</t>
  </si>
  <si>
    <t>Fiscal agency fee less accountant expenses</t>
  </si>
  <si>
    <t>Operating budget TOTAL</t>
  </si>
  <si>
    <t>Personnel + M&amp;S</t>
  </si>
  <si>
    <t>operating income TOTAL</t>
  </si>
  <si>
    <t>Revenue less reserve carryover</t>
  </si>
  <si>
    <t>Oregon Public Library data</t>
  </si>
  <si>
    <t>Service Pop
2015-2016</t>
  </si>
  <si>
    <t>Service Pop
2016-2017</t>
  </si>
  <si>
    <t>Service Pop
2017-2018</t>
  </si>
  <si>
    <t>Service Pop
2018-2019</t>
  </si>
  <si>
    <t>Service Pop
2019-2020</t>
  </si>
  <si>
    <t>Average</t>
  </si>
  <si>
    <t>Total circulation
2015-2016</t>
  </si>
  <si>
    <t>Total circulation
2016-2017</t>
  </si>
  <si>
    <t>Total circulation
2017-2018</t>
  </si>
  <si>
    <t>Total circulation
2018-2019</t>
  </si>
  <si>
    <t>Sage ILL loaned
FY17-18</t>
  </si>
  <si>
    <t>Sage ILL borrowed
FY17-18</t>
  </si>
  <si>
    <t>Sage ILL loaned
FY18-19</t>
  </si>
  <si>
    <t>Sage ILL borrowed
FY18-19</t>
  </si>
  <si>
    <t>Average
Loaned</t>
  </si>
  <si>
    <t>Average
Borrowed</t>
  </si>
  <si>
    <t>Adams Public Library</t>
  </si>
  <si>
    <t>Athena Public Library</t>
  </si>
  <si>
    <t>Baker County Public Library</t>
  </si>
  <si>
    <t>Blue Mountain Community College</t>
  </si>
  <si>
    <t xml:space="preserve">CGCC </t>
  </si>
  <si>
    <t>Echo Public Library</t>
  </si>
  <si>
    <t>Enterprise City Library</t>
  </si>
  <si>
    <t>Fossil Public Library</t>
  </si>
  <si>
    <t>Helix Public Library</t>
  </si>
  <si>
    <t>Hermiston High School Library</t>
  </si>
  <si>
    <t>Hood River County Library District</t>
  </si>
  <si>
    <t>Hood River Valley High School</t>
  </si>
  <si>
    <t>Huntington School Library</t>
  </si>
  <si>
    <t>Joseph City Library</t>
  </si>
  <si>
    <t xml:space="preserve">Klamath Community College </t>
  </si>
  <si>
    <t>La Grande Public Library</t>
  </si>
  <si>
    <t>Lake County Library</t>
  </si>
  <si>
    <t>Milton-Freewater Public Library</t>
  </si>
  <si>
    <t>North Powder Public Library</t>
  </si>
  <si>
    <t>Ontario High School Library</t>
  </si>
  <si>
    <t>Ontario Middle School Library</t>
  </si>
  <si>
    <t>Pendleton Public Library</t>
  </si>
  <si>
    <t>Pilot Rock Public Library</t>
  </si>
  <si>
    <t>Sherman County Public/School Library</t>
  </si>
  <si>
    <t>Slater Elementary</t>
  </si>
  <si>
    <t>Stanfield Public Library</t>
  </si>
  <si>
    <t>Tamastslikt Cultural Institute</t>
  </si>
  <si>
    <t>The Dalles-Wasco County Library District</t>
  </si>
  <si>
    <t>Treasure Valley Community Library</t>
  </si>
  <si>
    <t>Ukiah Public Library</t>
  </si>
  <si>
    <t>Umatilla Public Library</t>
  </si>
  <si>
    <t>Union Carnegie Public Library</t>
  </si>
  <si>
    <t>Vale Emma Humphrey Library</t>
  </si>
  <si>
    <t>Vale High School Library</t>
  </si>
  <si>
    <t>Weston Public Library</t>
  </si>
  <si>
    <t>TOTAL AVG</t>
  </si>
  <si>
    <r>
      <rPr>
        <sz val="11"/>
        <color theme="1"/>
        <rFont val="Calibri"/>
        <family val="2"/>
      </rPr>
      <t>What percentage of cost should be based on</t>
    </r>
    <r>
      <rPr>
        <b/>
        <sz val="11"/>
        <color theme="1"/>
        <rFont val="Calibri"/>
        <family val="2"/>
      </rPr>
      <t xml:space="preserve"> 
active cardholders?</t>
    </r>
  </si>
  <si>
    <r>
      <rPr>
        <sz val="11"/>
        <color theme="1"/>
        <rFont val="Calibri"/>
        <family val="2"/>
      </rPr>
      <t>What percentage of cost should be based on</t>
    </r>
    <r>
      <rPr>
        <b/>
        <sz val="11"/>
        <color theme="1"/>
        <rFont val="Calibri"/>
        <family val="2"/>
      </rPr>
      <t xml:space="preserve"> collection size</t>
    </r>
  </si>
  <si>
    <r>
      <rPr>
        <sz val="11"/>
        <color theme="1"/>
        <rFont val="Calibri"/>
        <family val="2"/>
      </rPr>
      <t>What percentage of cost should be based on amount of</t>
    </r>
    <r>
      <rPr>
        <b/>
        <sz val="11"/>
        <color theme="1"/>
        <rFont val="Calibri"/>
        <family val="2"/>
      </rPr>
      <t xml:space="preserve"> circulation</t>
    </r>
  </si>
  <si>
    <r>
      <rPr>
        <sz val="11"/>
        <color theme="1"/>
        <rFont val="Calibri"/>
        <family val="2"/>
      </rPr>
      <t xml:space="preserve">What percentage of the cost should be determined by a </t>
    </r>
    <r>
      <rPr>
        <b/>
        <sz val="11"/>
        <color theme="1"/>
        <rFont val="Calibri"/>
        <family val="2"/>
      </rPr>
      <t>minimum base fee for all libraries?</t>
    </r>
  </si>
  <si>
    <r>
      <rPr>
        <sz val="11"/>
        <color theme="1"/>
        <rFont val="Calibri"/>
        <family val="2"/>
      </rPr>
      <t>Should Sage</t>
    </r>
    <r>
      <rPr>
        <b/>
        <sz val="11"/>
        <color theme="1"/>
        <rFont val="Calibri"/>
        <family val="2"/>
      </rPr>
      <t xml:space="preserve"> courier costs b</t>
    </r>
    <r>
      <rPr>
        <sz val="11"/>
        <color theme="1"/>
        <rFont val="Calibri"/>
        <family val="2"/>
      </rPr>
      <t>e</t>
    </r>
    <r>
      <rPr>
        <b/>
        <sz val="11"/>
        <color theme="1"/>
        <rFont val="Calibri"/>
        <family val="2"/>
      </rPr>
      <t xml:space="preserve"> prorated </t>
    </r>
    <r>
      <rPr>
        <sz val="11"/>
        <color theme="1"/>
        <rFont val="Calibri"/>
        <family val="2"/>
      </rPr>
      <t>to member libraries according to usage?</t>
    </r>
  </si>
  <si>
    <t>Name</t>
  </si>
  <si>
    <t>Library</t>
  </si>
  <si>
    <t>Yes</t>
  </si>
  <si>
    <t>Delia Fields</t>
  </si>
  <si>
    <t>Maybe</t>
  </si>
  <si>
    <t>Brittany Young</t>
  </si>
  <si>
    <t>Cheryl Hancock</t>
  </si>
  <si>
    <t>Harney County</t>
  </si>
  <si>
    <t>No</t>
  </si>
  <si>
    <t>Darlyne Johnson</t>
  </si>
  <si>
    <t>Ontario Library District</t>
  </si>
  <si>
    <t>Michele Timmons</t>
  </si>
  <si>
    <t>Kim Pena</t>
  </si>
  <si>
    <t>Kathleen Schmidtgall</t>
  </si>
  <si>
    <t>Kathy Street</t>
  </si>
  <si>
    <t>OTLD</t>
  </si>
  <si>
    <t>Vicki Bond</t>
  </si>
  <si>
    <t>JoElle Rau</t>
  </si>
  <si>
    <t>Kip Roberson</t>
  </si>
  <si>
    <t>Cook Memorial Library</t>
  </si>
  <si>
    <t>Cecili Longhorn</t>
  </si>
  <si>
    <t>Jeff Wavrunek</t>
  </si>
  <si>
    <t>The Dalles Wasco County Library District</t>
  </si>
  <si>
    <t>Malissa Minthorn Winks</t>
  </si>
  <si>
    <t>Maggie Guthrie</t>
  </si>
  <si>
    <t>North Powder City Library</t>
  </si>
  <si>
    <t>Ann Zuehlke</t>
  </si>
  <si>
    <t>Hood River High School Library</t>
  </si>
  <si>
    <t>Mary Mitchell</t>
  </si>
  <si>
    <t>Mary Reser</t>
  </si>
  <si>
    <t>Mark Rose</t>
  </si>
  <si>
    <t>Denine Rautenstrauch</t>
  </si>
  <si>
    <t>Jennifer Costley</t>
  </si>
  <si>
    <t>Audrey Durfey</t>
  </si>
  <si>
    <t>Ukiah Public/School Library</t>
  </si>
  <si>
    <t>Debbie Lind</t>
  </si>
  <si>
    <t>Amy Hutchinson</t>
  </si>
  <si>
    <t>Perry Stokes</t>
  </si>
  <si>
    <t>Baker County Library District</t>
  </si>
  <si>
    <t>Matthew Gerlick</t>
  </si>
  <si>
    <t>Tara Dominick</t>
  </si>
  <si>
    <t>Rachael Fox</t>
  </si>
  <si>
    <t>MEDIAN</t>
  </si>
  <si>
    <t>YES</t>
  </si>
  <si>
    <t>AVG</t>
  </si>
  <si>
    <t>MAYBE</t>
  </si>
  <si>
    <t>NO</t>
  </si>
  <si>
    <t>REPLIES</t>
  </si>
  <si>
    <t>RESPONSE RATE</t>
  </si>
  <si>
    <t>Library category</t>
  </si>
  <si>
    <t>Group</t>
  </si>
  <si>
    <t>Pop Fee</t>
  </si>
  <si>
    <t>Active accounts  %</t>
  </si>
  <si>
    <t>Active accounts Fee</t>
  </si>
  <si>
    <t>Active cardholders</t>
  </si>
  <si>
    <t>% Sage Total accounts</t>
  </si>
  <si>
    <t>Cardholder fee</t>
  </si>
  <si>
    <t>Total physical items
as of 01-01-2019</t>
  </si>
  <si>
    <t>% Sage Total Collection</t>
  </si>
  <si>
    <t>Item Fee</t>
  </si>
  <si>
    <t>Collection budget</t>
  </si>
  <si>
    <t>% Collection budget</t>
  </si>
  <si>
    <t>Base Member Operations Fee</t>
  </si>
  <si>
    <t>Average circ (3 years)</t>
  </si>
  <si>
    <t>% Sage Total circ</t>
  </si>
  <si>
    <t>Circ fee</t>
  </si>
  <si>
    <t>Sage ILL loaned
Avg 17/18 18/19</t>
  </si>
  <si>
    <t>Sage ILL borrowed
Avg 17/18 18/19</t>
  </si>
  <si>
    <t>Chg loan/borrow</t>
  </si>
  <si>
    <t>Sage ILL loan/borrow ratio</t>
  </si>
  <si>
    <t>% Sage borrowed</t>
  </si>
  <si>
    <t>Courier fee</t>
  </si>
  <si>
    <t>2020/21 
DRAFT 4 
TOTAL</t>
  </si>
  <si>
    <t>2012/13</t>
  </si>
  <si>
    <t>2013/14</t>
  </si>
  <si>
    <t>2014/15 notes</t>
  </si>
  <si>
    <t>Avg</t>
  </si>
  <si>
    <t>OPTION 1
Per capita rate</t>
  </si>
  <si>
    <t>Year</t>
  </si>
  <si>
    <t>OPTION 2
Per capita rate 
 + mo member tier fee</t>
  </si>
  <si>
    <t>OPTION 3
% Sage pop. * Sage Ops budget ($_x_ min. fee)</t>
  </si>
  <si>
    <t>OPTION 4
$0.x * total items</t>
  </si>
  <si>
    <t>Increase rate</t>
  </si>
  <si>
    <t>Annual fee</t>
  </si>
  <si>
    <t/>
  </si>
  <si>
    <t>Automating/increase applied gradually</t>
  </si>
  <si>
    <t>increase applied in steps</t>
  </si>
  <si>
    <t>gradual decrease to help offset KCC gradual increase</t>
  </si>
  <si>
    <t>Automating</t>
  </si>
  <si>
    <t>PROJECTED EXPENSES</t>
  </si>
  <si>
    <t>Fee income % increase</t>
  </si>
  <si>
    <t>BALANCE</t>
  </si>
  <si>
    <t>UCSLD TOTAL</t>
  </si>
  <si>
    <t>Median</t>
  </si>
  <si>
    <t>OPTION X
(Sample 9.2)</t>
  </si>
  <si>
    <t>2021-2022</t>
  </si>
  <si>
    <t>2022-2023</t>
  </si>
  <si>
    <t>2023-2024</t>
  </si>
  <si>
    <t>2024-2025</t>
  </si>
  <si>
    <t>2025-2026</t>
  </si>
  <si>
    <t>OPTION X
(Sample 9.2b)</t>
  </si>
  <si>
    <t>OPTION X
(Sample 9.2c)</t>
  </si>
  <si>
    <t>STANDARD
2020/21
Fee schedule</t>
  </si>
  <si>
    <t>$ Chg</t>
  </si>
  <si>
    <t>% Chg</t>
  </si>
  <si>
    <t>Year 1</t>
  </si>
  <si>
    <t>Year 2</t>
  </si>
  <si>
    <t>Year 3</t>
  </si>
  <si>
    <t>Year 4</t>
  </si>
  <si>
    <t>Year 5</t>
  </si>
  <si>
    <t>$ Chg vs 9.2</t>
  </si>
  <si>
    <t>DEFAULT
2020/21
Fee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</si>
</sst>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164" formatCode="0.0%"/>
    <numFmt numFmtId="165" formatCode="&quot;$&quot;#,##0.00"/>
    <numFmt numFmtId="166" formatCode="&quot;$&quot;#,##0"/>
    <numFmt numFmtId="167" formatCode="_(* #,##0_);_(* \(#,##0\);_(* &quot;-&quot;??_);_(@_)"/>
    <numFmt numFmtId="168" formatCode="m/d/yy"/>
    <numFmt numFmtId="169" formatCode="&quot;$&quot;#,##0;[Red]&quot;$&quot;#,##0"/>
    <numFmt numFmtId="170" formatCode="0.0"/>
    <numFmt numFmtId="171" formatCode="&quot;$&quot;#,##0.0"/>
  </numFmts>
  <fonts count="40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8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1"/>
      <color rgb="FFFF0000"/>
      <name val="Calibri"/>
      <family val="2"/>
    </font>
    <font>
      <b/>
      <sz val="11"/>
      <color rgb="FF006100"/>
      <name val="Calibri"/>
      <family val="2"/>
    </font>
    <font>
      <sz val="11"/>
      <color rgb="FF006100"/>
      <name val="Calibri"/>
      <family val="2"/>
    </font>
    <font>
      <sz val="11"/>
      <color rgb="FF0070C0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Calibri"/>
      <family val="2"/>
    </font>
    <font>
      <u/>
      <sz val="11"/>
      <color theme="10"/>
      <name val="Calibri"/>
      <family val="2"/>
    </font>
    <font>
      <sz val="11"/>
      <color rgb="FF4A86E8"/>
      <name val="Calibri"/>
      <family val="2"/>
    </font>
    <font>
      <sz val="12"/>
      <color theme="1"/>
      <name val="Calibri"/>
      <family val="2"/>
    </font>
    <font>
      <b/>
      <sz val="11"/>
      <color rgb="FF7F7F7F"/>
      <name val="Calibri"/>
      <family val="2"/>
    </font>
    <font>
      <sz val="11"/>
      <color rgb="FF7F7F7F"/>
      <name val="Calibri"/>
      <family val="2"/>
    </font>
    <font>
      <b/>
      <sz val="11"/>
      <color rgb="FF0070C0"/>
      <name val="Calibri"/>
      <family val="2"/>
    </font>
    <font>
      <sz val="11"/>
      <color rgb="FFDBD8D2"/>
      <name val="Open Sans"/>
      <family val="2"/>
    </font>
    <font>
      <b/>
      <sz val="16"/>
      <color rgb="FF000000"/>
      <name val="Calibri"/>
      <family val="2"/>
    </font>
    <font>
      <u/>
      <sz val="11"/>
      <color rgb="FFFF0000"/>
      <name val="Calibri"/>
      <family val="2"/>
    </font>
    <font>
      <sz val="11"/>
      <color rgb="FF990000"/>
      <name val="Calibri"/>
      <family val="2"/>
    </font>
    <font>
      <sz val="11"/>
      <color rgb="FFCC0000"/>
      <name val="Calibri"/>
      <family val="2"/>
    </font>
    <font>
      <sz val="11"/>
      <color rgb="FF9C0006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0"/>
      <color theme="1"/>
      <name val="Arial"/>
      <family val="2"/>
    </font>
    <font>
      <sz val="11"/>
      <color rgb="FF9C65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DEEAF6"/>
        <bgColor rgb="FFDEEAF6"/>
      </patternFill>
    </fill>
    <fill>
      <patternFill patternType="solid">
        <fgColor rgb="FFD9D9D9"/>
        <bgColor rgb="FFD9D9D9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FFF99"/>
        <bgColor rgb="FFFFFF99"/>
      </patternFill>
    </fill>
    <fill>
      <patternFill patternType="solid">
        <fgColor rgb="FFC6EFCE"/>
        <bgColor rgb="FFC6EFCE"/>
      </patternFill>
    </fill>
    <fill>
      <patternFill patternType="solid">
        <fgColor rgb="FFFF0000"/>
        <bgColor rgb="FFFF0000"/>
      </patternFill>
    </fill>
    <fill>
      <patternFill patternType="solid">
        <fgColor rgb="FFD9E2F3"/>
        <bgColor rgb="FFD9E2F3"/>
      </patternFill>
    </fill>
    <fill>
      <patternFill patternType="solid">
        <fgColor rgb="FFF4CCCC"/>
        <bgColor rgb="FFF4CCCC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D6DCE4"/>
        <bgColor rgb="FFD6DCE4"/>
      </patternFill>
    </fill>
    <fill>
      <patternFill patternType="solid">
        <fgColor rgb="FFD8D8D8"/>
        <bgColor rgb="FFD8D8D8"/>
      </patternFill>
    </fill>
    <fill>
      <patternFill patternType="solid">
        <fgColor rgb="FF1F2122"/>
        <bgColor rgb="FF1F2122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F2DBDB"/>
        <bgColor rgb="FFF2DBDB"/>
      </patternFill>
    </fill>
    <fill>
      <patternFill patternType="solid">
        <fgColor rgb="FFE5DFEC"/>
        <bgColor rgb="FFE5DFEC"/>
      </patternFill>
    </fill>
    <fill>
      <patternFill patternType="solid">
        <fgColor rgb="FFCCC0D9"/>
        <bgColor rgb="FFCCC0D9"/>
      </patternFill>
    </fill>
    <fill>
      <patternFill patternType="solid">
        <fgColor rgb="FFFFFFCC"/>
        <bgColor rgb="FFFFFFCC"/>
      </patternFill>
    </fill>
    <fill>
      <patternFill patternType="solid">
        <fgColor rgb="FFD6E3BC"/>
        <bgColor rgb="FFD6E3BC"/>
      </patternFill>
    </fill>
    <fill>
      <patternFill patternType="solid">
        <fgColor rgb="FFEAF1DD"/>
        <bgColor rgb="FFEAF1DD"/>
      </patternFill>
    </fill>
    <fill>
      <patternFill patternType="solid">
        <fgColor rgb="FFFFF2CC"/>
        <bgColor rgb="FFFFF2CC"/>
      </patternFill>
    </fill>
    <fill>
      <patternFill patternType="solid">
        <fgColor rgb="FFF2DCDB"/>
        <bgColor rgb="FFF2DCDB"/>
      </patternFill>
    </fill>
    <fill>
      <patternFill patternType="solid">
        <fgColor rgb="FFFFC7CE"/>
        <bgColor rgb="FFFFC7CE"/>
      </patternFill>
    </fill>
    <fill>
      <patternFill patternType="solid">
        <fgColor rgb="FFFF9900"/>
        <bgColor rgb="FFFF9900"/>
      </patternFill>
    </fill>
    <fill>
      <patternFill patternType="solid">
        <fgColor rgb="FFE7E6E6"/>
        <bgColor rgb="FFE7E6E6"/>
      </patternFill>
    </fill>
    <fill>
      <patternFill patternType="solid">
        <fgColor rgb="FFFFEB9C"/>
        <bgColor rgb="FFFFEB9C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414141"/>
      </left>
      <right style="medium">
        <color rgb="FF414141"/>
      </right>
      <top style="medium">
        <color rgb="FF414141"/>
      </top>
      <bottom style="medium">
        <color rgb="FF41414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571">
    <xf numFmtId="0" fontId="0" fillId="0" borderId="0" xfId="0" applyFont="1" applyAlignment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49" fontId="1" fillId="0" borderId="0" xfId="0" applyNumberFormat="1" applyFont="1"/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wrapText="1"/>
    </xf>
    <xf numFmtId="49" fontId="3" fillId="3" borderId="1" xfId="0" applyNumberFormat="1" applyFont="1" applyFill="1" applyBorder="1" applyAlignment="1">
      <alignment horizontal="center" wrapText="1"/>
    </xf>
    <xf numFmtId="49" fontId="0" fillId="0" borderId="0" xfId="0" applyNumberFormat="1" applyFont="1"/>
    <xf numFmtId="49" fontId="0" fillId="0" borderId="0" xfId="0" applyNumberFormat="1" applyFont="1" applyAlignment="1">
      <alignment wrapText="1"/>
    </xf>
    <xf numFmtId="49" fontId="0" fillId="4" borderId="1" xfId="0" applyNumberFormat="1" applyFont="1" applyFill="1" applyBorder="1"/>
    <xf numFmtId="49" fontId="3" fillId="5" borderId="1" xfId="0" applyNumberFormat="1" applyFont="1" applyFill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3" fontId="1" fillId="6" borderId="1" xfId="0" applyNumberFormat="1" applyFont="1" applyFill="1" applyBorder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49" fontId="0" fillId="0" borderId="0" xfId="0" applyNumberFormat="1" applyFont="1" applyAlignment="1">
      <alignment horizontal="center" wrapText="1"/>
    </xf>
    <xf numFmtId="3" fontId="1" fillId="7" borderId="1" xfId="0" applyNumberFormat="1" applyFont="1" applyFill="1" applyBorder="1" applyAlignment="1">
      <alignment horizontal="center" wrapText="1"/>
    </xf>
    <xf numFmtId="2" fontId="1" fillId="7" borderId="1" xfId="0" applyNumberFormat="1" applyFont="1" applyFill="1" applyBorder="1" applyAlignment="1">
      <alignment horizontal="center" wrapText="1"/>
    </xf>
    <xf numFmtId="0" fontId="0" fillId="0" borderId="0" xfId="0" applyFont="1"/>
    <xf numFmtId="3" fontId="1" fillId="8" borderId="1" xfId="0" applyNumberFormat="1" applyFont="1" applyFill="1" applyBorder="1" applyAlignment="1">
      <alignment horizontal="center" wrapText="1"/>
    </xf>
    <xf numFmtId="3" fontId="1" fillId="9" borderId="1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right" wrapText="1"/>
    </xf>
    <xf numFmtId="49" fontId="4" fillId="0" borderId="0" xfId="0" applyNumberFormat="1" applyFont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2" fontId="4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164" fontId="5" fillId="0" borderId="0" xfId="0" applyNumberFormat="1" applyFont="1" applyAlignment="1">
      <alignment horizontal="center" wrapText="1"/>
    </xf>
    <xf numFmtId="164" fontId="4" fillId="0" borderId="0" xfId="0" applyNumberFormat="1" applyFont="1"/>
    <xf numFmtId="4" fontId="4" fillId="0" borderId="0" xfId="0" applyNumberFormat="1" applyFont="1"/>
    <xf numFmtId="0" fontId="4" fillId="4" borderId="1" xfId="0" applyFont="1" applyFill="1" applyBorder="1"/>
    <xf numFmtId="164" fontId="6" fillId="0" borderId="0" xfId="0" applyNumberFormat="1" applyFont="1" applyAlignment="1">
      <alignment horizontal="center" wrapText="1"/>
    </xf>
    <xf numFmtId="164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4" fillId="0" borderId="0" xfId="0" applyFont="1"/>
    <xf numFmtId="165" fontId="4" fillId="0" borderId="0" xfId="0" applyNumberFormat="1" applyFont="1" applyAlignment="1">
      <alignment horizontal="center" wrapText="1"/>
    </xf>
    <xf numFmtId="166" fontId="4" fillId="0" borderId="0" xfId="0" applyNumberFormat="1" applyFont="1"/>
    <xf numFmtId="0" fontId="1" fillId="0" borderId="0" xfId="0" applyFont="1" applyAlignment="1">
      <alignment horizontal="right" wrapText="1"/>
    </xf>
    <xf numFmtId="49" fontId="1" fillId="0" borderId="0" xfId="0" applyNumberFormat="1" applyFont="1" applyAlignment="1">
      <alignment horizontal="right" wrapText="1"/>
    </xf>
    <xf numFmtId="3" fontId="1" fillId="0" borderId="0" xfId="0" applyNumberFormat="1" applyFont="1" applyAlignment="1">
      <alignment horizontal="right" wrapText="1"/>
    </xf>
    <xf numFmtId="164" fontId="2" fillId="0" borderId="0" xfId="0" applyNumberFormat="1" applyFont="1" applyAlignment="1">
      <alignment horizontal="center" wrapText="1"/>
    </xf>
    <xf numFmtId="164" fontId="0" fillId="0" borderId="0" xfId="0" applyNumberFormat="1" applyFont="1"/>
    <xf numFmtId="4" fontId="0" fillId="0" borderId="0" xfId="0" applyNumberFormat="1" applyFont="1"/>
    <xf numFmtId="0" fontId="0" fillId="4" borderId="1" xfId="0" applyFont="1" applyFill="1" applyBorder="1"/>
    <xf numFmtId="164" fontId="7" fillId="0" borderId="0" xfId="0" applyNumberFormat="1" applyFont="1" applyAlignment="1">
      <alignment horizontal="center" wrapText="1"/>
    </xf>
    <xf numFmtId="9" fontId="2" fillId="0" borderId="0" xfId="0" applyNumberFormat="1" applyFont="1" applyAlignment="1">
      <alignment horizontal="center" wrapText="1"/>
    </xf>
    <xf numFmtId="9" fontId="1" fillId="0" borderId="0" xfId="0" applyNumberFormat="1" applyFont="1" applyAlignment="1">
      <alignment horizontal="center" wrapText="1"/>
    </xf>
    <xf numFmtId="9" fontId="1" fillId="0" borderId="0" xfId="0" applyNumberFormat="1" applyFont="1"/>
    <xf numFmtId="9" fontId="8" fillId="10" borderId="1" xfId="0" applyNumberFormat="1" applyFont="1" applyFill="1" applyBorder="1" applyAlignment="1">
      <alignment horizontal="center" wrapText="1"/>
    </xf>
    <xf numFmtId="0" fontId="1" fillId="0" borderId="0" xfId="0" applyFont="1"/>
    <xf numFmtId="166" fontId="0" fillId="0" borderId="0" xfId="0" applyNumberFormat="1" applyFont="1"/>
    <xf numFmtId="9" fontId="0" fillId="0" borderId="0" xfId="0" applyNumberFormat="1" applyFont="1"/>
    <xf numFmtId="9" fontId="1" fillId="0" borderId="2" xfId="0" applyNumberFormat="1" applyFont="1" applyBorder="1" applyAlignment="1">
      <alignment horizontal="center" wrapText="1"/>
    </xf>
    <xf numFmtId="2" fontId="1" fillId="0" borderId="0" xfId="0" applyNumberFormat="1" applyFont="1"/>
    <xf numFmtId="2" fontId="9" fillId="10" borderId="1" xfId="0" applyNumberFormat="1" applyFont="1" applyFill="1" applyBorder="1"/>
    <xf numFmtId="0" fontId="10" fillId="11" borderId="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49" fontId="12" fillId="12" borderId="1" xfId="0" applyNumberFormat="1" applyFont="1" applyFill="1" applyBorder="1" applyAlignment="1">
      <alignment horizontal="right" wrapText="1"/>
    </xf>
    <xf numFmtId="49" fontId="13" fillId="0" borderId="0" xfId="0" applyNumberFormat="1" applyFont="1" applyAlignment="1">
      <alignment horizontal="right" wrapText="1"/>
    </xf>
    <xf numFmtId="3" fontId="12" fillId="0" borderId="0" xfId="0" applyNumberFormat="1" applyFont="1" applyAlignment="1">
      <alignment horizontal="right" wrapText="1"/>
    </xf>
    <xf numFmtId="10" fontId="0" fillId="0" borderId="0" xfId="0" applyNumberFormat="1" applyFont="1" applyAlignment="1">
      <alignment horizontal="right"/>
    </xf>
    <xf numFmtId="0" fontId="14" fillId="0" borderId="0" xfId="0" applyFont="1"/>
    <xf numFmtId="3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3" fontId="15" fillId="0" borderId="0" xfId="0" applyNumberFormat="1" applyFont="1"/>
    <xf numFmtId="3" fontId="16" fillId="0" borderId="0" xfId="0" applyNumberFormat="1" applyFont="1"/>
    <xf numFmtId="4" fontId="12" fillId="0" borderId="0" xfId="0" applyNumberFormat="1" applyFont="1"/>
    <xf numFmtId="164" fontId="17" fillId="0" borderId="0" xfId="0" applyNumberFormat="1" applyFont="1"/>
    <xf numFmtId="9" fontId="16" fillId="0" borderId="0" xfId="0" applyNumberFormat="1" applyFont="1"/>
    <xf numFmtId="167" fontId="16" fillId="0" borderId="0" xfId="0" applyNumberFormat="1" applyFont="1"/>
    <xf numFmtId="164" fontId="16" fillId="0" borderId="0" xfId="0" applyNumberFormat="1" applyFont="1"/>
    <xf numFmtId="3" fontId="1" fillId="0" borderId="0" xfId="0" applyNumberFormat="1" applyFont="1"/>
    <xf numFmtId="166" fontId="0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0" fontId="12" fillId="11" borderId="1" xfId="0" applyFont="1" applyFill="1" applyBorder="1" applyAlignment="1">
      <alignment horizontal="right"/>
    </xf>
    <xf numFmtId="3" fontId="16" fillId="13" borderId="1" xfId="0" applyNumberFormat="1" applyFont="1" applyFill="1" applyBorder="1"/>
    <xf numFmtId="0" fontId="10" fillId="0" borderId="0" xfId="0" applyFont="1" applyAlignment="1">
      <alignment horizontal="right"/>
    </xf>
    <xf numFmtId="49" fontId="12" fillId="7" borderId="1" xfId="0" applyNumberFormat="1" applyFont="1" applyFill="1" applyBorder="1" applyAlignment="1">
      <alignment horizontal="right" wrapText="1"/>
    </xf>
    <xf numFmtId="49" fontId="10" fillId="0" borderId="0" xfId="0" applyNumberFormat="1" applyFont="1" applyAlignment="1">
      <alignment horizontal="right" wrapText="1"/>
    </xf>
    <xf numFmtId="0" fontId="0" fillId="0" borderId="0" xfId="0" applyFont="1" applyAlignment="1">
      <alignment horizontal="right"/>
    </xf>
    <xf numFmtId="49" fontId="12" fillId="0" borderId="0" xfId="0" applyNumberFormat="1" applyFont="1" applyAlignment="1">
      <alignment horizontal="right" wrapText="1"/>
    </xf>
    <xf numFmtId="49" fontId="0" fillId="0" borderId="0" xfId="0" applyNumberFormat="1" applyFont="1" applyAlignment="1">
      <alignment horizontal="right" wrapText="1"/>
    </xf>
    <xf numFmtId="49" fontId="0" fillId="0" borderId="0" xfId="0" applyNumberFormat="1" applyFont="1" applyAlignment="1">
      <alignment horizontal="right"/>
    </xf>
    <xf numFmtId="49" fontId="18" fillId="6" borderId="1" xfId="0" applyNumberFormat="1" applyFont="1" applyFill="1" applyBorder="1" applyAlignment="1">
      <alignment horizontal="right"/>
    </xf>
    <xf numFmtId="49" fontId="0" fillId="0" borderId="0" xfId="0" applyNumberFormat="1" applyFont="1" applyAlignment="1">
      <alignment horizontal="left" wrapText="1"/>
    </xf>
    <xf numFmtId="49" fontId="19" fillId="0" borderId="0" xfId="0" applyNumberFormat="1" applyFont="1" applyAlignment="1">
      <alignment horizontal="right"/>
    </xf>
    <xf numFmtId="0" fontId="20" fillId="6" borderId="1" xfId="0" applyFont="1" applyFill="1" applyBorder="1" applyAlignment="1">
      <alignment horizontal="right"/>
    </xf>
    <xf numFmtId="49" fontId="12" fillId="14" borderId="1" xfId="0" applyNumberFormat="1" applyFont="1" applyFill="1" applyBorder="1" applyAlignment="1">
      <alignment horizontal="right" wrapText="1"/>
    </xf>
    <xf numFmtId="167" fontId="21" fillId="0" borderId="0" xfId="0" applyNumberFormat="1" applyFont="1"/>
    <xf numFmtId="3" fontId="7" fillId="0" borderId="0" xfId="0" applyNumberFormat="1" applyFont="1"/>
    <xf numFmtId="49" fontId="0" fillId="15" borderId="1" xfId="0" applyNumberFormat="1" applyFont="1" applyFill="1" applyBorder="1" applyAlignment="1">
      <alignment horizontal="right" wrapText="1"/>
    </xf>
    <xf numFmtId="0" fontId="13" fillId="0" borderId="0" xfId="0" applyFont="1" applyAlignment="1">
      <alignment horizontal="right"/>
    </xf>
    <xf numFmtId="0" fontId="0" fillId="11" borderId="1" xfId="0" applyFont="1" applyFill="1" applyBorder="1" applyAlignment="1">
      <alignment horizontal="right"/>
    </xf>
    <xf numFmtId="49" fontId="12" fillId="3" borderId="1" xfId="0" applyNumberFormat="1" applyFont="1" applyFill="1" applyBorder="1" applyAlignment="1">
      <alignment horizontal="right" wrapText="1"/>
    </xf>
    <xf numFmtId="3" fontId="15" fillId="6" borderId="1" xfId="0" applyNumberFormat="1" applyFont="1" applyFill="1" applyBorder="1"/>
    <xf numFmtId="0" fontId="1" fillId="6" borderId="1" xfId="0" applyFont="1" applyFill="1" applyBorder="1"/>
    <xf numFmtId="3" fontId="16" fillId="6" borderId="1" xfId="0" applyNumberFormat="1" applyFont="1" applyFill="1" applyBorder="1"/>
    <xf numFmtId="3" fontId="1" fillId="4" borderId="1" xfId="0" applyNumberFormat="1" applyFont="1" applyFill="1" applyBorder="1"/>
    <xf numFmtId="0" fontId="0" fillId="6" borderId="1" xfId="0" applyFont="1" applyFill="1" applyBorder="1"/>
    <xf numFmtId="0" fontId="12" fillId="0" borderId="0" xfId="0" applyFont="1" applyAlignment="1">
      <alignment horizontal="right"/>
    </xf>
    <xf numFmtId="49" fontId="0" fillId="14" borderId="1" xfId="0" applyNumberFormat="1" applyFont="1" applyFill="1" applyBorder="1" applyAlignment="1">
      <alignment horizontal="right" wrapText="1"/>
    </xf>
    <xf numFmtId="0" fontId="0" fillId="0" borderId="3" xfId="0" applyFont="1" applyBorder="1" applyAlignment="1">
      <alignment horizontal="right"/>
    </xf>
    <xf numFmtId="0" fontId="22" fillId="0" borderId="3" xfId="0" applyFont="1" applyBorder="1" applyAlignment="1">
      <alignment horizontal="right"/>
    </xf>
    <xf numFmtId="49" fontId="0" fillId="14" borderId="3" xfId="0" applyNumberFormat="1" applyFont="1" applyFill="1" applyBorder="1" applyAlignment="1">
      <alignment horizontal="right" wrapText="1"/>
    </xf>
    <xf numFmtId="0" fontId="12" fillId="11" borderId="3" xfId="0" applyFont="1" applyFill="1" applyBorder="1" applyAlignment="1">
      <alignment horizontal="right"/>
    </xf>
    <xf numFmtId="49" fontId="12" fillId="7" borderId="3" xfId="0" applyNumberFormat="1" applyFont="1" applyFill="1" applyBorder="1" applyAlignment="1">
      <alignment horizontal="right" wrapText="1"/>
    </xf>
    <xf numFmtId="3" fontId="15" fillId="16" borderId="1" xfId="0" applyNumberFormat="1" applyFont="1" applyFill="1" applyBorder="1"/>
    <xf numFmtId="3" fontId="16" fillId="17" borderId="1" xfId="0" applyNumberFormat="1" applyFont="1" applyFill="1" applyBorder="1"/>
    <xf numFmtId="49" fontId="0" fillId="7" borderId="1" xfId="0" applyNumberFormat="1" applyFont="1" applyFill="1" applyBorder="1" applyAlignment="1">
      <alignment horizontal="right" wrapText="1"/>
    </xf>
    <xf numFmtId="49" fontId="0" fillId="16" borderId="1" xfId="0" applyNumberFormat="1" applyFont="1" applyFill="1" applyBorder="1" applyAlignment="1">
      <alignment horizontal="right" wrapText="1"/>
    </xf>
    <xf numFmtId="49" fontId="0" fillId="16" borderId="1" xfId="0" applyNumberFormat="1" applyFont="1" applyFill="1" applyBorder="1" applyAlignment="1">
      <alignment horizontal="left" wrapText="1"/>
    </xf>
    <xf numFmtId="49" fontId="0" fillId="18" borderId="1" xfId="0" applyNumberFormat="1" applyFont="1" applyFill="1" applyBorder="1" applyAlignment="1">
      <alignment horizontal="right" wrapText="1"/>
    </xf>
    <xf numFmtId="49" fontId="12" fillId="15" borderId="1" xfId="0" applyNumberFormat="1" applyFont="1" applyFill="1" applyBorder="1" applyAlignment="1">
      <alignment horizontal="right" wrapText="1"/>
    </xf>
    <xf numFmtId="49" fontId="12" fillId="18" borderId="1" xfId="0" applyNumberFormat="1" applyFont="1" applyFill="1" applyBorder="1" applyAlignment="1">
      <alignment horizontal="right" wrapText="1"/>
    </xf>
    <xf numFmtId="0" fontId="23" fillId="11" borderId="1" xfId="0" applyFont="1" applyFill="1" applyBorder="1" applyAlignment="1">
      <alignment horizontal="right"/>
    </xf>
    <xf numFmtId="49" fontId="23" fillId="0" borderId="0" xfId="0" applyNumberFormat="1" applyFont="1" applyAlignment="1">
      <alignment horizontal="right" wrapText="1"/>
    </xf>
    <xf numFmtId="3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right"/>
    </xf>
    <xf numFmtId="3" fontId="24" fillId="0" borderId="0" xfId="0" applyNumberFormat="1" applyFont="1"/>
    <xf numFmtId="3" fontId="17" fillId="0" borderId="0" xfId="0" applyNumberFormat="1" applyFont="1"/>
    <xf numFmtId="0" fontId="16" fillId="0" borderId="0" xfId="0" applyFont="1" applyAlignment="1">
      <alignment horizontal="right"/>
    </xf>
    <xf numFmtId="49" fontId="16" fillId="0" borderId="0" xfId="0" applyNumberFormat="1" applyFont="1" applyAlignment="1">
      <alignment horizontal="right" wrapText="1"/>
    </xf>
    <xf numFmtId="3" fontId="16" fillId="0" borderId="0" xfId="0" applyNumberFormat="1" applyFont="1" applyAlignment="1">
      <alignment horizontal="right" wrapText="1"/>
    </xf>
    <xf numFmtId="164" fontId="16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0" fontId="17" fillId="0" borderId="0" xfId="0" applyFont="1"/>
    <xf numFmtId="4" fontId="17" fillId="0" borderId="0" xfId="0" applyNumberFormat="1" applyFont="1"/>
    <xf numFmtId="0" fontId="17" fillId="4" borderId="1" xfId="0" applyFont="1" applyFill="1" applyBorder="1"/>
    <xf numFmtId="0" fontId="16" fillId="19" borderId="1" xfId="0" applyFont="1" applyFill="1" applyBorder="1" applyAlignment="1">
      <alignment horizontal="right"/>
    </xf>
    <xf numFmtId="49" fontId="16" fillId="19" borderId="1" xfId="0" applyNumberFormat="1" applyFont="1" applyFill="1" applyBorder="1" applyAlignment="1">
      <alignment horizontal="right" wrapText="1"/>
    </xf>
    <xf numFmtId="3" fontId="1" fillId="19" borderId="1" xfId="0" applyNumberFormat="1" applyFont="1" applyFill="1" applyBorder="1"/>
    <xf numFmtId="164" fontId="0" fillId="19" borderId="1" xfId="0" applyNumberFormat="1" applyFont="1" applyFill="1" applyBorder="1" applyAlignment="1">
      <alignment horizontal="right"/>
    </xf>
    <xf numFmtId="9" fontId="0" fillId="19" borderId="1" xfId="0" applyNumberFormat="1" applyFont="1" applyFill="1" applyBorder="1" applyAlignment="1">
      <alignment horizontal="right"/>
    </xf>
    <xf numFmtId="3" fontId="16" fillId="4" borderId="1" xfId="0" applyNumberFormat="1" applyFont="1" applyFill="1" applyBorder="1"/>
    <xf numFmtId="3" fontId="16" fillId="19" borderId="1" xfId="0" applyNumberFormat="1" applyFont="1" applyFill="1" applyBorder="1"/>
    <xf numFmtId="4" fontId="17" fillId="19" borderId="1" xfId="0" applyNumberFormat="1" applyFont="1" applyFill="1" applyBorder="1"/>
    <xf numFmtId="164" fontId="16" fillId="19" borderId="1" xfId="0" applyNumberFormat="1" applyFont="1" applyFill="1" applyBorder="1"/>
    <xf numFmtId="0" fontId="17" fillId="19" borderId="1" xfId="0" applyFont="1" applyFill="1" applyBorder="1"/>
    <xf numFmtId="166" fontId="16" fillId="4" borderId="1" xfId="0" applyNumberFormat="1" applyFont="1" applyFill="1" applyBorder="1"/>
    <xf numFmtId="0" fontId="0" fillId="19" borderId="1" xfId="0" applyFont="1" applyFill="1" applyBorder="1"/>
    <xf numFmtId="2" fontId="0" fillId="0" borderId="0" xfId="0" applyNumberFormat="1" applyFont="1"/>
    <xf numFmtId="3" fontId="0" fillId="0" borderId="0" xfId="0" applyNumberFormat="1" applyFont="1"/>
    <xf numFmtId="166" fontId="1" fillId="0" borderId="0" xfId="0" applyNumberFormat="1" applyFont="1"/>
    <xf numFmtId="3" fontId="0" fillId="0" borderId="0" xfId="0" applyNumberFormat="1" applyFont="1" applyAlignment="1">
      <alignment horizontal="right" wrapText="1"/>
    </xf>
    <xf numFmtId="164" fontId="0" fillId="0" borderId="0" xfId="0" applyNumberFormat="1" applyFont="1" applyAlignment="1">
      <alignment horizontal="right" wrapText="1"/>
    </xf>
    <xf numFmtId="3" fontId="12" fillId="0" borderId="0" xfId="0" applyNumberFormat="1" applyFont="1"/>
    <xf numFmtId="9" fontId="25" fillId="0" borderId="0" xfId="0" applyNumberFormat="1" applyFont="1"/>
    <xf numFmtId="0" fontId="26" fillId="0" borderId="0" xfId="0" applyFont="1"/>
    <xf numFmtId="3" fontId="2" fillId="0" borderId="0" xfId="0" applyNumberFormat="1" applyFont="1"/>
    <xf numFmtId="164" fontId="1" fillId="0" borderId="0" xfId="0" applyNumberFormat="1" applyFont="1"/>
    <xf numFmtId="164" fontId="0" fillId="4" borderId="1" xfId="0" applyNumberFormat="1" applyFont="1" applyFill="1" applyBorder="1"/>
    <xf numFmtId="3" fontId="0" fillId="0" borderId="0" xfId="0" applyNumberFormat="1" applyFont="1" applyAlignment="1">
      <alignment wrapText="1"/>
    </xf>
    <xf numFmtId="0" fontId="0" fillId="0" borderId="4" xfId="0" applyFont="1" applyBorder="1" applyAlignment="1">
      <alignment horizontal="right" wrapText="1"/>
    </xf>
    <xf numFmtId="0" fontId="12" fillId="0" borderId="0" xfId="0" applyFont="1"/>
    <xf numFmtId="4" fontId="0" fillId="4" borderId="1" xfId="0" applyNumberFormat="1" applyFont="1" applyFill="1" applyBorder="1"/>
    <xf numFmtId="1" fontId="0" fillId="0" borderId="0" xfId="0" applyNumberFormat="1" applyFont="1"/>
    <xf numFmtId="0" fontId="27" fillId="0" borderId="0" xfId="0" applyFont="1" applyAlignment="1">
      <alignment horizontal="right"/>
    </xf>
    <xf numFmtId="0" fontId="28" fillId="20" borderId="5" xfId="0" applyFont="1" applyFill="1" applyBorder="1" applyAlignment="1">
      <alignment vertical="center" wrapText="1"/>
    </xf>
    <xf numFmtId="49" fontId="27" fillId="0" borderId="0" xfId="0" applyNumberFormat="1" applyFont="1" applyAlignment="1">
      <alignment horizontal="right" wrapText="1"/>
    </xf>
    <xf numFmtId="0" fontId="29" fillId="0" borderId="0" xfId="0" applyFont="1"/>
    <xf numFmtId="0" fontId="0" fillId="21" borderId="1" xfId="0" applyFont="1" applyFill="1" applyBorder="1"/>
    <xf numFmtId="0" fontId="0" fillId="22" borderId="1" xfId="0" applyFont="1" applyFill="1" applyBorder="1"/>
    <xf numFmtId="0" fontId="0" fillId="23" borderId="1" xfId="0" applyFont="1" applyFill="1" applyBorder="1" applyAlignment="1">
      <alignment horizontal="center"/>
    </xf>
    <xf numFmtId="0" fontId="0" fillId="24" borderId="1" xfId="0" applyFont="1" applyFill="1" applyBorder="1"/>
    <xf numFmtId="0" fontId="0" fillId="25" borderId="1" xfId="0" applyFont="1" applyFill="1" applyBorder="1" applyAlignment="1">
      <alignment horizontal="center"/>
    </xf>
    <xf numFmtId="3" fontId="0" fillId="26" borderId="1" xfId="0" applyNumberFormat="1" applyFont="1" applyFill="1" applyBorder="1" applyAlignment="1">
      <alignment horizontal="center"/>
    </xf>
    <xf numFmtId="3" fontId="0" fillId="25" borderId="1" xfId="0" applyNumberFormat="1" applyFont="1" applyFill="1" applyBorder="1" applyAlignment="1">
      <alignment horizontal="center"/>
    </xf>
    <xf numFmtId="3" fontId="0" fillId="24" borderId="1" xfId="0" applyNumberFormat="1" applyFont="1" applyFill="1" applyBorder="1" applyAlignment="1">
      <alignment horizontal="center"/>
    </xf>
    <xf numFmtId="0" fontId="0" fillId="27" borderId="1" xfId="0" applyFont="1" applyFill="1" applyBorder="1" applyAlignment="1">
      <alignment horizontal="center"/>
    </xf>
    <xf numFmtId="3" fontId="0" fillId="6" borderId="1" xfId="0" applyNumberFormat="1" applyFont="1" applyFill="1" applyBorder="1" applyAlignment="1">
      <alignment horizontal="center"/>
    </xf>
    <xf numFmtId="0" fontId="0" fillId="28" borderId="1" xfId="0" applyFont="1" applyFill="1" applyBorder="1"/>
    <xf numFmtId="0" fontId="29" fillId="0" borderId="0" xfId="0" applyFont="1" applyAlignment="1">
      <alignment wrapText="1"/>
    </xf>
    <xf numFmtId="0" fontId="29" fillId="5" borderId="1" xfId="0" applyFont="1" applyFill="1" applyBorder="1" applyAlignment="1">
      <alignment horizontal="center" wrapText="1"/>
    </xf>
    <xf numFmtId="0" fontId="0" fillId="7" borderId="1" xfId="0" applyFont="1" applyFill="1" applyBorder="1"/>
    <xf numFmtId="3" fontId="29" fillId="0" borderId="0" xfId="0" applyNumberFormat="1" applyFont="1"/>
    <xf numFmtId="0" fontId="29" fillId="29" borderId="1" xfId="0" applyFont="1" applyFill="1" applyBorder="1" applyAlignment="1">
      <alignment horizontal="center" wrapText="1"/>
    </xf>
    <xf numFmtId="0" fontId="1" fillId="21" borderId="1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22" borderId="1" xfId="0" applyFont="1" applyFill="1" applyBorder="1" applyAlignment="1">
      <alignment horizontal="center"/>
    </xf>
    <xf numFmtId="0" fontId="16" fillId="23" borderId="1" xfId="0" applyFont="1" applyFill="1" applyBorder="1" applyAlignment="1">
      <alignment horizontal="center"/>
    </xf>
    <xf numFmtId="0" fontId="16" fillId="24" borderId="1" xfId="0" applyFont="1" applyFill="1" applyBorder="1" applyAlignment="1">
      <alignment horizontal="center"/>
    </xf>
    <xf numFmtId="0" fontId="16" fillId="25" borderId="1" xfId="0" applyFont="1" applyFill="1" applyBorder="1" applyAlignment="1">
      <alignment horizontal="center"/>
    </xf>
    <xf numFmtId="168" fontId="16" fillId="26" borderId="1" xfId="0" applyNumberFormat="1" applyFont="1" applyFill="1" applyBorder="1" applyAlignment="1">
      <alignment horizontal="center"/>
    </xf>
    <xf numFmtId="0" fontId="16" fillId="27" borderId="1" xfId="0" applyFont="1" applyFill="1" applyBorder="1" applyAlignment="1">
      <alignment horizontal="center"/>
    </xf>
    <xf numFmtId="168" fontId="16" fillId="6" borderId="1" xfId="0" applyNumberFormat="1" applyFont="1" applyFill="1" applyBorder="1" applyAlignment="1">
      <alignment horizontal="center"/>
    </xf>
    <xf numFmtId="0" fontId="16" fillId="28" borderId="1" xfId="0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16" fillId="5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14" fontId="0" fillId="0" borderId="0" xfId="0" applyNumberFormat="1" applyFont="1"/>
    <xf numFmtId="0" fontId="16" fillId="29" borderId="1" xfId="0" applyFont="1" applyFill="1" applyBorder="1" applyAlignment="1">
      <alignment horizontal="center" vertical="center" wrapText="1"/>
    </xf>
    <xf numFmtId="14" fontId="0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0" fontId="1" fillId="22" borderId="1" xfId="0" applyFont="1" applyFill="1" applyBorder="1"/>
    <xf numFmtId="0" fontId="1" fillId="23" borderId="1" xfId="0" applyFont="1" applyFill="1" applyBorder="1"/>
    <xf numFmtId="0" fontId="1" fillId="24" borderId="1" xfId="0" applyFont="1" applyFill="1" applyBorder="1"/>
    <xf numFmtId="0" fontId="1" fillId="25" borderId="1" xfId="0" applyFont="1" applyFill="1" applyBorder="1"/>
    <xf numFmtId="3" fontId="1" fillId="26" borderId="1" xfId="0" applyNumberFormat="1" applyFont="1" applyFill="1" applyBorder="1"/>
    <xf numFmtId="3" fontId="1" fillId="25" borderId="1" xfId="0" applyNumberFormat="1" applyFont="1" applyFill="1" applyBorder="1"/>
    <xf numFmtId="3" fontId="1" fillId="24" borderId="1" xfId="0" applyNumberFormat="1" applyFont="1" applyFill="1" applyBorder="1"/>
    <xf numFmtId="0" fontId="1" fillId="27" borderId="1" xfId="0" applyFont="1" applyFill="1" applyBorder="1"/>
    <xf numFmtId="3" fontId="1" fillId="6" borderId="1" xfId="0" applyNumberFormat="1" applyFont="1" applyFill="1" applyBorder="1"/>
    <xf numFmtId="0" fontId="1" fillId="28" borderId="1" xfId="0" applyFont="1" applyFill="1" applyBorder="1"/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wrapText="1"/>
    </xf>
    <xf numFmtId="0" fontId="1" fillId="7" borderId="1" xfId="0" applyFont="1" applyFill="1" applyBorder="1"/>
    <xf numFmtId="10" fontId="1" fillId="29" borderId="1" xfId="0" applyNumberFormat="1" applyFont="1" applyFill="1" applyBorder="1" applyAlignment="1">
      <alignment wrapText="1"/>
    </xf>
    <xf numFmtId="0" fontId="1" fillId="29" borderId="1" xfId="0" applyFont="1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5" borderId="1" xfId="0" applyFont="1" applyFill="1" applyBorder="1" applyAlignment="1">
      <alignment wrapText="1"/>
    </xf>
    <xf numFmtId="0" fontId="0" fillId="29" borderId="1" xfId="0" applyFont="1" applyFill="1" applyBorder="1" applyAlignment="1">
      <alignment wrapTex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5" borderId="1" xfId="0" applyFont="1" applyFill="1" applyBorder="1" applyAlignment="1">
      <alignment horizontal="center" wrapText="1"/>
    </xf>
    <xf numFmtId="3" fontId="16" fillId="0" borderId="0" xfId="0" applyNumberFormat="1" applyFont="1" applyAlignment="1">
      <alignment horizontal="center"/>
    </xf>
    <xf numFmtId="0" fontId="16" fillId="29" borderId="1" xfId="0" applyFont="1" applyFill="1" applyBorder="1" applyAlignment="1">
      <alignment horizontal="center" wrapText="1"/>
    </xf>
    <xf numFmtId="0" fontId="0" fillId="25" borderId="1" xfId="0" applyFont="1" applyFill="1" applyBorder="1"/>
    <xf numFmtId="3" fontId="0" fillId="26" borderId="1" xfId="0" applyNumberFormat="1" applyFont="1" applyFill="1" applyBorder="1"/>
    <xf numFmtId="3" fontId="0" fillId="25" borderId="1" xfId="0" applyNumberFormat="1" applyFont="1" applyFill="1" applyBorder="1"/>
    <xf numFmtId="3" fontId="0" fillId="24" borderId="1" xfId="0" applyNumberFormat="1" applyFont="1" applyFill="1" applyBorder="1"/>
    <xf numFmtId="0" fontId="0" fillId="27" borderId="1" xfId="0" applyFont="1" applyFill="1" applyBorder="1"/>
    <xf numFmtId="3" fontId="0" fillId="6" borderId="1" xfId="0" applyNumberFormat="1" applyFont="1" applyFill="1" applyBorder="1"/>
    <xf numFmtId="6" fontId="0" fillId="21" borderId="1" xfId="0" applyNumberFormat="1" applyFont="1" applyFill="1" applyBorder="1" applyAlignment="1">
      <alignment horizontal="right"/>
    </xf>
    <xf numFmtId="6" fontId="0" fillId="0" borderId="0" xfId="0" applyNumberFormat="1" applyFont="1" applyAlignment="1">
      <alignment vertical="center"/>
    </xf>
    <xf numFmtId="3" fontId="0" fillId="22" borderId="1" xfId="0" applyNumberFormat="1" applyFont="1" applyFill="1" applyBorder="1" applyAlignment="1">
      <alignment horizontal="right"/>
    </xf>
    <xf numFmtId="3" fontId="0" fillId="30" borderId="1" xfId="0" applyNumberFormat="1" applyFont="1" applyFill="1" applyBorder="1" applyAlignment="1">
      <alignment horizontal="right"/>
    </xf>
    <xf numFmtId="3" fontId="0" fillId="26" borderId="1" xfId="0" applyNumberFormat="1" applyFont="1" applyFill="1" applyBorder="1" applyAlignment="1">
      <alignment horizontal="right"/>
    </xf>
    <xf numFmtId="3" fontId="0" fillId="27" borderId="1" xfId="0" applyNumberFormat="1" applyFont="1" applyFill="1" applyBorder="1"/>
    <xf numFmtId="3" fontId="0" fillId="6" borderId="1" xfId="0" applyNumberFormat="1" applyFont="1" applyFill="1" applyBorder="1" applyAlignment="1">
      <alignment horizontal="right"/>
    </xf>
    <xf numFmtId="3" fontId="0" fillId="28" borderId="1" xfId="0" applyNumberFormat="1" applyFont="1" applyFill="1" applyBorder="1"/>
    <xf numFmtId="164" fontId="9" fillId="10" borderId="1" xfId="0" applyNumberFormat="1" applyFont="1" applyFill="1" applyBorder="1"/>
    <xf numFmtId="3" fontId="0" fillId="5" borderId="1" xfId="0" applyNumberFormat="1" applyFont="1" applyFill="1" applyBorder="1" applyAlignment="1">
      <alignment wrapText="1"/>
    </xf>
    <xf numFmtId="3" fontId="0" fillId="7" borderId="1" xfId="0" applyNumberFormat="1" applyFont="1" applyFill="1" applyBorder="1"/>
    <xf numFmtId="164" fontId="0" fillId="7" borderId="1" xfId="0" applyNumberFormat="1" applyFont="1" applyFill="1" applyBorder="1"/>
    <xf numFmtId="3" fontId="0" fillId="29" borderId="1" xfId="0" applyNumberFormat="1" applyFont="1" applyFill="1" applyBorder="1" applyAlignment="1">
      <alignment wrapText="1"/>
    </xf>
    <xf numFmtId="3" fontId="0" fillId="27" borderId="1" xfId="0" applyNumberFormat="1" applyFont="1" applyFill="1" applyBorder="1" applyAlignment="1">
      <alignment horizontal="right"/>
    </xf>
    <xf numFmtId="164" fontId="0" fillId="28" borderId="1" xfId="0" applyNumberFormat="1" applyFont="1" applyFill="1" applyBorder="1"/>
    <xf numFmtId="0" fontId="0" fillId="22" borderId="1" xfId="0" applyFont="1" applyFill="1" applyBorder="1" applyAlignment="1">
      <alignment horizontal="right"/>
    </xf>
    <xf numFmtId="0" fontId="0" fillId="30" borderId="1" xfId="0" applyFont="1" applyFill="1" applyBorder="1" applyAlignment="1">
      <alignment horizontal="right"/>
    </xf>
    <xf numFmtId="3" fontId="0" fillId="22" borderId="1" xfId="0" applyNumberFormat="1" applyFont="1" applyFill="1" applyBorder="1"/>
    <xf numFmtId="3" fontId="0" fillId="30" borderId="1" xfId="0" applyNumberFormat="1" applyFont="1" applyFill="1" applyBorder="1"/>
    <xf numFmtId="0" fontId="0" fillId="0" borderId="0" xfId="0" applyFont="1" applyAlignment="1">
      <alignment horizontal="left" vertical="center"/>
    </xf>
    <xf numFmtId="6" fontId="0" fillId="21" borderId="1" xfId="0" applyNumberFormat="1" applyFont="1" applyFill="1" applyBorder="1"/>
    <xf numFmtId="0" fontId="1" fillId="0" borderId="0" xfId="0" applyFont="1" applyAlignment="1">
      <alignment horizontal="left" vertical="center"/>
    </xf>
    <xf numFmtId="6" fontId="0" fillId="21" borderId="6" xfId="0" applyNumberFormat="1" applyFont="1" applyFill="1" applyBorder="1" applyAlignment="1">
      <alignment horizontal="right"/>
    </xf>
    <xf numFmtId="6" fontId="1" fillId="0" borderId="0" xfId="0" applyNumberFormat="1" applyFont="1" applyAlignment="1">
      <alignment vertical="center"/>
    </xf>
    <xf numFmtId="3" fontId="0" fillId="22" borderId="6" xfId="0" applyNumberFormat="1" applyFont="1" applyFill="1" applyBorder="1" applyAlignment="1">
      <alignment horizontal="right"/>
    </xf>
    <xf numFmtId="3" fontId="0" fillId="30" borderId="6" xfId="0" applyNumberFormat="1" applyFont="1" applyFill="1" applyBorder="1" applyAlignment="1">
      <alignment horizontal="right"/>
    </xf>
    <xf numFmtId="3" fontId="1" fillId="25" borderId="6" xfId="0" applyNumberFormat="1" applyFont="1" applyFill="1" applyBorder="1"/>
    <xf numFmtId="3" fontId="1" fillId="24" borderId="6" xfId="0" applyNumberFormat="1" applyFont="1" applyFill="1" applyBorder="1"/>
    <xf numFmtId="3" fontId="1" fillId="27" borderId="6" xfId="0" applyNumberFormat="1" applyFont="1" applyFill="1" applyBorder="1"/>
    <xf numFmtId="3" fontId="1" fillId="6" borderId="6" xfId="0" applyNumberFormat="1" applyFont="1" applyFill="1" applyBorder="1"/>
    <xf numFmtId="3" fontId="1" fillId="16" borderId="6" xfId="0" applyNumberFormat="1" applyFont="1" applyFill="1" applyBorder="1"/>
    <xf numFmtId="3" fontId="1" fillId="16" borderId="1" xfId="0" applyNumberFormat="1" applyFont="1" applyFill="1" applyBorder="1"/>
    <xf numFmtId="3" fontId="1" fillId="29" borderId="6" xfId="0" applyNumberFormat="1" applyFont="1" applyFill="1" applyBorder="1"/>
    <xf numFmtId="0" fontId="0" fillId="21" borderId="1" xfId="0" applyFont="1" applyFill="1" applyBorder="1" applyAlignment="1">
      <alignment horizontal="right"/>
    </xf>
    <xf numFmtId="0" fontId="0" fillId="30" borderId="1" xfId="0" applyFont="1" applyFill="1" applyBorder="1"/>
    <xf numFmtId="0" fontId="16" fillId="0" borderId="0" xfId="0" applyFont="1" applyAlignment="1">
      <alignment vertical="center"/>
    </xf>
    <xf numFmtId="6" fontId="1" fillId="21" borderId="6" xfId="0" applyNumberFormat="1" applyFont="1" applyFill="1" applyBorder="1" applyAlignment="1">
      <alignment horizontal="right"/>
    </xf>
    <xf numFmtId="6" fontId="16" fillId="0" borderId="0" xfId="0" applyNumberFormat="1" applyFont="1"/>
    <xf numFmtId="6" fontId="1" fillId="22" borderId="6" xfId="0" applyNumberFormat="1" applyFont="1" applyFill="1" applyBorder="1" applyAlignment="1">
      <alignment horizontal="right"/>
    </xf>
    <xf numFmtId="6" fontId="1" fillId="30" borderId="6" xfId="0" applyNumberFormat="1" applyFont="1" applyFill="1" applyBorder="1" applyAlignment="1">
      <alignment horizontal="right"/>
    </xf>
    <xf numFmtId="0" fontId="17" fillId="24" borderId="1" xfId="0" applyFont="1" applyFill="1" applyBorder="1"/>
    <xf numFmtId="6" fontId="16" fillId="25" borderId="1" xfId="0" applyNumberFormat="1" applyFont="1" applyFill="1" applyBorder="1"/>
    <xf numFmtId="38" fontId="1" fillId="26" borderId="1" xfId="0" applyNumberFormat="1" applyFont="1" applyFill="1" applyBorder="1" applyAlignment="1">
      <alignment horizontal="right"/>
    </xf>
    <xf numFmtId="38" fontId="16" fillId="25" borderId="6" xfId="0" applyNumberFormat="1" applyFont="1" applyFill="1" applyBorder="1"/>
    <xf numFmtId="38" fontId="16" fillId="24" borderId="6" xfId="0" applyNumberFormat="1" applyFont="1" applyFill="1" applyBorder="1"/>
    <xf numFmtId="6" fontId="16" fillId="27" borderId="6" xfId="0" applyNumberFormat="1" applyFont="1" applyFill="1" applyBorder="1"/>
    <xf numFmtId="6" fontId="16" fillId="6" borderId="6" xfId="0" applyNumberFormat="1" applyFont="1" applyFill="1" applyBorder="1"/>
    <xf numFmtId="0" fontId="17" fillId="0" borderId="0" xfId="0" applyFont="1" applyAlignment="1">
      <alignment wrapText="1"/>
    </xf>
    <xf numFmtId="6" fontId="16" fillId="5" borderId="6" xfId="0" applyNumberFormat="1" applyFont="1" applyFill="1" applyBorder="1"/>
    <xf numFmtId="6" fontId="16" fillId="16" borderId="6" xfId="0" applyNumberFormat="1" applyFont="1" applyFill="1" applyBorder="1"/>
    <xf numFmtId="6" fontId="16" fillId="16" borderId="1" xfId="0" applyNumberFormat="1" applyFont="1" applyFill="1" applyBorder="1"/>
    <xf numFmtId="6" fontId="16" fillId="29" borderId="6" xfId="0" applyNumberFormat="1" applyFont="1" applyFill="1" applyBorder="1"/>
    <xf numFmtId="3" fontId="1" fillId="5" borderId="1" xfId="0" applyNumberFormat="1" applyFont="1" applyFill="1" applyBorder="1" applyAlignment="1">
      <alignment wrapText="1"/>
    </xf>
    <xf numFmtId="3" fontId="1" fillId="29" borderId="1" xfId="0" applyNumberFormat="1" applyFont="1" applyFill="1" applyBorder="1" applyAlignment="1">
      <alignment wrapText="1"/>
    </xf>
    <xf numFmtId="42" fontId="0" fillId="22" borderId="1" xfId="0" applyNumberFormat="1" applyFont="1" applyFill="1" applyBorder="1"/>
    <xf numFmtId="42" fontId="0" fillId="30" borderId="1" xfId="0" applyNumberFormat="1" applyFont="1" applyFill="1" applyBorder="1"/>
    <xf numFmtId="42" fontId="0" fillId="25" borderId="1" xfId="0" applyNumberFormat="1" applyFont="1" applyFill="1" applyBorder="1"/>
    <xf numFmtId="42" fontId="0" fillId="27" borderId="1" xfId="0" applyNumberFormat="1" applyFont="1" applyFill="1" applyBorder="1"/>
    <xf numFmtId="0" fontId="30" fillId="0" borderId="0" xfId="0" applyFont="1" applyAlignment="1">
      <alignment wrapText="1"/>
    </xf>
    <xf numFmtId="3" fontId="0" fillId="21" borderId="1" xfId="0" applyNumberFormat="1" applyFont="1" applyFill="1" applyBorder="1" applyAlignment="1">
      <alignment horizontal="right"/>
    </xf>
    <xf numFmtId="3" fontId="0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3" fontId="0" fillId="21" borderId="1" xfId="0" applyNumberFormat="1" applyFont="1" applyFill="1" applyBorder="1"/>
    <xf numFmtId="166" fontId="1" fillId="21" borderId="6" xfId="0" applyNumberFormat="1" applyFont="1" applyFill="1" applyBorder="1" applyAlignment="1">
      <alignment horizontal="right"/>
    </xf>
    <xf numFmtId="166" fontId="1" fillId="0" borderId="0" xfId="0" applyNumberFormat="1" applyFont="1" applyAlignment="1">
      <alignment vertical="center"/>
    </xf>
    <xf numFmtId="166" fontId="1" fillId="22" borderId="6" xfId="0" applyNumberFormat="1" applyFont="1" applyFill="1" applyBorder="1"/>
    <xf numFmtId="166" fontId="1" fillId="30" borderId="6" xfId="0" applyNumberFormat="1" applyFont="1" applyFill="1" applyBorder="1"/>
    <xf numFmtId="166" fontId="0" fillId="24" borderId="1" xfId="0" applyNumberFormat="1" applyFont="1" applyFill="1" applyBorder="1"/>
    <xf numFmtId="166" fontId="1" fillId="25" borderId="1" xfId="0" applyNumberFormat="1" applyFont="1" applyFill="1" applyBorder="1"/>
    <xf numFmtId="166" fontId="1" fillId="26" borderId="1" xfId="0" applyNumberFormat="1" applyFont="1" applyFill="1" applyBorder="1"/>
    <xf numFmtId="166" fontId="1" fillId="25" borderId="6" xfId="0" applyNumberFormat="1" applyFont="1" applyFill="1" applyBorder="1"/>
    <xf numFmtId="166" fontId="1" fillId="24" borderId="6" xfId="0" applyNumberFormat="1" applyFont="1" applyFill="1" applyBorder="1"/>
    <xf numFmtId="166" fontId="1" fillId="27" borderId="6" xfId="0" applyNumberFormat="1" applyFont="1" applyFill="1" applyBorder="1"/>
    <xf numFmtId="166" fontId="1" fillId="6" borderId="6" xfId="0" applyNumberFormat="1" applyFont="1" applyFill="1" applyBorder="1"/>
    <xf numFmtId="166" fontId="1" fillId="5" borderId="6" xfId="0" applyNumberFormat="1" applyFont="1" applyFill="1" applyBorder="1"/>
    <xf numFmtId="3" fontId="13" fillId="7" borderId="1" xfId="0" applyNumberFormat="1" applyFont="1" applyFill="1" applyBorder="1"/>
    <xf numFmtId="42" fontId="1" fillId="16" borderId="6" xfId="0" applyNumberFormat="1" applyFont="1" applyFill="1" applyBorder="1"/>
    <xf numFmtId="42" fontId="1" fillId="16" borderId="1" xfId="0" applyNumberFormat="1" applyFont="1" applyFill="1" applyBorder="1"/>
    <xf numFmtId="42" fontId="1" fillId="29" borderId="6" xfId="0" applyNumberFormat="1" applyFont="1" applyFill="1" applyBorder="1"/>
    <xf numFmtId="42" fontId="0" fillId="28" borderId="1" xfId="0" applyNumberFormat="1" applyFont="1" applyFill="1" applyBorder="1"/>
    <xf numFmtId="3" fontId="31" fillId="25" borderId="1" xfId="0" applyNumberFormat="1" applyFont="1" applyFill="1" applyBorder="1"/>
    <xf numFmtId="3" fontId="32" fillId="24" borderId="1" xfId="0" applyNumberFormat="1" applyFont="1" applyFill="1" applyBorder="1"/>
    <xf numFmtId="3" fontId="33" fillId="31" borderId="1" xfId="0" applyNumberFormat="1" applyFont="1" applyFill="1" applyBorder="1" applyAlignment="1">
      <alignment wrapText="1"/>
    </xf>
    <xf numFmtId="0" fontId="13" fillId="0" borderId="0" xfId="0" applyFont="1" applyAlignment="1">
      <alignment wrapText="1"/>
    </xf>
    <xf numFmtId="3" fontId="33" fillId="29" borderId="1" xfId="0" applyNumberFormat="1" applyFont="1" applyFill="1" applyBorder="1" applyAlignment="1">
      <alignment wrapText="1"/>
    </xf>
    <xf numFmtId="0" fontId="13" fillId="0" borderId="0" xfId="0" applyFont="1"/>
    <xf numFmtId="0" fontId="4" fillId="16" borderId="1" xfId="0" applyFont="1" applyFill="1" applyBorder="1" applyAlignment="1">
      <alignment wrapText="1"/>
    </xf>
    <xf numFmtId="164" fontId="33" fillId="31" borderId="1" xfId="0" applyNumberFormat="1" applyFont="1" applyFill="1" applyBorder="1"/>
    <xf numFmtId="3" fontId="0" fillId="21" borderId="6" xfId="0" applyNumberFormat="1" applyFont="1" applyFill="1" applyBorder="1" applyAlignment="1">
      <alignment horizontal="right"/>
    </xf>
    <xf numFmtId="3" fontId="0" fillId="22" borderId="6" xfId="0" applyNumberFormat="1" applyFont="1" applyFill="1" applyBorder="1"/>
    <xf numFmtId="3" fontId="0" fillId="30" borderId="6" xfId="0" applyNumberFormat="1" applyFont="1" applyFill="1" applyBorder="1"/>
    <xf numFmtId="3" fontId="0" fillId="25" borderId="6" xfId="0" applyNumberFormat="1" applyFont="1" applyFill="1" applyBorder="1"/>
    <xf numFmtId="3" fontId="0" fillId="24" borderId="6" xfId="0" applyNumberFormat="1" applyFont="1" applyFill="1" applyBorder="1"/>
    <xf numFmtId="3" fontId="0" fillId="27" borderId="6" xfId="0" applyNumberFormat="1" applyFont="1" applyFill="1" applyBorder="1"/>
    <xf numFmtId="42" fontId="0" fillId="6" borderId="6" xfId="0" applyNumberFormat="1" applyFont="1" applyFill="1" applyBorder="1"/>
    <xf numFmtId="42" fontId="0" fillId="5" borderId="6" xfId="0" applyNumberFormat="1" applyFont="1" applyFill="1" applyBorder="1"/>
    <xf numFmtId="42" fontId="0" fillId="16" borderId="6" xfId="0" applyNumberFormat="1" applyFont="1" applyFill="1" applyBorder="1"/>
    <xf numFmtId="42" fontId="0" fillId="16" borderId="1" xfId="0" applyNumberFormat="1" applyFont="1" applyFill="1" applyBorder="1"/>
    <xf numFmtId="42" fontId="0" fillId="29" borderId="6" xfId="0" applyNumberFormat="1" applyFont="1" applyFill="1" applyBorder="1"/>
    <xf numFmtId="0" fontId="34" fillId="0" borderId="0" xfId="0" applyFont="1" applyAlignment="1">
      <alignment vertical="center"/>
    </xf>
    <xf numFmtId="0" fontId="16" fillId="0" borderId="0" xfId="0" applyFont="1"/>
    <xf numFmtId="6" fontId="34" fillId="21" borderId="6" xfId="0" applyNumberFormat="1" applyFont="1" applyFill="1" applyBorder="1" applyAlignment="1">
      <alignment horizontal="right"/>
    </xf>
    <xf numFmtId="6" fontId="34" fillId="0" borderId="0" xfId="0" applyNumberFormat="1" applyFont="1" applyAlignment="1">
      <alignment vertical="center"/>
    </xf>
    <xf numFmtId="6" fontId="34" fillId="22" borderId="6" xfId="0" applyNumberFormat="1" applyFont="1" applyFill="1" applyBorder="1" applyAlignment="1">
      <alignment horizontal="right"/>
    </xf>
    <xf numFmtId="0" fontId="35" fillId="0" borderId="0" xfId="0" applyFont="1"/>
    <xf numFmtId="6" fontId="34" fillId="30" borderId="6" xfId="0" applyNumberFormat="1" applyFont="1" applyFill="1" applyBorder="1" applyAlignment="1">
      <alignment horizontal="right"/>
    </xf>
    <xf numFmtId="0" fontId="35" fillId="24" borderId="1" xfId="0" applyFont="1" applyFill="1" applyBorder="1"/>
    <xf numFmtId="6" fontId="34" fillId="25" borderId="1" xfId="0" applyNumberFormat="1" applyFont="1" applyFill="1" applyBorder="1" applyAlignment="1">
      <alignment vertical="center"/>
    </xf>
    <xf numFmtId="6" fontId="34" fillId="26" borderId="1" xfId="0" applyNumberFormat="1" applyFont="1" applyFill="1" applyBorder="1" applyAlignment="1">
      <alignment horizontal="right"/>
    </xf>
    <xf numFmtId="42" fontId="34" fillId="25" borderId="6" xfId="0" applyNumberFormat="1" applyFont="1" applyFill="1" applyBorder="1" applyAlignment="1">
      <alignment vertical="center"/>
    </xf>
    <xf numFmtId="42" fontId="34" fillId="24" borderId="6" xfId="0" applyNumberFormat="1" applyFont="1" applyFill="1" applyBorder="1" applyAlignment="1">
      <alignment vertical="center"/>
    </xf>
    <xf numFmtId="0" fontId="34" fillId="0" borderId="0" xfId="0" applyFont="1"/>
    <xf numFmtId="6" fontId="34" fillId="27" borderId="6" xfId="0" applyNumberFormat="1" applyFont="1" applyFill="1" applyBorder="1" applyAlignment="1">
      <alignment vertical="center"/>
    </xf>
    <xf numFmtId="6" fontId="34" fillId="6" borderId="6" xfId="0" applyNumberFormat="1" applyFont="1" applyFill="1" applyBorder="1" applyAlignment="1">
      <alignment vertical="center"/>
    </xf>
    <xf numFmtId="6" fontId="34" fillId="5" borderId="6" xfId="0" applyNumberFormat="1" applyFont="1" applyFill="1" applyBorder="1" applyAlignment="1">
      <alignment vertical="center"/>
    </xf>
    <xf numFmtId="6" fontId="34" fillId="16" borderId="6" xfId="0" applyNumberFormat="1" applyFont="1" applyFill="1" applyBorder="1" applyAlignment="1">
      <alignment vertical="center"/>
    </xf>
    <xf numFmtId="6" fontId="34" fillId="16" borderId="1" xfId="0" applyNumberFormat="1" applyFont="1" applyFill="1" applyBorder="1" applyAlignment="1">
      <alignment vertical="center"/>
    </xf>
    <xf numFmtId="6" fontId="34" fillId="29" borderId="6" xfId="0" applyNumberFormat="1" applyFont="1" applyFill="1" applyBorder="1" applyAlignment="1">
      <alignment vertical="center"/>
    </xf>
    <xf numFmtId="3" fontId="1" fillId="6" borderId="1" xfId="0" applyNumberFormat="1" applyFont="1" applyFill="1" applyBorder="1" applyAlignment="1">
      <alignment horizontal="right"/>
    </xf>
    <xf numFmtId="3" fontId="13" fillId="13" borderId="1" xfId="0" applyNumberFormat="1" applyFont="1" applyFill="1" applyBorder="1"/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vertical="center"/>
    </xf>
    <xf numFmtId="3" fontId="13" fillId="0" borderId="0" xfId="0" applyNumberFormat="1" applyFont="1"/>
    <xf numFmtId="3" fontId="13" fillId="24" borderId="1" xfId="0" applyNumberFormat="1" applyFont="1" applyFill="1" applyBorder="1"/>
    <xf numFmtId="3" fontId="13" fillId="25" borderId="1" xfId="0" applyNumberFormat="1" applyFont="1" applyFill="1" applyBorder="1"/>
    <xf numFmtId="3" fontId="13" fillId="27" borderId="1" xfId="0" applyNumberFormat="1" applyFont="1" applyFill="1" applyBorder="1"/>
    <xf numFmtId="3" fontId="13" fillId="5" borderId="1" xfId="0" applyNumberFormat="1" applyFont="1" applyFill="1" applyBorder="1" applyAlignment="1">
      <alignment wrapText="1"/>
    </xf>
    <xf numFmtId="0" fontId="12" fillId="0" borderId="0" xfId="0" applyFont="1" applyAlignment="1">
      <alignment wrapText="1"/>
    </xf>
    <xf numFmtId="3" fontId="13" fillId="29" borderId="1" xfId="0" applyNumberFormat="1" applyFont="1" applyFill="1" applyBorder="1" applyAlignment="1">
      <alignment wrapText="1"/>
    </xf>
    <xf numFmtId="0" fontId="0" fillId="0" borderId="0" xfId="0" applyFont="1" applyAlignment="1">
      <alignment horizontal="left" wrapText="1"/>
    </xf>
    <xf numFmtId="3" fontId="1" fillId="0" borderId="0" xfId="0" applyNumberFormat="1" applyFont="1" applyAlignment="1">
      <alignment vertical="center"/>
    </xf>
    <xf numFmtId="3" fontId="1" fillId="5" borderId="6" xfId="0" applyNumberFormat="1" applyFont="1" applyFill="1" applyBorder="1"/>
    <xf numFmtId="3" fontId="2" fillId="25" borderId="1" xfId="0" applyNumberFormat="1" applyFont="1" applyFill="1" applyBorder="1"/>
    <xf numFmtId="3" fontId="2" fillId="25" borderId="6" xfId="0" applyNumberFormat="1" applyFont="1" applyFill="1" applyBorder="1"/>
    <xf numFmtId="3" fontId="2" fillId="24" borderId="6" xfId="0" applyNumberFormat="1" applyFont="1" applyFill="1" applyBorder="1"/>
    <xf numFmtId="3" fontId="2" fillId="27" borderId="6" xfId="0" applyNumberFormat="1" applyFont="1" applyFill="1" applyBorder="1"/>
    <xf numFmtId="3" fontId="2" fillId="6" borderId="6" xfId="0" applyNumberFormat="1" applyFont="1" applyFill="1" applyBorder="1"/>
    <xf numFmtId="6" fontId="2" fillId="5" borderId="6" xfId="0" applyNumberFormat="1" applyFont="1" applyFill="1" applyBorder="1"/>
    <xf numFmtId="6" fontId="2" fillId="16" borderId="6" xfId="0" applyNumberFormat="1" applyFont="1" applyFill="1" applyBorder="1"/>
    <xf numFmtId="6" fontId="2" fillId="16" borderId="1" xfId="0" applyNumberFormat="1" applyFont="1" applyFill="1" applyBorder="1"/>
    <xf numFmtId="6" fontId="2" fillId="29" borderId="6" xfId="0" applyNumberFormat="1" applyFont="1" applyFill="1" applyBorder="1"/>
    <xf numFmtId="3" fontId="12" fillId="25" borderId="1" xfId="0" applyNumberFormat="1" applyFont="1" applyFill="1" applyBorder="1"/>
    <xf numFmtId="3" fontId="2" fillId="24" borderId="1" xfId="0" applyNumberFormat="1" applyFont="1" applyFill="1" applyBorder="1"/>
    <xf numFmtId="3" fontId="12" fillId="27" borderId="1" xfId="0" applyNumberFormat="1" applyFont="1" applyFill="1" applyBorder="1"/>
    <xf numFmtId="166" fontId="34" fillId="21" borderId="6" xfId="0" applyNumberFormat="1" applyFont="1" applyFill="1" applyBorder="1" applyAlignment="1">
      <alignment horizontal="right"/>
    </xf>
    <xf numFmtId="166" fontId="16" fillId="0" borderId="0" xfId="0" applyNumberFormat="1" applyFont="1"/>
    <xf numFmtId="166" fontId="34" fillId="22" borderId="6" xfId="0" applyNumberFormat="1" applyFont="1" applyFill="1" applyBorder="1" applyAlignment="1">
      <alignment horizontal="right"/>
    </xf>
    <xf numFmtId="166" fontId="34" fillId="30" borderId="6" xfId="0" applyNumberFormat="1" applyFont="1" applyFill="1" applyBorder="1" applyAlignment="1">
      <alignment horizontal="right"/>
    </xf>
    <xf numFmtId="166" fontId="16" fillId="24" borderId="1" xfId="0" applyNumberFormat="1" applyFont="1" applyFill="1" applyBorder="1"/>
    <xf numFmtId="166" fontId="16" fillId="25" borderId="1" xfId="0" applyNumberFormat="1" applyFont="1" applyFill="1" applyBorder="1"/>
    <xf numFmtId="166" fontId="1" fillId="26" borderId="1" xfId="0" applyNumberFormat="1" applyFont="1" applyFill="1" applyBorder="1" applyAlignment="1">
      <alignment horizontal="right"/>
    </xf>
    <xf numFmtId="166" fontId="34" fillId="25" borderId="6" xfId="0" applyNumberFormat="1" applyFont="1" applyFill="1" applyBorder="1"/>
    <xf numFmtId="166" fontId="16" fillId="24" borderId="6" xfId="0" applyNumberFormat="1" applyFont="1" applyFill="1" applyBorder="1"/>
    <xf numFmtId="166" fontId="34" fillId="27" borderId="6" xfId="0" applyNumberFormat="1" applyFont="1" applyFill="1" applyBorder="1"/>
    <xf numFmtId="166" fontId="16" fillId="6" borderId="6" xfId="0" applyNumberFormat="1" applyFont="1" applyFill="1" applyBorder="1"/>
    <xf numFmtId="0" fontId="16" fillId="0" borderId="0" xfId="0" applyFont="1" applyAlignment="1">
      <alignment wrapText="1"/>
    </xf>
    <xf numFmtId="166" fontId="34" fillId="5" borderId="6" xfId="0" applyNumberFormat="1" applyFont="1" applyFill="1" applyBorder="1"/>
    <xf numFmtId="3" fontId="34" fillId="16" borderId="6" xfId="0" applyNumberFormat="1" applyFont="1" applyFill="1" applyBorder="1"/>
    <xf numFmtId="3" fontId="34" fillId="16" borderId="1" xfId="0" applyNumberFormat="1" applyFont="1" applyFill="1" applyBorder="1"/>
    <xf numFmtId="3" fontId="34" fillId="29" borderId="6" xfId="0" applyNumberFormat="1" applyFont="1" applyFill="1" applyBorder="1"/>
    <xf numFmtId="3" fontId="1" fillId="21" borderId="1" xfId="0" applyNumberFormat="1" applyFont="1" applyFill="1" applyBorder="1"/>
    <xf numFmtId="3" fontId="1" fillId="3" borderId="1" xfId="0" applyNumberFormat="1" applyFont="1" applyFill="1" applyBorder="1"/>
    <xf numFmtId="0" fontId="16" fillId="24" borderId="1" xfId="0" applyFont="1" applyFill="1" applyBorder="1"/>
    <xf numFmtId="3" fontId="16" fillId="25" borderId="1" xfId="0" applyNumberFormat="1" applyFont="1" applyFill="1" applyBorder="1"/>
    <xf numFmtId="3" fontId="1" fillId="14" borderId="1" xfId="0" applyNumberFormat="1" applyFont="1" applyFill="1" applyBorder="1"/>
    <xf numFmtId="3" fontId="1" fillId="5" borderId="1" xfId="0" applyNumberFormat="1" applyFont="1" applyFill="1" applyBorder="1"/>
    <xf numFmtId="3" fontId="1" fillId="7" borderId="1" xfId="0" applyNumberFormat="1" applyFont="1" applyFill="1" applyBorder="1"/>
    <xf numFmtId="3" fontId="16" fillId="24" borderId="1" xfId="0" applyNumberFormat="1" applyFont="1" applyFill="1" applyBorder="1"/>
    <xf numFmtId="3" fontId="16" fillId="27" borderId="1" xfId="0" applyNumberFormat="1" applyFont="1" applyFill="1" applyBorder="1"/>
    <xf numFmtId="3" fontId="16" fillId="5" borderId="1" xfId="0" applyNumberFormat="1" applyFont="1" applyFill="1" applyBorder="1" applyAlignment="1">
      <alignment wrapText="1"/>
    </xf>
    <xf numFmtId="3" fontId="16" fillId="29" borderId="1" xfId="0" applyNumberFormat="1" applyFont="1" applyFill="1" applyBorder="1" applyAlignment="1">
      <alignment wrapText="1"/>
    </xf>
    <xf numFmtId="3" fontId="0" fillId="25" borderId="1" xfId="0" applyNumberFormat="1" applyFont="1" applyFill="1" applyBorder="1" applyAlignment="1">
      <alignment vertical="center"/>
    </xf>
    <xf numFmtId="3" fontId="0" fillId="27" borderId="1" xfId="0" applyNumberFormat="1" applyFont="1" applyFill="1" applyBorder="1" applyAlignment="1">
      <alignment vertical="center"/>
    </xf>
    <xf numFmtId="3" fontId="9" fillId="10" borderId="1" xfId="0" applyNumberFormat="1" applyFont="1" applyFill="1" applyBorder="1"/>
    <xf numFmtId="0" fontId="0" fillId="16" borderId="1" xfId="0" applyFont="1" applyFill="1" applyBorder="1" applyAlignment="1">
      <alignment wrapText="1"/>
    </xf>
    <xf numFmtId="3" fontId="0" fillId="23" borderId="1" xfId="0" applyNumberFormat="1" applyFont="1" applyFill="1" applyBorder="1"/>
    <xf numFmtId="3" fontId="12" fillId="5" borderId="1" xfId="0" applyNumberFormat="1" applyFont="1" applyFill="1" applyBorder="1" applyAlignment="1">
      <alignment horizontal="right" wrapText="1"/>
    </xf>
    <xf numFmtId="3" fontId="12" fillId="29" borderId="1" xfId="0" applyNumberFormat="1" applyFont="1" applyFill="1" applyBorder="1" applyAlignment="1">
      <alignment horizontal="right" wrapText="1"/>
    </xf>
    <xf numFmtId="6" fontId="1" fillId="21" borderId="6" xfId="0" applyNumberFormat="1" applyFont="1" applyFill="1" applyBorder="1" applyAlignment="1">
      <alignment vertical="center"/>
    </xf>
    <xf numFmtId="6" fontId="1" fillId="22" borderId="6" xfId="0" applyNumberFormat="1" applyFont="1" applyFill="1" applyBorder="1" applyAlignment="1">
      <alignment vertical="center"/>
    </xf>
    <xf numFmtId="6" fontId="1" fillId="23" borderId="6" xfId="0" applyNumberFormat="1" applyFont="1" applyFill="1" applyBorder="1" applyAlignment="1">
      <alignment vertical="center"/>
    </xf>
    <xf numFmtId="6" fontId="1" fillId="25" borderId="1" xfId="0" applyNumberFormat="1" applyFont="1" applyFill="1" applyBorder="1" applyAlignment="1">
      <alignment vertical="center"/>
    </xf>
    <xf numFmtId="6" fontId="1" fillId="26" borderId="1" xfId="0" applyNumberFormat="1" applyFont="1" applyFill="1" applyBorder="1" applyAlignment="1">
      <alignment horizontal="right"/>
    </xf>
    <xf numFmtId="6" fontId="1" fillId="25" borderId="6" xfId="0" applyNumberFormat="1" applyFont="1" applyFill="1" applyBorder="1" applyAlignment="1">
      <alignment vertical="center"/>
    </xf>
    <xf numFmtId="6" fontId="1" fillId="24" borderId="6" xfId="0" applyNumberFormat="1" applyFont="1" applyFill="1" applyBorder="1" applyAlignment="1">
      <alignment vertical="center"/>
    </xf>
    <xf numFmtId="6" fontId="1" fillId="27" borderId="6" xfId="0" applyNumberFormat="1" applyFont="1" applyFill="1" applyBorder="1" applyAlignment="1">
      <alignment vertical="center"/>
    </xf>
    <xf numFmtId="6" fontId="1" fillId="6" borderId="6" xfId="0" applyNumberFormat="1" applyFont="1" applyFill="1" applyBorder="1" applyAlignment="1">
      <alignment vertical="center"/>
    </xf>
    <xf numFmtId="6" fontId="1" fillId="5" borderId="6" xfId="0" applyNumberFormat="1" applyFont="1" applyFill="1" applyBorder="1" applyAlignment="1">
      <alignment vertical="center"/>
    </xf>
    <xf numFmtId="6" fontId="1" fillId="16" borderId="6" xfId="0" applyNumberFormat="1" applyFont="1" applyFill="1" applyBorder="1" applyAlignment="1">
      <alignment vertical="center"/>
    </xf>
    <xf numFmtId="6" fontId="1" fillId="16" borderId="1" xfId="0" applyNumberFormat="1" applyFont="1" applyFill="1" applyBorder="1" applyAlignment="1">
      <alignment vertical="center"/>
    </xf>
    <xf numFmtId="6" fontId="1" fillId="29" borderId="6" xfId="0" applyNumberFormat="1" applyFont="1" applyFill="1" applyBorder="1" applyAlignment="1">
      <alignment vertical="center"/>
    </xf>
    <xf numFmtId="0" fontId="1" fillId="0" borderId="0" xfId="0" applyFont="1" applyAlignment="1">
      <alignment horizontal="right"/>
    </xf>
    <xf numFmtId="8" fontId="0" fillId="0" borderId="0" xfId="0" applyNumberFormat="1" applyFont="1"/>
    <xf numFmtId="6" fontId="0" fillId="22" borderId="1" xfId="0" applyNumberFormat="1" applyFont="1" applyFill="1" applyBorder="1" applyAlignment="1">
      <alignment horizontal="right"/>
    </xf>
    <xf numFmtId="6" fontId="13" fillId="30" borderId="1" xfId="0" applyNumberFormat="1" applyFont="1" applyFill="1" applyBorder="1" applyAlignment="1">
      <alignment horizontal="right"/>
    </xf>
    <xf numFmtId="6" fontId="0" fillId="25" borderId="1" xfId="0" applyNumberFormat="1" applyFont="1" applyFill="1" applyBorder="1"/>
    <xf numFmtId="6" fontId="0" fillId="26" borderId="1" xfId="0" applyNumberFormat="1" applyFont="1" applyFill="1" applyBorder="1" applyAlignment="1">
      <alignment horizontal="right"/>
    </xf>
    <xf numFmtId="6" fontId="0" fillId="24" borderId="1" xfId="0" applyNumberFormat="1" applyFont="1" applyFill="1" applyBorder="1"/>
    <xf numFmtId="6" fontId="0" fillId="27" borderId="1" xfId="0" applyNumberFormat="1" applyFont="1" applyFill="1" applyBorder="1"/>
    <xf numFmtId="6" fontId="0" fillId="6" borderId="1" xfId="0" applyNumberFormat="1" applyFont="1" applyFill="1" applyBorder="1"/>
    <xf numFmtId="6" fontId="0" fillId="5" borderId="1" xfId="0" applyNumberFormat="1" applyFont="1" applyFill="1" applyBorder="1"/>
    <xf numFmtId="6" fontId="0" fillId="16" borderId="1" xfId="0" applyNumberFormat="1" applyFont="1" applyFill="1" applyBorder="1"/>
    <xf numFmtId="6" fontId="0" fillId="29" borderId="1" xfId="0" applyNumberFormat="1" applyFont="1" applyFill="1" applyBorder="1"/>
    <xf numFmtId="6" fontId="0" fillId="22" borderId="1" xfId="0" applyNumberFormat="1" applyFont="1" applyFill="1" applyBorder="1"/>
    <xf numFmtId="6" fontId="0" fillId="30" borderId="1" xfId="0" applyNumberFormat="1" applyFont="1" applyFill="1" applyBorder="1"/>
    <xf numFmtId="6" fontId="0" fillId="26" borderId="1" xfId="0" applyNumberFormat="1" applyFont="1" applyFill="1" applyBorder="1"/>
    <xf numFmtId="6" fontId="0" fillId="30" borderId="1" xfId="0" applyNumberFormat="1" applyFont="1" applyFill="1" applyBorder="1" applyAlignment="1">
      <alignment horizontal="right"/>
    </xf>
    <xf numFmtId="6" fontId="1" fillId="27" borderId="1" xfId="0" applyNumberFormat="1" applyFont="1" applyFill="1" applyBorder="1"/>
    <xf numFmtId="6" fontId="1" fillId="6" borderId="1" xfId="0" applyNumberFormat="1" applyFont="1" applyFill="1" applyBorder="1"/>
    <xf numFmtId="6" fontId="1" fillId="32" borderId="1" xfId="0" applyNumberFormat="1" applyFont="1" applyFill="1" applyBorder="1"/>
    <xf numFmtId="6" fontId="1" fillId="16" borderId="1" xfId="0" applyNumberFormat="1" applyFont="1" applyFill="1" applyBorder="1"/>
    <xf numFmtId="6" fontId="1" fillId="29" borderId="1" xfId="0" applyNumberFormat="1" applyFont="1" applyFill="1" applyBorder="1"/>
    <xf numFmtId="0" fontId="0" fillId="0" borderId="0" xfId="0" applyFont="1" applyAlignment="1">
      <alignment horizontal="left"/>
    </xf>
    <xf numFmtId="6" fontId="1" fillId="25" borderId="1" xfId="0" applyNumberFormat="1" applyFont="1" applyFill="1" applyBorder="1"/>
    <xf numFmtId="6" fontId="1" fillId="5" borderId="1" xfId="0" applyNumberFormat="1" applyFont="1" applyFill="1" applyBorder="1"/>
    <xf numFmtId="0" fontId="16" fillId="6" borderId="1" xfId="0" applyFont="1" applyFill="1" applyBorder="1" applyAlignment="1">
      <alignment wrapText="1"/>
    </xf>
    <xf numFmtId="3" fontId="16" fillId="21" borderId="1" xfId="0" applyNumberFormat="1" applyFont="1" applyFill="1" applyBorder="1"/>
    <xf numFmtId="3" fontId="16" fillId="22" borderId="1" xfId="0" applyNumberFormat="1" applyFont="1" applyFill="1" applyBorder="1"/>
    <xf numFmtId="0" fontId="16" fillId="6" borderId="1" xfId="0" applyFont="1" applyFill="1" applyBorder="1"/>
    <xf numFmtId="3" fontId="16" fillId="23" borderId="1" xfId="0" applyNumberFormat="1" applyFont="1" applyFill="1" applyBorder="1"/>
    <xf numFmtId="3" fontId="1" fillId="26" borderId="1" xfId="0" applyNumberFormat="1" applyFont="1" applyFill="1" applyBorder="1" applyAlignment="1">
      <alignment horizontal="right"/>
    </xf>
    <xf numFmtId="3" fontId="16" fillId="5" borderId="1" xfId="0" applyNumberFormat="1" applyFont="1" applyFill="1" applyBorder="1"/>
    <xf numFmtId="3" fontId="16" fillId="16" borderId="1" xfId="0" applyNumberFormat="1" applyFont="1" applyFill="1" applyBorder="1"/>
    <xf numFmtId="3" fontId="16" fillId="29" borderId="1" xfId="0" applyNumberFormat="1" applyFont="1" applyFill="1" applyBorder="1"/>
    <xf numFmtId="38" fontId="0" fillId="21" borderId="1" xfId="0" applyNumberFormat="1" applyFont="1" applyFill="1" applyBorder="1" applyAlignment="1">
      <alignment horizontal="right"/>
    </xf>
    <xf numFmtId="38" fontId="0" fillId="30" borderId="1" xfId="0" applyNumberFormat="1" applyFont="1" applyFill="1" applyBorder="1" applyAlignment="1">
      <alignment horizontal="right"/>
    </xf>
    <xf numFmtId="38" fontId="0" fillId="25" borderId="1" xfId="0" applyNumberFormat="1" applyFont="1" applyFill="1" applyBorder="1"/>
    <xf numFmtId="38" fontId="0" fillId="27" borderId="1" xfId="0" applyNumberFormat="1" applyFont="1" applyFill="1" applyBorder="1"/>
    <xf numFmtId="38" fontId="0" fillId="5" borderId="1" xfId="0" applyNumberFormat="1" applyFont="1" applyFill="1" applyBorder="1"/>
    <xf numFmtId="38" fontId="0" fillId="16" borderId="1" xfId="0" applyNumberFormat="1" applyFont="1" applyFill="1" applyBorder="1"/>
    <xf numFmtId="38" fontId="0" fillId="29" borderId="1" xfId="0" applyNumberFormat="1" applyFont="1" applyFill="1" applyBorder="1"/>
    <xf numFmtId="3" fontId="0" fillId="16" borderId="1" xfId="0" applyNumberFormat="1" applyFont="1" applyFill="1" applyBorder="1" applyAlignment="1">
      <alignment wrapText="1"/>
    </xf>
    <xf numFmtId="166" fontId="1" fillId="21" borderId="1" xfId="0" applyNumberFormat="1" applyFont="1" applyFill="1" applyBorder="1"/>
    <xf numFmtId="166" fontId="1" fillId="22" borderId="1" xfId="0" applyNumberFormat="1" applyFont="1" applyFill="1" applyBorder="1"/>
    <xf numFmtId="166" fontId="1" fillId="23" borderId="1" xfId="0" applyNumberFormat="1" applyFont="1" applyFill="1" applyBorder="1"/>
    <xf numFmtId="166" fontId="0" fillId="25" borderId="1" xfId="0" applyNumberFormat="1" applyFont="1" applyFill="1" applyBorder="1"/>
    <xf numFmtId="166" fontId="0" fillId="26" borderId="1" xfId="0" applyNumberFormat="1" applyFont="1" applyFill="1" applyBorder="1"/>
    <xf numFmtId="166" fontId="1" fillId="24" borderId="1" xfId="0" applyNumberFormat="1" applyFont="1" applyFill="1" applyBorder="1"/>
    <xf numFmtId="166" fontId="1" fillId="27" borderId="1" xfId="0" applyNumberFormat="1" applyFont="1" applyFill="1" applyBorder="1"/>
    <xf numFmtId="166" fontId="1" fillId="6" borderId="1" xfId="0" applyNumberFormat="1" applyFont="1" applyFill="1" applyBorder="1"/>
    <xf numFmtId="166" fontId="1" fillId="5" borderId="1" xfId="0" applyNumberFormat="1" applyFont="1" applyFill="1" applyBorder="1"/>
    <xf numFmtId="166" fontId="1" fillId="16" borderId="1" xfId="0" applyNumberFormat="1" applyFont="1" applyFill="1" applyBorder="1"/>
    <xf numFmtId="166" fontId="1" fillId="29" borderId="1" xfId="0" applyNumberFormat="1" applyFont="1" applyFill="1" applyBorder="1"/>
    <xf numFmtId="169" fontId="0" fillId="21" borderId="1" xfId="0" applyNumberFormat="1" applyFont="1" applyFill="1" applyBorder="1"/>
    <xf numFmtId="169" fontId="0" fillId="22" borderId="1" xfId="0" applyNumberFormat="1" applyFont="1" applyFill="1" applyBorder="1"/>
    <xf numFmtId="169" fontId="0" fillId="23" borderId="1" xfId="0" applyNumberFormat="1" applyFont="1" applyFill="1" applyBorder="1"/>
    <xf numFmtId="169" fontId="0" fillId="25" borderId="1" xfId="0" applyNumberFormat="1" applyFont="1" applyFill="1" applyBorder="1"/>
    <xf numFmtId="169" fontId="0" fillId="24" borderId="1" xfId="0" applyNumberFormat="1" applyFont="1" applyFill="1" applyBorder="1"/>
    <xf numFmtId="169" fontId="0" fillId="27" borderId="1" xfId="0" applyNumberFormat="1" applyFont="1" applyFill="1" applyBorder="1"/>
    <xf numFmtId="169" fontId="0" fillId="6" borderId="1" xfId="0" applyNumberFormat="1" applyFont="1" applyFill="1" applyBorder="1"/>
    <xf numFmtId="169" fontId="0" fillId="5" borderId="1" xfId="0" applyNumberFormat="1" applyFont="1" applyFill="1" applyBorder="1"/>
    <xf numFmtId="169" fontId="0" fillId="16" borderId="1" xfId="0" applyNumberFormat="1" applyFont="1" applyFill="1" applyBorder="1"/>
    <xf numFmtId="169" fontId="0" fillId="29" borderId="1" xfId="0" applyNumberFormat="1" applyFont="1" applyFill="1" applyBorder="1"/>
    <xf numFmtId="0" fontId="0" fillId="23" borderId="1" xfId="0" applyFont="1" applyFill="1" applyBorder="1"/>
    <xf numFmtId="0" fontId="2" fillId="15" borderId="7" xfId="0" applyFont="1" applyFill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14" borderId="7" xfId="0" applyFont="1" applyFill="1" applyBorder="1" applyAlignment="1">
      <alignment horizontal="center" wrapText="1"/>
    </xf>
    <xf numFmtId="0" fontId="2" fillId="7" borderId="7" xfId="0" applyFont="1" applyFill="1" applyBorder="1" applyAlignment="1">
      <alignment horizontal="center" wrapText="1"/>
    </xf>
    <xf numFmtId="3" fontId="1" fillId="15" borderId="1" xfId="0" applyNumberFormat="1" applyFont="1" applyFill="1" applyBorder="1" applyAlignment="1">
      <alignment horizontal="center" wrapText="1"/>
    </xf>
    <xf numFmtId="3" fontId="1" fillId="12" borderId="1" xfId="0" applyNumberFormat="1" applyFont="1" applyFill="1" applyBorder="1" applyAlignment="1">
      <alignment horizontal="center" wrapText="1"/>
    </xf>
    <xf numFmtId="3" fontId="12" fillId="0" borderId="0" xfId="0" applyNumberFormat="1" applyFont="1" applyAlignment="1">
      <alignment horizontal="right"/>
    </xf>
    <xf numFmtId="0" fontId="0" fillId="0" borderId="7" xfId="0" applyFont="1" applyBorder="1" applyAlignment="1">
      <alignment wrapText="1"/>
    </xf>
    <xf numFmtId="0" fontId="0" fillId="33" borderId="1" xfId="0" applyFont="1" applyFill="1" applyBorder="1"/>
    <xf numFmtId="3" fontId="0" fillId="33" borderId="1" xfId="0" applyNumberFormat="1" applyFont="1" applyFill="1" applyBorder="1"/>
    <xf numFmtId="0" fontId="36" fillId="0" borderId="7" xfId="0" applyFont="1" applyBorder="1" applyAlignment="1">
      <alignment wrapText="1"/>
    </xf>
    <xf numFmtId="0" fontId="36" fillId="0" borderId="0" xfId="0" applyFont="1" applyAlignment="1">
      <alignment wrapText="1"/>
    </xf>
    <xf numFmtId="1" fontId="13" fillId="0" borderId="0" xfId="0" applyNumberFormat="1" applyFont="1"/>
    <xf numFmtId="3" fontId="13" fillId="0" borderId="0" xfId="0" applyNumberFormat="1" applyFont="1" applyAlignment="1">
      <alignment horizontal="right"/>
    </xf>
    <xf numFmtId="0" fontId="12" fillId="0" borderId="7" xfId="0" applyFont="1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33" fillId="31" borderId="1" xfId="0" applyFont="1" applyFill="1" applyBorder="1"/>
    <xf numFmtId="0" fontId="33" fillId="31" borderId="1" xfId="0" applyFont="1" applyFill="1" applyBorder="1" applyAlignment="1">
      <alignment wrapText="1"/>
    </xf>
    <xf numFmtId="0" fontId="2" fillId="6" borderId="1" xfId="0" applyFont="1" applyFill="1" applyBorder="1"/>
    <xf numFmtId="0" fontId="9" fillId="10" borderId="1" xfId="0" applyFont="1" applyFill="1" applyBorder="1"/>
    <xf numFmtId="0" fontId="2" fillId="0" borderId="0" xfId="0" applyFont="1"/>
    <xf numFmtId="170" fontId="2" fillId="0" borderId="0" xfId="0" applyNumberFormat="1" applyFont="1" applyAlignment="1">
      <alignment wrapText="1"/>
    </xf>
    <xf numFmtId="0" fontId="37" fillId="34" borderId="1" xfId="0" applyFont="1" applyFill="1" applyBorder="1"/>
    <xf numFmtId="0" fontId="1" fillId="0" borderId="8" xfId="0" applyFont="1" applyBorder="1"/>
    <xf numFmtId="166" fontId="1" fillId="0" borderId="0" xfId="0" applyNumberFormat="1" applyFont="1" applyAlignment="1">
      <alignment horizontal="center" wrapText="1"/>
    </xf>
    <xf numFmtId="166" fontId="1" fillId="6" borderId="1" xfId="0" applyNumberFormat="1" applyFont="1" applyFill="1" applyBorder="1" applyAlignment="1">
      <alignment horizontal="center" wrapText="1"/>
    </xf>
    <xf numFmtId="3" fontId="29" fillId="5" borderId="1" xfId="0" applyNumberFormat="1" applyFont="1" applyFill="1" applyBorder="1" applyAlignment="1">
      <alignment horizontal="center" wrapText="1"/>
    </xf>
    <xf numFmtId="49" fontId="16" fillId="0" borderId="0" xfId="0" applyNumberFormat="1" applyFont="1" applyAlignment="1">
      <alignment horizontal="center" wrapText="1"/>
    </xf>
    <xf numFmtId="49" fontId="3" fillId="28" borderId="1" xfId="0" applyNumberFormat="1" applyFont="1" applyFill="1" applyBorder="1" applyAlignment="1">
      <alignment horizontal="center" wrapText="1"/>
    </xf>
    <xf numFmtId="49" fontId="0" fillId="0" borderId="0" xfId="0" applyNumberFormat="1" applyFont="1" applyAlignment="1">
      <alignment horizontal="center"/>
    </xf>
    <xf numFmtId="49" fontId="12" fillId="0" borderId="0" xfId="0" applyNumberFormat="1" applyFont="1"/>
    <xf numFmtId="0" fontId="1" fillId="0" borderId="0" xfId="0" applyFont="1" applyAlignment="1">
      <alignment horizontal="center" wrapText="1"/>
    </xf>
    <xf numFmtId="49" fontId="12" fillId="4" borderId="1" xfId="0" applyNumberFormat="1" applyFont="1" applyFill="1" applyBorder="1"/>
    <xf numFmtId="4" fontId="1" fillId="0" borderId="0" xfId="0" applyNumberFormat="1" applyFont="1" applyAlignment="1">
      <alignment horizontal="center" wrapText="1"/>
    </xf>
    <xf numFmtId="165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right" wrapText="1"/>
    </xf>
    <xf numFmtId="164" fontId="7" fillId="5" borderId="1" xfId="0" applyNumberFormat="1" applyFont="1" applyFill="1" applyBorder="1" applyAlignment="1">
      <alignment horizontal="center" wrapText="1"/>
    </xf>
    <xf numFmtId="165" fontId="1" fillId="0" borderId="0" xfId="0" applyNumberFormat="1" applyFont="1"/>
    <xf numFmtId="0" fontId="12" fillId="4" borderId="1" xfId="0" applyFont="1" applyFill="1" applyBorder="1"/>
    <xf numFmtId="171" fontId="1" fillId="6" borderId="1" xfId="0" applyNumberFormat="1" applyFont="1" applyFill="1" applyBorder="1"/>
    <xf numFmtId="165" fontId="0" fillId="0" borderId="0" xfId="0" applyNumberFormat="1" applyFont="1"/>
    <xf numFmtId="4" fontId="0" fillId="0" borderId="0" xfId="0" applyNumberFormat="1" applyFont="1" applyAlignment="1">
      <alignment horizontal="right"/>
    </xf>
    <xf numFmtId="4" fontId="33" fillId="31" borderId="1" xfId="0" applyNumberFormat="1" applyFont="1" applyFill="1" applyBorder="1"/>
    <xf numFmtId="164" fontId="12" fillId="4" borderId="1" xfId="0" applyNumberFormat="1" applyFont="1" applyFill="1" applyBorder="1"/>
    <xf numFmtId="166" fontId="12" fillId="0" borderId="0" xfId="0" applyNumberFormat="1" applyFont="1"/>
    <xf numFmtId="49" fontId="0" fillId="0" borderId="0" xfId="0" quotePrefix="1" applyNumberFormat="1" applyFont="1" applyAlignment="1">
      <alignment wrapText="1"/>
    </xf>
    <xf numFmtId="2" fontId="0" fillId="0" borderId="0" xfId="0" applyNumberFormat="1" applyFont="1" applyAlignment="1">
      <alignment horizontal="right"/>
    </xf>
    <xf numFmtId="4" fontId="1" fillId="6" borderId="1" xfId="0" applyNumberFormat="1" applyFont="1" applyFill="1" applyBorder="1"/>
    <xf numFmtId="0" fontId="1" fillId="4" borderId="1" xfId="0" applyFont="1" applyFill="1" applyBorder="1"/>
    <xf numFmtId="164" fontId="12" fillId="0" borderId="0" xfId="0" applyNumberFormat="1" applyFont="1"/>
    <xf numFmtId="4" fontId="0" fillId="6" borderId="1" xfId="0" applyNumberFormat="1" applyFont="1" applyFill="1" applyBorder="1"/>
    <xf numFmtId="49" fontId="0" fillId="0" borderId="3" xfId="0" applyNumberFormat="1" applyFont="1" applyBorder="1" applyAlignment="1">
      <alignment horizontal="right" wrapText="1"/>
    </xf>
    <xf numFmtId="3" fontId="1" fillId="0" borderId="3" xfId="0" applyNumberFormat="1" applyFont="1" applyBorder="1" applyAlignment="1">
      <alignment wrapText="1"/>
    </xf>
    <xf numFmtId="3" fontId="0" fillId="0" borderId="3" xfId="0" applyNumberFormat="1" applyFont="1" applyBorder="1"/>
    <xf numFmtId="49" fontId="0" fillId="0" borderId="3" xfId="0" applyNumberFormat="1" applyFont="1" applyBorder="1" applyAlignment="1">
      <alignment wrapText="1"/>
    </xf>
    <xf numFmtId="0" fontId="13" fillId="0" borderId="3" xfId="0" applyFont="1" applyBorder="1" applyAlignment="1">
      <alignment horizontal="right"/>
    </xf>
    <xf numFmtId="49" fontId="13" fillId="0" borderId="3" xfId="0" applyNumberFormat="1" applyFont="1" applyBorder="1" applyAlignment="1">
      <alignment horizontal="right" wrapText="1"/>
    </xf>
    <xf numFmtId="166" fontId="7" fillId="0" borderId="0" xfId="0" applyNumberFormat="1" applyFont="1"/>
    <xf numFmtId="49" fontId="0" fillId="16" borderId="1" xfId="0" applyNumberFormat="1" applyFont="1" applyFill="1" applyBorder="1" applyAlignment="1">
      <alignment horizontal="right"/>
    </xf>
    <xf numFmtId="3" fontId="1" fillId="16" borderId="1" xfId="0" applyNumberFormat="1" applyFont="1" applyFill="1" applyBorder="1" applyAlignment="1">
      <alignment wrapText="1"/>
    </xf>
    <xf numFmtId="3" fontId="0" fillId="16" borderId="1" xfId="0" applyNumberFormat="1" applyFont="1" applyFill="1" applyBorder="1"/>
    <xf numFmtId="49" fontId="0" fillId="6" borderId="1" xfId="0" applyNumberFormat="1" applyFont="1" applyFill="1" applyBorder="1" applyAlignment="1">
      <alignment wrapText="1"/>
    </xf>
    <xf numFmtId="0" fontId="23" fillId="0" borderId="0" xfId="0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166" fontId="16" fillId="0" borderId="0" xfId="0" applyNumberFormat="1" applyFont="1" applyAlignment="1">
      <alignment horizontal="right"/>
    </xf>
    <xf numFmtId="49" fontId="17" fillId="0" borderId="0" xfId="0" applyNumberFormat="1" applyFont="1" applyAlignment="1">
      <alignment wrapText="1"/>
    </xf>
    <xf numFmtId="2" fontId="16" fillId="19" borderId="1" xfId="0" applyNumberFormat="1" applyFont="1" applyFill="1" applyBorder="1" applyAlignment="1">
      <alignment horizontal="right"/>
    </xf>
    <xf numFmtId="3" fontId="16" fillId="19" borderId="1" xfId="0" applyNumberFormat="1" applyFont="1" applyFill="1" applyBorder="1" applyAlignment="1">
      <alignment horizontal="right"/>
    </xf>
    <xf numFmtId="166" fontId="16" fillId="19" borderId="1" xfId="0" applyNumberFormat="1" applyFont="1" applyFill="1" applyBorder="1"/>
    <xf numFmtId="49" fontId="17" fillId="19" borderId="1" xfId="0" applyNumberFormat="1" applyFont="1" applyFill="1" applyBorder="1" applyAlignment="1">
      <alignment wrapText="1"/>
    </xf>
    <xf numFmtId="49" fontId="17" fillId="4" borderId="1" xfId="0" applyNumberFormat="1" applyFont="1" applyFill="1" applyBorder="1" applyAlignment="1">
      <alignment wrapText="1"/>
    </xf>
    <xf numFmtId="10" fontId="0" fillId="0" borderId="0" xfId="0" applyNumberFormat="1" applyFont="1"/>
    <xf numFmtId="10" fontId="1" fillId="0" borderId="0" xfId="0" applyNumberFormat="1" applyFont="1"/>
    <xf numFmtId="164" fontId="0" fillId="0" borderId="0" xfId="0" applyNumberFormat="1" applyFont="1" applyAlignment="1">
      <alignment wrapText="1"/>
    </xf>
    <xf numFmtId="4" fontId="1" fillId="0" borderId="0" xfId="0" applyNumberFormat="1" applyFont="1"/>
    <xf numFmtId="4" fontId="12" fillId="4" borderId="1" xfId="0" applyNumberFormat="1" applyFont="1" applyFill="1" applyBorder="1"/>
    <xf numFmtId="0" fontId="4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right"/>
    </xf>
    <xf numFmtId="3" fontId="38" fillId="0" borderId="0" xfId="0" applyNumberFormat="1" applyFont="1"/>
    <xf numFmtId="164" fontId="38" fillId="0" borderId="0" xfId="0" applyNumberFormat="1" applyFont="1"/>
    <xf numFmtId="3" fontId="4" fillId="0" borderId="0" xfId="0" applyNumberFormat="1" applyFont="1"/>
    <xf numFmtId="3" fontId="23" fillId="0" borderId="0" xfId="0" applyNumberFormat="1" applyFont="1" applyAlignment="1">
      <alignment horizontal="right"/>
    </xf>
    <xf numFmtId="166" fontId="39" fillId="4" borderId="1" xfId="0" applyNumberFormat="1" applyFont="1" applyFill="1" applyBorder="1"/>
    <xf numFmtId="3" fontId="10" fillId="0" borderId="0" xfId="0" applyNumberFormat="1" applyFont="1"/>
    <xf numFmtId="4" fontId="10" fillId="0" borderId="0" xfId="0" applyNumberFormat="1" applyFont="1"/>
    <xf numFmtId="165" fontId="38" fillId="0" borderId="0" xfId="0" applyNumberFormat="1" applyFont="1"/>
  </cellXfs>
  <cellStyles count="1">
    <cellStyle name="Normal" xfId="0" builtinId="0"/>
  </cellStyles>
  <dxfs count="206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4C7C3"/>
          <bgColor rgb="FFF4C7C3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90000"/>
      </font>
      <fill>
        <patternFill patternType="solid">
          <fgColor rgb="FFF4CCCC"/>
          <bgColor rgb="FFF4CCC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libraryfossil46@gmail.com" TargetMode="External"/><Relationship Id="rId18" Type="http://schemas.openxmlformats.org/officeDocument/2006/relationships/hyperlink" Target="mailto:delia.fields@hermistonsd.org" TargetMode="External"/><Relationship Id="rId26" Type="http://schemas.openxmlformats.org/officeDocument/2006/relationships/hyperlink" Target="mailto:joseph97846@hotmail.com" TargetMode="External"/><Relationship Id="rId39" Type="http://schemas.openxmlformats.org/officeDocument/2006/relationships/hyperlink" Target="mailto:pilotrockpl@centurytel.net" TargetMode="External"/><Relationship Id="rId21" Type="http://schemas.openxmlformats.org/officeDocument/2006/relationships/hyperlink" Target="mailto:info@hoodriverlibrary.org" TargetMode="External"/><Relationship Id="rId34" Type="http://schemas.openxmlformats.org/officeDocument/2006/relationships/hyperlink" Target="mailto:ontariolibrarydistrict@yahoo.com" TargetMode="External"/><Relationship Id="rId42" Type="http://schemas.openxmlformats.org/officeDocument/2006/relationships/hyperlink" Target="mailto:librarydirector@cityofstanfield.com" TargetMode="External"/><Relationship Id="rId47" Type="http://schemas.openxmlformats.org/officeDocument/2006/relationships/hyperlink" Target="mailto:Audrey.Durfey@ukiah.k12.or.us" TargetMode="External"/><Relationship Id="rId50" Type="http://schemas.openxmlformats.org/officeDocument/2006/relationships/hyperlink" Target="mailto:pshevham@cityofvale.com" TargetMode="External"/><Relationship Id="rId55" Type="http://schemas.openxmlformats.org/officeDocument/2006/relationships/comments" Target="../comments1.xml"/><Relationship Id="rId7" Type="http://schemas.openxmlformats.org/officeDocument/2006/relationships/hyperlink" Target="mailto:tallyk@cove.k12.or.us" TargetMode="External"/><Relationship Id="rId2" Type="http://schemas.openxmlformats.org/officeDocument/2006/relationships/hyperlink" Target="mailto:arlingtonpubliclibraryor97812@gmail.com" TargetMode="External"/><Relationship Id="rId16" Type="http://schemas.openxmlformats.org/officeDocument/2006/relationships/hyperlink" Target="mailto:cheryl@harneycountylibrary.org" TargetMode="External"/><Relationship Id="rId29" Type="http://schemas.openxmlformats.org/officeDocument/2006/relationships/hyperlink" Target="mailto:KRoberson@cookmemoriallibrary.org" TargetMode="External"/><Relationship Id="rId11" Type="http://schemas.openxmlformats.org/officeDocument/2006/relationships/hyperlink" Target="mailto:Publiclibrary@cityofelginor.org" TargetMode="External"/><Relationship Id="rId24" Type="http://schemas.openxmlformats.org/officeDocument/2006/relationships/hyperlink" Target="mailto:ionelibrary@gmail.com" TargetMode="External"/><Relationship Id="rId32" Type="http://schemas.openxmlformats.org/officeDocument/2006/relationships/hyperlink" Target="mailto:npcitylibrary1@gmail.com" TargetMode="External"/><Relationship Id="rId37" Type="http://schemas.openxmlformats.org/officeDocument/2006/relationships/hyperlink" Target="mailto:boardman@otld.org" TargetMode="External"/><Relationship Id="rId40" Type="http://schemas.openxmlformats.org/officeDocument/2006/relationships/hyperlink" Target="mailto:mmartin2@sherman.k12.or.us" TargetMode="External"/><Relationship Id="rId45" Type="http://schemas.openxmlformats.org/officeDocument/2006/relationships/hyperlink" Target="mailto:jwavrunek@ci.the-dalles.or.us" TargetMode="External"/><Relationship Id="rId53" Type="http://schemas.openxmlformats.org/officeDocument/2006/relationships/hyperlink" Target="mailto:wcolibrary@cityofwestonoregon.com" TargetMode="External"/><Relationship Id="rId5" Type="http://schemas.openxmlformats.org/officeDocument/2006/relationships/hyperlink" Target="mailto:onlinelibrary@bluecc.edu" TargetMode="External"/><Relationship Id="rId10" Type="http://schemas.openxmlformats.org/officeDocument/2006/relationships/hyperlink" Target="mailto:cchandler@mail.elgin.k12.or.us" TargetMode="External"/><Relationship Id="rId19" Type="http://schemas.openxmlformats.org/officeDocument/2006/relationships/hyperlink" Target="mailto:mrose@hermiston.or.us" TargetMode="External"/><Relationship Id="rId31" Type="http://schemas.openxmlformats.org/officeDocument/2006/relationships/hyperlink" Target="mailto:Lili.Schmidt@milton-freewater-or.gov" TargetMode="External"/><Relationship Id="rId44" Type="http://schemas.openxmlformats.org/officeDocument/2006/relationships/hyperlink" Target="mailto:malissa.minthorn@tamastslikt.org" TargetMode="External"/><Relationship Id="rId52" Type="http://schemas.openxmlformats.org/officeDocument/2006/relationships/hyperlink" Target="mailto:wallowapubliclibrary@gmail.com" TargetMode="External"/><Relationship Id="rId4" Type="http://schemas.openxmlformats.org/officeDocument/2006/relationships/hyperlink" Target="mailto:info@bakerlib.org" TargetMode="External"/><Relationship Id="rId9" Type="http://schemas.openxmlformats.org/officeDocument/2006/relationships/hyperlink" Target="mailto:echolib@centurytel.net" TargetMode="External"/><Relationship Id="rId14" Type="http://schemas.openxmlformats.org/officeDocument/2006/relationships/hyperlink" Target="mailto:gclibrary@co.gilliam.or.us" TargetMode="External"/><Relationship Id="rId22" Type="http://schemas.openxmlformats.org/officeDocument/2006/relationships/hyperlink" Target="mailto:ann.zuehlke@hoodriver.k12.or.us" TargetMode="External"/><Relationship Id="rId27" Type="http://schemas.openxmlformats.org/officeDocument/2006/relationships/hyperlink" Target="mailto:rich@fishtrap.org" TargetMode="External"/><Relationship Id="rId30" Type="http://schemas.openxmlformats.org/officeDocument/2006/relationships/hyperlink" Target="mailto:info@lakecountylibrary.org" TargetMode="External"/><Relationship Id="rId35" Type="http://schemas.openxmlformats.org/officeDocument/2006/relationships/hyperlink" Target="mailto:kpena@ontario.k12.or.us" TargetMode="External"/><Relationship Id="rId43" Type="http://schemas.openxmlformats.org/officeDocument/2006/relationships/hyperlink" Target="mailto:penny.anderson@stanfieldsd.org" TargetMode="External"/><Relationship Id="rId48" Type="http://schemas.openxmlformats.org/officeDocument/2006/relationships/hyperlink" Target="mailto:library@umatilla-city.org" TargetMode="External"/><Relationship Id="rId8" Type="http://schemas.openxmlformats.org/officeDocument/2006/relationships/hyperlink" Target="mailto:starbuck@harneyesd.k12.or.us" TargetMode="External"/><Relationship Id="rId51" Type="http://schemas.openxmlformats.org/officeDocument/2006/relationships/hyperlink" Target="mailto:jkoda@vale.k12.or.us" TargetMode="External"/><Relationship Id="rId3" Type="http://schemas.openxmlformats.org/officeDocument/2006/relationships/hyperlink" Target="mailto:athenalibrary@cityofathena.com" TargetMode="External"/><Relationship Id="rId12" Type="http://schemas.openxmlformats.org/officeDocument/2006/relationships/hyperlink" Target="mailto:enterpl@eoni.com" TargetMode="External"/><Relationship Id="rId17" Type="http://schemas.openxmlformats.org/officeDocument/2006/relationships/hyperlink" Target="mailto:helixlibrary@helixtel.com" TargetMode="External"/><Relationship Id="rId25" Type="http://schemas.openxmlformats.org/officeDocument/2006/relationships/hyperlink" Target="mailto:Cathy.Halvorsen@ione.k12.or.us" TargetMode="External"/><Relationship Id="rId33" Type="http://schemas.openxmlformats.org/officeDocument/2006/relationships/hyperlink" Target="mailto:nyssalibrary@nyssacity.org" TargetMode="External"/><Relationship Id="rId38" Type="http://schemas.openxmlformats.org/officeDocument/2006/relationships/hyperlink" Target="mailto:Jennifer.Costley@ci.pendleton.or.us" TargetMode="External"/><Relationship Id="rId46" Type="http://schemas.openxmlformats.org/officeDocument/2006/relationships/hyperlink" Target="mailto:library@tvcc.cc" TargetMode="External"/><Relationship Id="rId20" Type="http://schemas.openxmlformats.org/officeDocument/2006/relationships/hyperlink" Target="mailto:debbiepfeiffer@hcsd3.k12.or.us" TargetMode="External"/><Relationship Id="rId41" Type="http://schemas.openxmlformats.org/officeDocument/2006/relationships/hyperlink" Target="mailto:debbiepfeiffer@hcsd3.k12.or.us" TargetMode="External"/><Relationship Id="rId54" Type="http://schemas.openxmlformats.org/officeDocument/2006/relationships/vmlDrawing" Target="../drawings/vmlDrawing1.vml"/><Relationship Id="rId1" Type="http://schemas.openxmlformats.org/officeDocument/2006/relationships/hyperlink" Target="mailto:library@cityofadamsoregon.com" TargetMode="External"/><Relationship Id="rId6" Type="http://schemas.openxmlformats.org/officeDocument/2006/relationships/hyperlink" Target="mailto:DMcManus@cgcc.edu" TargetMode="External"/><Relationship Id="rId15" Type="http://schemas.openxmlformats.org/officeDocument/2006/relationships/hyperlink" Target="mailto:criss.s@harneyesd.k12.or.us" TargetMode="External"/><Relationship Id="rId23" Type="http://schemas.openxmlformats.org/officeDocument/2006/relationships/hyperlink" Target="mailto:Harmonie.Hicks@huntington.k12.or.us" TargetMode="External"/><Relationship Id="rId28" Type="http://schemas.openxmlformats.org/officeDocument/2006/relationships/hyperlink" Target="mailto:kcclrc@klamathcc.edu" TargetMode="External"/><Relationship Id="rId36" Type="http://schemas.openxmlformats.org/officeDocument/2006/relationships/hyperlink" Target="mailto:mfife@ontario.k12.or.us" TargetMode="External"/><Relationship Id="rId49" Type="http://schemas.openxmlformats.org/officeDocument/2006/relationships/hyperlink" Target="mailto:library@cityofunion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libraryfossil46@gmail.com" TargetMode="External"/><Relationship Id="rId18" Type="http://schemas.openxmlformats.org/officeDocument/2006/relationships/hyperlink" Target="mailto:delia.fields@hermistonsd.org" TargetMode="External"/><Relationship Id="rId26" Type="http://schemas.openxmlformats.org/officeDocument/2006/relationships/hyperlink" Target="mailto:joseph97846@hotmail.com" TargetMode="External"/><Relationship Id="rId39" Type="http://schemas.openxmlformats.org/officeDocument/2006/relationships/hyperlink" Target="mailto:pilotrockpl@centurytel.net" TargetMode="External"/><Relationship Id="rId21" Type="http://schemas.openxmlformats.org/officeDocument/2006/relationships/hyperlink" Target="mailto:info@hoodriverlibrary.org" TargetMode="External"/><Relationship Id="rId34" Type="http://schemas.openxmlformats.org/officeDocument/2006/relationships/hyperlink" Target="mailto:ontariolibrarydistrict@yahoo.com" TargetMode="External"/><Relationship Id="rId42" Type="http://schemas.openxmlformats.org/officeDocument/2006/relationships/hyperlink" Target="mailto:librarydirector@cityofstanfield.com" TargetMode="External"/><Relationship Id="rId47" Type="http://schemas.openxmlformats.org/officeDocument/2006/relationships/hyperlink" Target="mailto:Audrey.Durfey@ukiah.k12.or.us" TargetMode="External"/><Relationship Id="rId50" Type="http://schemas.openxmlformats.org/officeDocument/2006/relationships/hyperlink" Target="mailto:pshevham@cityofvale.com" TargetMode="External"/><Relationship Id="rId55" Type="http://schemas.openxmlformats.org/officeDocument/2006/relationships/comments" Target="../comments2.xml"/><Relationship Id="rId7" Type="http://schemas.openxmlformats.org/officeDocument/2006/relationships/hyperlink" Target="mailto:tallyk@cove.k12.or.us" TargetMode="External"/><Relationship Id="rId2" Type="http://schemas.openxmlformats.org/officeDocument/2006/relationships/hyperlink" Target="mailto:arlingtonpubliclibraryor97812@gmail.com" TargetMode="External"/><Relationship Id="rId16" Type="http://schemas.openxmlformats.org/officeDocument/2006/relationships/hyperlink" Target="mailto:cheryl@harneycountylibrary.org" TargetMode="External"/><Relationship Id="rId29" Type="http://schemas.openxmlformats.org/officeDocument/2006/relationships/hyperlink" Target="mailto:KRoberson@cookmemoriallibrary.org" TargetMode="External"/><Relationship Id="rId11" Type="http://schemas.openxmlformats.org/officeDocument/2006/relationships/hyperlink" Target="mailto:Publiclibrary@cityofelginor.org" TargetMode="External"/><Relationship Id="rId24" Type="http://schemas.openxmlformats.org/officeDocument/2006/relationships/hyperlink" Target="mailto:ionelibrary@gmail.com" TargetMode="External"/><Relationship Id="rId32" Type="http://schemas.openxmlformats.org/officeDocument/2006/relationships/hyperlink" Target="mailto:npcitylibrary1@gmail.com" TargetMode="External"/><Relationship Id="rId37" Type="http://schemas.openxmlformats.org/officeDocument/2006/relationships/hyperlink" Target="mailto:boardman@otld.org" TargetMode="External"/><Relationship Id="rId40" Type="http://schemas.openxmlformats.org/officeDocument/2006/relationships/hyperlink" Target="mailto:mmartin2@sherman.k12.or.us" TargetMode="External"/><Relationship Id="rId45" Type="http://schemas.openxmlformats.org/officeDocument/2006/relationships/hyperlink" Target="mailto:jwavrunek@ci.the-dalles.or.us" TargetMode="External"/><Relationship Id="rId53" Type="http://schemas.openxmlformats.org/officeDocument/2006/relationships/hyperlink" Target="mailto:wcolibrary@cityofwestonoregon.com" TargetMode="External"/><Relationship Id="rId5" Type="http://schemas.openxmlformats.org/officeDocument/2006/relationships/hyperlink" Target="mailto:onlinelibrary@bluecc.edu" TargetMode="External"/><Relationship Id="rId10" Type="http://schemas.openxmlformats.org/officeDocument/2006/relationships/hyperlink" Target="mailto:cchandler@mail.elgin.k12.or.us" TargetMode="External"/><Relationship Id="rId19" Type="http://schemas.openxmlformats.org/officeDocument/2006/relationships/hyperlink" Target="mailto:mrose@hermiston.or.us" TargetMode="External"/><Relationship Id="rId31" Type="http://schemas.openxmlformats.org/officeDocument/2006/relationships/hyperlink" Target="mailto:Lili.Schmidt@milton-freewater-or.gov" TargetMode="External"/><Relationship Id="rId44" Type="http://schemas.openxmlformats.org/officeDocument/2006/relationships/hyperlink" Target="mailto:malissa.minthorn@tamastslikt.org" TargetMode="External"/><Relationship Id="rId52" Type="http://schemas.openxmlformats.org/officeDocument/2006/relationships/hyperlink" Target="mailto:wallowapubliclibrary@gmail.com" TargetMode="External"/><Relationship Id="rId4" Type="http://schemas.openxmlformats.org/officeDocument/2006/relationships/hyperlink" Target="mailto:info@bakerlib.org" TargetMode="External"/><Relationship Id="rId9" Type="http://schemas.openxmlformats.org/officeDocument/2006/relationships/hyperlink" Target="mailto:echolib@centurytel.net" TargetMode="External"/><Relationship Id="rId14" Type="http://schemas.openxmlformats.org/officeDocument/2006/relationships/hyperlink" Target="mailto:gclibrary@co.gilliam.or.us" TargetMode="External"/><Relationship Id="rId22" Type="http://schemas.openxmlformats.org/officeDocument/2006/relationships/hyperlink" Target="mailto:ann.zuehlke@hoodriver.k12.or.us" TargetMode="External"/><Relationship Id="rId27" Type="http://schemas.openxmlformats.org/officeDocument/2006/relationships/hyperlink" Target="mailto:rich@fishtrap.org" TargetMode="External"/><Relationship Id="rId30" Type="http://schemas.openxmlformats.org/officeDocument/2006/relationships/hyperlink" Target="mailto:info@lakecountylibrary.org" TargetMode="External"/><Relationship Id="rId35" Type="http://schemas.openxmlformats.org/officeDocument/2006/relationships/hyperlink" Target="mailto:kpena@ontario.k12.or.us" TargetMode="External"/><Relationship Id="rId43" Type="http://schemas.openxmlformats.org/officeDocument/2006/relationships/hyperlink" Target="mailto:penny.anderson@stanfieldsd.org" TargetMode="External"/><Relationship Id="rId48" Type="http://schemas.openxmlformats.org/officeDocument/2006/relationships/hyperlink" Target="mailto:library@umatilla-city.org" TargetMode="External"/><Relationship Id="rId8" Type="http://schemas.openxmlformats.org/officeDocument/2006/relationships/hyperlink" Target="mailto:starbuck@harneyesd.k12.or.us" TargetMode="External"/><Relationship Id="rId51" Type="http://schemas.openxmlformats.org/officeDocument/2006/relationships/hyperlink" Target="mailto:jkoda@vale.k12.or.us" TargetMode="External"/><Relationship Id="rId3" Type="http://schemas.openxmlformats.org/officeDocument/2006/relationships/hyperlink" Target="mailto:athenalibrary@cityofathena.com" TargetMode="External"/><Relationship Id="rId12" Type="http://schemas.openxmlformats.org/officeDocument/2006/relationships/hyperlink" Target="mailto:enterpl@eoni.com" TargetMode="External"/><Relationship Id="rId17" Type="http://schemas.openxmlformats.org/officeDocument/2006/relationships/hyperlink" Target="mailto:helixlibrary@helixtel.com" TargetMode="External"/><Relationship Id="rId25" Type="http://schemas.openxmlformats.org/officeDocument/2006/relationships/hyperlink" Target="mailto:Cathy.Halvorsen@ione.k12.or.us" TargetMode="External"/><Relationship Id="rId33" Type="http://schemas.openxmlformats.org/officeDocument/2006/relationships/hyperlink" Target="mailto:nyssalibrary@nyssacity.org" TargetMode="External"/><Relationship Id="rId38" Type="http://schemas.openxmlformats.org/officeDocument/2006/relationships/hyperlink" Target="mailto:Jennifer.Costley@ci.pendleton.or.us" TargetMode="External"/><Relationship Id="rId46" Type="http://schemas.openxmlformats.org/officeDocument/2006/relationships/hyperlink" Target="mailto:library@tvcc.cc" TargetMode="External"/><Relationship Id="rId20" Type="http://schemas.openxmlformats.org/officeDocument/2006/relationships/hyperlink" Target="mailto:debbiepfeiffer@hcsd3.k12.or.us" TargetMode="External"/><Relationship Id="rId41" Type="http://schemas.openxmlformats.org/officeDocument/2006/relationships/hyperlink" Target="mailto:debbiepfeiffer@hcsd3.k12.or.us" TargetMode="External"/><Relationship Id="rId54" Type="http://schemas.openxmlformats.org/officeDocument/2006/relationships/vmlDrawing" Target="../drawings/vmlDrawing2.vml"/><Relationship Id="rId1" Type="http://schemas.openxmlformats.org/officeDocument/2006/relationships/hyperlink" Target="mailto:library@cityofadamsoregon.com" TargetMode="External"/><Relationship Id="rId6" Type="http://schemas.openxmlformats.org/officeDocument/2006/relationships/hyperlink" Target="mailto:DMcManus@cgcc.edu" TargetMode="External"/><Relationship Id="rId15" Type="http://schemas.openxmlformats.org/officeDocument/2006/relationships/hyperlink" Target="mailto:criss.s@harneyesd.k12.or.us" TargetMode="External"/><Relationship Id="rId23" Type="http://schemas.openxmlformats.org/officeDocument/2006/relationships/hyperlink" Target="mailto:Harmonie.Hicks@huntington.k12.or.us" TargetMode="External"/><Relationship Id="rId28" Type="http://schemas.openxmlformats.org/officeDocument/2006/relationships/hyperlink" Target="mailto:kcclrc@klamathcc.edu" TargetMode="External"/><Relationship Id="rId36" Type="http://schemas.openxmlformats.org/officeDocument/2006/relationships/hyperlink" Target="mailto:mfife@ontario.k12.or.us" TargetMode="External"/><Relationship Id="rId49" Type="http://schemas.openxmlformats.org/officeDocument/2006/relationships/hyperlink" Target="mailto:library@cityofuni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Q295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14.3984375" defaultRowHeight="15" customHeight="1" x14ac:dyDescent="0.45"/>
  <cols>
    <col min="1" max="1" width="41" customWidth="1"/>
    <col min="2" max="2" width="30.3984375" customWidth="1"/>
    <col min="3" max="3" width="40" customWidth="1"/>
    <col min="4" max="4" width="1.3984375" customWidth="1"/>
    <col min="5" max="5" width="14" customWidth="1"/>
    <col min="6" max="6" width="10.73046875" customWidth="1"/>
    <col min="7" max="7" width="9.53125" customWidth="1"/>
    <col min="8" max="8" width="9.1328125" customWidth="1"/>
    <col min="9" max="9" width="9.265625" customWidth="1"/>
    <col min="10" max="12" width="12.1328125" hidden="1" customWidth="1"/>
    <col min="13" max="13" width="14.265625" hidden="1" customWidth="1"/>
    <col min="14" max="14" width="8.53125" hidden="1" customWidth="1"/>
    <col min="15" max="15" width="3.265625" customWidth="1"/>
    <col min="16" max="16" width="20" customWidth="1"/>
    <col min="17" max="17" width="2.73046875" customWidth="1"/>
    <col min="18" max="18" width="20" customWidth="1"/>
    <col min="19" max="19" width="2.73046875" customWidth="1"/>
    <col min="20" max="20" width="20" customWidth="1"/>
    <col min="21" max="21" width="9.265625" customWidth="1"/>
    <col min="22" max="22" width="4.86328125" customWidth="1"/>
    <col min="23" max="23" width="20" customWidth="1"/>
    <col min="24" max="24" width="9.1328125" customWidth="1"/>
    <col min="25" max="25" width="6.73046875" customWidth="1"/>
    <col min="26" max="26" width="2.53125" customWidth="1"/>
    <col min="27" max="27" width="19.3984375" customWidth="1"/>
    <col min="28" max="28" width="9.1328125" customWidth="1"/>
    <col min="29" max="29" width="9.53125" customWidth="1"/>
    <col min="30" max="30" width="3" customWidth="1"/>
    <col min="31" max="31" width="10.73046875" hidden="1" customWidth="1"/>
    <col min="32" max="32" width="8.3984375" hidden="1" customWidth="1"/>
    <col min="33" max="33" width="8.53125" hidden="1" customWidth="1"/>
    <col min="34" max="34" width="1.73046875" hidden="1" customWidth="1"/>
    <col min="35" max="35" width="10" hidden="1" customWidth="1"/>
    <col min="36" max="36" width="7.73046875" hidden="1" customWidth="1"/>
    <col min="37" max="37" width="8.53125" hidden="1" customWidth="1"/>
    <col min="38" max="38" width="10.53125" hidden="1" customWidth="1"/>
    <col min="39" max="39" width="2.3984375" hidden="1" customWidth="1"/>
    <col min="40" max="40" width="10" hidden="1" customWidth="1"/>
    <col min="41" max="41" width="8.265625" hidden="1" customWidth="1"/>
    <col min="42" max="42" width="2" hidden="1" customWidth="1"/>
    <col min="43" max="43" width="12.3984375" hidden="1" customWidth="1"/>
    <col min="44" max="44" width="8.73046875" hidden="1" customWidth="1"/>
    <col min="45" max="45" width="1.86328125" hidden="1" customWidth="1"/>
    <col min="46" max="46" width="12.265625" hidden="1" customWidth="1"/>
    <col min="47" max="47" width="8.265625" hidden="1" customWidth="1"/>
    <col min="48" max="48" width="2" hidden="1" customWidth="1"/>
    <col min="49" max="49" width="11" hidden="1" customWidth="1"/>
    <col min="50" max="50" width="8" hidden="1" customWidth="1"/>
    <col min="51" max="51" width="1.86328125" hidden="1" customWidth="1"/>
    <col min="52" max="52" width="11.53125" hidden="1" customWidth="1"/>
    <col min="53" max="53" width="8.73046875" hidden="1" customWidth="1"/>
    <col min="54" max="54" width="0.1328125" customWidth="1"/>
    <col min="55" max="55" width="22.3984375" hidden="1" customWidth="1"/>
    <col min="56" max="56" width="9.53125" hidden="1" customWidth="1"/>
    <col min="57" max="57" width="3" hidden="1" customWidth="1"/>
    <col min="58" max="58" width="22.3984375" hidden="1" customWidth="1"/>
    <col min="59" max="59" width="10" hidden="1" customWidth="1"/>
    <col min="60" max="60" width="1.86328125" hidden="1" customWidth="1"/>
    <col min="61" max="61" width="24.53125" hidden="1" customWidth="1"/>
    <col min="62" max="62" width="9.53125" hidden="1" customWidth="1"/>
    <col min="63" max="63" width="1.86328125" hidden="1" customWidth="1"/>
    <col min="64" max="64" width="22.3984375" hidden="1" customWidth="1"/>
    <col min="65" max="65" width="10" hidden="1" customWidth="1"/>
    <col min="66" max="66" width="2.265625" hidden="1" customWidth="1"/>
    <col min="67" max="67" width="22.3984375" hidden="1" customWidth="1"/>
    <col min="68" max="68" width="9.53125" hidden="1" customWidth="1"/>
    <col min="69" max="69" width="22.3984375" hidden="1" customWidth="1"/>
    <col min="70" max="70" width="9.1328125" hidden="1" customWidth="1"/>
    <col min="71" max="71" width="2.86328125" hidden="1" customWidth="1"/>
    <col min="72" max="72" width="22.3984375" hidden="1" customWidth="1"/>
    <col min="73" max="73" width="9.1328125" hidden="1" customWidth="1"/>
    <col min="74" max="74" width="3.73046875" hidden="1" customWidth="1"/>
    <col min="75" max="75" width="2.53125" hidden="1" customWidth="1"/>
    <col min="76" max="76" width="15.73046875" hidden="1" customWidth="1"/>
    <col min="77" max="77" width="9.1328125" hidden="1" customWidth="1"/>
    <col min="78" max="78" width="2.3984375" hidden="1" customWidth="1"/>
    <col min="79" max="79" width="15.73046875" hidden="1" customWidth="1"/>
    <col min="80" max="80" width="9.1328125" hidden="1" customWidth="1"/>
    <col min="81" max="81" width="3.53125" hidden="1" customWidth="1"/>
    <col min="82" max="82" width="15.73046875" hidden="1" customWidth="1"/>
    <col min="83" max="83" width="9.1328125" hidden="1" customWidth="1"/>
    <col min="84" max="84" width="3.86328125" hidden="1" customWidth="1"/>
    <col min="85" max="85" width="15.73046875" hidden="1" customWidth="1"/>
    <col min="86" max="86" width="9.1328125" hidden="1" customWidth="1"/>
    <col min="87" max="87" width="2.73046875" hidden="1" customWidth="1"/>
    <col min="88" max="88" width="15.73046875" hidden="1" customWidth="1"/>
    <col min="89" max="89" width="9.1328125" hidden="1" customWidth="1"/>
    <col min="90" max="90" width="3.73046875" hidden="1" customWidth="1"/>
    <col min="91" max="91" width="15.73046875" hidden="1" customWidth="1"/>
    <col min="92" max="92" width="9.1328125" hidden="1" customWidth="1"/>
    <col min="93" max="93" width="2.3984375" hidden="1" customWidth="1"/>
    <col min="94" max="94" width="15.73046875" hidden="1" customWidth="1"/>
    <col min="95" max="95" width="9.1328125" hidden="1" customWidth="1"/>
  </cols>
  <sheetData>
    <row r="1" spans="1:95" ht="29.25" customHeight="1" x14ac:dyDescent="0.45">
      <c r="A1" s="1"/>
      <c r="B1" s="1"/>
      <c r="C1" s="2"/>
      <c r="D1" s="2"/>
      <c r="E1" s="2"/>
      <c r="F1" s="3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0</v>
      </c>
      <c r="X1" s="1"/>
      <c r="Y1" s="1"/>
      <c r="Z1" s="1"/>
      <c r="AA1" s="1"/>
      <c r="AB1" s="1"/>
      <c r="AC1" s="4"/>
      <c r="AD1" s="1"/>
      <c r="AE1" s="1" t="s">
        <v>1</v>
      </c>
      <c r="AF1" s="1"/>
      <c r="AG1" s="1"/>
      <c r="AH1" s="1"/>
      <c r="AI1" s="1" t="s">
        <v>2</v>
      </c>
      <c r="AJ1" s="1"/>
      <c r="AK1" s="1"/>
      <c r="AL1" s="1"/>
      <c r="AM1" s="1"/>
      <c r="AN1" s="1" t="s">
        <v>3</v>
      </c>
      <c r="AO1" s="1"/>
      <c r="AP1" s="1"/>
      <c r="AQ1" s="1" t="s">
        <v>4</v>
      </c>
      <c r="AR1" s="1"/>
      <c r="AS1" s="1"/>
      <c r="AT1" s="1" t="s">
        <v>5</v>
      </c>
      <c r="AU1" s="1"/>
      <c r="AV1" s="1"/>
      <c r="AW1" s="1" t="s">
        <v>6</v>
      </c>
      <c r="AX1" s="1"/>
      <c r="AY1" s="1"/>
      <c r="AZ1" s="1" t="s">
        <v>7</v>
      </c>
      <c r="BA1" s="1"/>
      <c r="BB1" s="1"/>
      <c r="BC1" s="5" t="s">
        <v>8</v>
      </c>
      <c r="BD1" s="1"/>
      <c r="BE1" s="1"/>
      <c r="BF1" s="1" t="s">
        <v>9</v>
      </c>
      <c r="BG1" s="1"/>
      <c r="BH1" s="1"/>
      <c r="BI1" s="1" t="s">
        <v>10</v>
      </c>
      <c r="BJ1" s="1"/>
      <c r="BK1" s="1"/>
      <c r="BL1" s="1" t="s">
        <v>11</v>
      </c>
      <c r="BM1" s="1"/>
      <c r="BN1" s="1"/>
      <c r="BO1" s="1" t="s">
        <v>12</v>
      </c>
      <c r="BP1" s="1"/>
      <c r="BQ1" s="1" t="s">
        <v>13</v>
      </c>
      <c r="BR1" s="1"/>
      <c r="BS1" s="1"/>
      <c r="BT1" s="1" t="s">
        <v>14</v>
      </c>
      <c r="BU1" s="1"/>
      <c r="BV1" s="1"/>
      <c r="BW1" s="1"/>
      <c r="BX1" s="5" t="s">
        <v>15</v>
      </c>
      <c r="BY1" s="1"/>
      <c r="BZ1" s="1"/>
      <c r="CA1" s="1" t="s">
        <v>16</v>
      </c>
      <c r="CB1" s="1"/>
      <c r="CC1" s="1"/>
      <c r="CD1" s="1" t="s">
        <v>17</v>
      </c>
      <c r="CE1" s="1"/>
      <c r="CF1" s="1"/>
      <c r="CG1" s="1" t="s">
        <v>18</v>
      </c>
      <c r="CH1" s="1"/>
      <c r="CI1" s="1"/>
      <c r="CJ1" s="1" t="s">
        <v>19</v>
      </c>
      <c r="CK1" s="1"/>
      <c r="CL1" s="1"/>
      <c r="CM1" s="1" t="s">
        <v>20</v>
      </c>
      <c r="CN1" s="1"/>
      <c r="CO1" s="1"/>
      <c r="CP1" s="1" t="s">
        <v>21</v>
      </c>
      <c r="CQ1" s="1"/>
    </row>
    <row r="2" spans="1:95" ht="90" customHeight="1" x14ac:dyDescent="0.7">
      <c r="A2" s="6" t="s">
        <v>22</v>
      </c>
      <c r="B2" s="6" t="s">
        <v>23</v>
      </c>
      <c r="C2" s="7" t="s">
        <v>24</v>
      </c>
      <c r="D2" s="7"/>
      <c r="E2" s="8" t="s">
        <v>25</v>
      </c>
      <c r="F2" s="3" t="s">
        <v>26</v>
      </c>
      <c r="G2" s="2" t="s">
        <v>27</v>
      </c>
      <c r="H2" s="2" t="s">
        <v>28</v>
      </c>
      <c r="I2" s="7" t="s">
        <v>29</v>
      </c>
      <c r="J2" s="9" t="s">
        <v>30</v>
      </c>
      <c r="K2" s="9" t="s">
        <v>31</v>
      </c>
      <c r="L2" s="9" t="s">
        <v>32</v>
      </c>
      <c r="M2" s="2" t="s">
        <v>33</v>
      </c>
      <c r="N2" s="2" t="s">
        <v>34</v>
      </c>
      <c r="O2" s="2"/>
      <c r="P2" s="10" t="s">
        <v>35</v>
      </c>
      <c r="Q2" s="11"/>
      <c r="R2" s="10" t="s">
        <v>36</v>
      </c>
      <c r="S2" s="11"/>
      <c r="T2" s="10" t="s">
        <v>37</v>
      </c>
      <c r="U2" s="12" t="s">
        <v>38</v>
      </c>
      <c r="V2" s="13"/>
      <c r="W2" s="14" t="s">
        <v>39</v>
      </c>
      <c r="X2" s="15" t="s">
        <v>40</v>
      </c>
      <c r="Y2" s="15"/>
      <c r="Z2" s="15"/>
      <c r="AA2" s="14" t="s">
        <v>41</v>
      </c>
      <c r="AB2" s="15" t="s">
        <v>40</v>
      </c>
      <c r="AC2" s="16"/>
      <c r="AD2" s="11"/>
      <c r="AE2" s="17" t="s">
        <v>42</v>
      </c>
      <c r="AF2" s="18" t="s">
        <v>29</v>
      </c>
      <c r="AG2" s="19" t="s">
        <v>38</v>
      </c>
      <c r="AH2" s="11"/>
      <c r="AI2" s="20" t="s">
        <v>43</v>
      </c>
      <c r="AJ2" s="18" t="s">
        <v>29</v>
      </c>
      <c r="AK2" s="19" t="s">
        <v>44</v>
      </c>
      <c r="AL2" s="19" t="s">
        <v>45</v>
      </c>
      <c r="AM2" s="18"/>
      <c r="AN2" s="21" t="s">
        <v>46</v>
      </c>
      <c r="AO2" s="18" t="s">
        <v>29</v>
      </c>
      <c r="AP2" s="22"/>
      <c r="AQ2" s="17" t="s">
        <v>47</v>
      </c>
      <c r="AR2" s="18" t="s">
        <v>29</v>
      </c>
      <c r="AS2" s="22"/>
      <c r="AT2" s="17" t="s">
        <v>48</v>
      </c>
      <c r="AU2" s="18" t="s">
        <v>29</v>
      </c>
      <c r="AV2" s="22"/>
      <c r="AW2" s="17" t="s">
        <v>49</v>
      </c>
      <c r="AX2" s="18" t="s">
        <v>29</v>
      </c>
      <c r="AY2" s="22"/>
      <c r="AZ2" s="17" t="s">
        <v>50</v>
      </c>
      <c r="BA2" s="18" t="s">
        <v>29</v>
      </c>
      <c r="BB2" s="22"/>
      <c r="BC2" s="23" t="s">
        <v>51</v>
      </c>
      <c r="BD2" s="18" t="s">
        <v>29</v>
      </c>
      <c r="BE2" s="18"/>
      <c r="BF2" s="20" t="s">
        <v>51</v>
      </c>
      <c r="BG2" s="18" t="s">
        <v>29</v>
      </c>
      <c r="BH2" s="18"/>
      <c r="BI2" s="20" t="s">
        <v>51</v>
      </c>
      <c r="BJ2" s="18" t="s">
        <v>29</v>
      </c>
      <c r="BK2" s="18"/>
      <c r="BL2" s="20" t="s">
        <v>51</v>
      </c>
      <c r="BM2" s="18" t="s">
        <v>29</v>
      </c>
      <c r="BN2" s="18"/>
      <c r="BO2" s="20" t="s">
        <v>51</v>
      </c>
      <c r="BP2" s="18" t="s">
        <v>29</v>
      </c>
      <c r="BQ2" s="20" t="s">
        <v>51</v>
      </c>
      <c r="BR2" s="18" t="s">
        <v>29</v>
      </c>
      <c r="BS2" s="18"/>
      <c r="BT2" s="23" t="s">
        <v>51</v>
      </c>
      <c r="BU2" s="18" t="s">
        <v>29</v>
      </c>
      <c r="BV2" s="18"/>
      <c r="BW2" s="22"/>
      <c r="BX2" s="17" t="s">
        <v>52</v>
      </c>
      <c r="BY2" s="18" t="s">
        <v>29</v>
      </c>
      <c r="BZ2" s="22"/>
      <c r="CA2" s="24" t="s">
        <v>52</v>
      </c>
      <c r="CB2" s="18" t="s">
        <v>29</v>
      </c>
      <c r="CC2" s="22"/>
      <c r="CD2" s="24" t="s">
        <v>52</v>
      </c>
      <c r="CE2" s="18" t="s">
        <v>29</v>
      </c>
      <c r="CF2" s="22"/>
      <c r="CG2" s="24" t="s">
        <v>52</v>
      </c>
      <c r="CH2" s="18" t="s">
        <v>29</v>
      </c>
      <c r="CI2" s="22"/>
      <c r="CJ2" s="24" t="s">
        <v>52</v>
      </c>
      <c r="CK2" s="18" t="s">
        <v>29</v>
      </c>
      <c r="CL2" s="22"/>
      <c r="CM2" s="24" t="s">
        <v>52</v>
      </c>
      <c r="CN2" s="18" t="s">
        <v>29</v>
      </c>
      <c r="CO2" s="22"/>
      <c r="CP2" s="17" t="s">
        <v>52</v>
      </c>
      <c r="CQ2" s="18" t="s">
        <v>29</v>
      </c>
    </row>
    <row r="3" spans="1:95" ht="14.25" x14ac:dyDescent="0.45">
      <c r="A3" s="25" t="s">
        <v>53</v>
      </c>
      <c r="B3" s="25"/>
      <c r="C3" s="26"/>
      <c r="D3" s="26"/>
      <c r="E3" s="26"/>
      <c r="F3" s="27"/>
      <c r="G3" s="28"/>
      <c r="H3" s="28"/>
      <c r="I3" s="26"/>
      <c r="J3" s="25"/>
      <c r="K3" s="25"/>
      <c r="L3" s="25"/>
      <c r="M3" s="29"/>
      <c r="N3" s="28"/>
      <c r="O3" s="28"/>
      <c r="P3" s="30">
        <v>0.03</v>
      </c>
      <c r="Q3" s="31"/>
      <c r="R3" s="30">
        <v>6.5000000000000002E-2</v>
      </c>
      <c r="S3" s="31"/>
      <c r="T3" s="30">
        <v>2.5000000000000001E-2</v>
      </c>
      <c r="U3" s="32"/>
      <c r="V3" s="33"/>
      <c r="W3" s="34">
        <v>3.1E-2</v>
      </c>
      <c r="X3" s="35"/>
      <c r="Y3" s="35"/>
      <c r="Z3" s="35"/>
      <c r="AA3" s="36" t="s">
        <v>54</v>
      </c>
      <c r="AB3" s="35"/>
      <c r="AC3" s="35"/>
      <c r="AD3" s="37"/>
      <c r="AE3" s="28"/>
      <c r="AF3" s="28"/>
      <c r="AG3" s="28"/>
      <c r="AH3" s="37"/>
      <c r="AI3" s="28"/>
      <c r="AJ3" s="28"/>
      <c r="AK3" s="28"/>
      <c r="AL3" s="28"/>
      <c r="AM3" s="28"/>
      <c r="AN3" s="38">
        <v>0.16550000000000001</v>
      </c>
      <c r="AO3" s="28"/>
      <c r="AP3" s="37"/>
      <c r="AQ3" s="39">
        <f>'Op4'!AC4</f>
        <v>615.59252777777783</v>
      </c>
      <c r="AR3" s="28"/>
      <c r="AS3" s="37"/>
      <c r="AT3" s="39">
        <f>'Op5'!AC4</f>
        <v>519.51683333333335</v>
      </c>
      <c r="AU3" s="28"/>
      <c r="AV3" s="37"/>
      <c r="AW3" s="39">
        <f>'Op6'!AC4</f>
        <v>519.51683333333335</v>
      </c>
      <c r="AX3" s="28"/>
      <c r="AY3" s="37"/>
      <c r="AZ3" s="39">
        <f>'Op7'!AC4</f>
        <v>519.51683333333335</v>
      </c>
      <c r="BA3" s="28"/>
      <c r="BB3" s="37"/>
      <c r="BC3" s="39">
        <f>'Op8'!$AC$4</f>
        <v>692.68911111111106</v>
      </c>
      <c r="BD3" s="28"/>
      <c r="BE3" s="28"/>
      <c r="BF3" s="39">
        <v>855.50476936708367</v>
      </c>
      <c r="BG3" s="28"/>
      <c r="BH3" s="28"/>
      <c r="BI3" s="39">
        <v>513.30286162025016</v>
      </c>
      <c r="BJ3" s="28"/>
      <c r="BK3" s="28"/>
      <c r="BL3" s="39">
        <v>855.50476936708367</v>
      </c>
      <c r="BM3" s="28"/>
      <c r="BN3" s="28"/>
      <c r="BO3" s="39">
        <v>855.50476936708367</v>
      </c>
      <c r="BP3" s="28"/>
      <c r="BQ3" s="39">
        <v>1707.187779474908</v>
      </c>
      <c r="BR3" s="28"/>
      <c r="BS3" s="28"/>
      <c r="BT3" s="39">
        <v>1714.8312979934267</v>
      </c>
      <c r="BU3" s="28"/>
      <c r="BV3" s="28"/>
      <c r="BW3" s="37"/>
      <c r="BX3" s="39">
        <f>'Op9'!AC4</f>
        <v>694.21781481481491</v>
      </c>
      <c r="BY3" s="28"/>
      <c r="BZ3" s="37"/>
      <c r="CA3" s="39">
        <v>855.50476936708367</v>
      </c>
      <c r="CB3" s="28"/>
      <c r="CC3" s="37"/>
      <c r="CD3" s="39">
        <v>513.30286162025016</v>
      </c>
      <c r="CE3" s="28"/>
      <c r="CF3" s="37"/>
      <c r="CG3" s="39">
        <v>855.50476936708367</v>
      </c>
      <c r="CH3" s="28"/>
      <c r="CI3" s="37"/>
      <c r="CJ3" s="39">
        <v>855.50476936708367</v>
      </c>
      <c r="CK3" s="28"/>
      <c r="CL3" s="37"/>
      <c r="CM3" s="39">
        <v>1707.187779474908</v>
      </c>
      <c r="CN3" s="28"/>
      <c r="CO3" s="37"/>
      <c r="CP3" s="39">
        <v>1714.8312979934267</v>
      </c>
      <c r="CQ3" s="28"/>
    </row>
    <row r="4" spans="1:95" ht="14.25" hidden="1" x14ac:dyDescent="0.45">
      <c r="A4" s="40" t="s">
        <v>55</v>
      </c>
      <c r="B4" s="40"/>
      <c r="C4" s="41"/>
      <c r="D4" s="41"/>
      <c r="E4" s="41"/>
      <c r="F4" s="42"/>
      <c r="G4" s="18"/>
      <c r="H4" s="18"/>
      <c r="I4" s="41"/>
      <c r="J4" s="40"/>
      <c r="K4" s="40"/>
      <c r="L4" s="40"/>
      <c r="M4" s="3"/>
      <c r="N4" s="18"/>
      <c r="O4" s="18"/>
      <c r="P4" s="43"/>
      <c r="Q4" s="44"/>
      <c r="R4" s="43"/>
      <c r="S4" s="44"/>
      <c r="T4" s="43"/>
      <c r="U4" s="45"/>
      <c r="V4" s="46"/>
      <c r="W4" s="47"/>
      <c r="X4" s="47"/>
      <c r="Y4" s="47"/>
      <c r="Z4" s="47"/>
      <c r="AA4" s="47"/>
      <c r="AB4" s="47"/>
      <c r="AC4" s="47"/>
      <c r="AD4" s="22"/>
      <c r="AE4" s="48">
        <v>1</v>
      </c>
      <c r="AF4" s="18"/>
      <c r="AG4" s="18"/>
      <c r="AH4" s="22"/>
      <c r="AI4" s="49">
        <v>0</v>
      </c>
      <c r="AJ4" s="18"/>
      <c r="AK4" s="18"/>
      <c r="AL4" s="18"/>
      <c r="AM4" s="18"/>
      <c r="AN4" s="49">
        <v>0</v>
      </c>
      <c r="AO4" s="18"/>
      <c r="AP4" s="22"/>
      <c r="AQ4" s="49">
        <v>0</v>
      </c>
      <c r="AR4" s="18"/>
      <c r="AS4" s="22"/>
      <c r="AT4" s="49">
        <v>0</v>
      </c>
      <c r="AU4" s="18"/>
      <c r="AV4" s="22"/>
      <c r="AW4" s="49">
        <v>0</v>
      </c>
      <c r="AX4" s="18"/>
      <c r="AY4" s="22"/>
      <c r="AZ4" s="49">
        <v>0</v>
      </c>
      <c r="BA4" s="18"/>
      <c r="BB4" s="22"/>
      <c r="BC4" s="49">
        <v>0</v>
      </c>
      <c r="BD4" s="18"/>
      <c r="BE4" s="18"/>
      <c r="BF4" s="49">
        <v>0</v>
      </c>
      <c r="BG4" s="18"/>
      <c r="BH4" s="18"/>
      <c r="BI4" s="49">
        <v>0</v>
      </c>
      <c r="BJ4" s="18"/>
      <c r="BK4" s="18"/>
      <c r="BL4" s="49">
        <v>0</v>
      </c>
      <c r="BM4" s="18"/>
      <c r="BN4" s="18"/>
      <c r="BO4" s="49">
        <v>0</v>
      </c>
      <c r="BP4" s="18"/>
      <c r="BQ4" s="49">
        <v>0</v>
      </c>
      <c r="BR4" s="18"/>
      <c r="BS4" s="18"/>
      <c r="BT4" s="49">
        <v>0</v>
      </c>
      <c r="BU4" s="18"/>
      <c r="BV4" s="18"/>
      <c r="BW4" s="22"/>
      <c r="BX4" s="50">
        <v>0.3</v>
      </c>
      <c r="BY4" s="18"/>
      <c r="BZ4" s="22"/>
      <c r="CA4" s="50">
        <v>0.3</v>
      </c>
      <c r="CB4" s="18"/>
      <c r="CC4" s="22"/>
      <c r="CD4" s="50">
        <v>0.35</v>
      </c>
      <c r="CE4" s="18"/>
      <c r="CF4" s="22"/>
      <c r="CG4" s="50">
        <v>0.35</v>
      </c>
      <c r="CH4" s="18"/>
      <c r="CI4" s="22"/>
      <c r="CJ4" s="50">
        <v>0.25</v>
      </c>
      <c r="CK4" s="18"/>
      <c r="CL4" s="22"/>
      <c r="CM4" s="50">
        <v>0.5</v>
      </c>
      <c r="CN4" s="18"/>
      <c r="CO4" s="22"/>
      <c r="CP4" s="50">
        <v>0.5</v>
      </c>
      <c r="CQ4" s="18"/>
    </row>
    <row r="5" spans="1:95" ht="14.25" hidden="1" x14ac:dyDescent="0.45">
      <c r="A5" s="40" t="s">
        <v>56</v>
      </c>
      <c r="B5" s="40"/>
      <c r="C5" s="41"/>
      <c r="D5" s="41"/>
      <c r="E5" s="41"/>
      <c r="F5" s="42"/>
      <c r="G5" s="18"/>
      <c r="H5" s="18"/>
      <c r="I5" s="41"/>
      <c r="J5" s="40"/>
      <c r="K5" s="40"/>
      <c r="L5" s="40"/>
      <c r="M5" s="3"/>
      <c r="N5" s="18"/>
      <c r="O5" s="18"/>
      <c r="P5" s="43"/>
      <c r="Q5" s="44"/>
      <c r="R5" s="43"/>
      <c r="S5" s="44"/>
      <c r="T5" s="43"/>
      <c r="U5" s="45"/>
      <c r="V5" s="46"/>
      <c r="W5" s="22"/>
      <c r="X5" s="22"/>
      <c r="Y5" s="22"/>
      <c r="Z5" s="22"/>
      <c r="AA5" s="22"/>
      <c r="AB5" s="22"/>
      <c r="AC5" s="44"/>
      <c r="AD5" s="22"/>
      <c r="AE5" s="49">
        <v>0</v>
      </c>
      <c r="AF5" s="18"/>
      <c r="AG5" s="18"/>
      <c r="AH5" s="22"/>
      <c r="AI5" s="51">
        <v>1</v>
      </c>
      <c r="AJ5" s="18"/>
      <c r="AK5" s="18"/>
      <c r="AL5" s="18"/>
      <c r="AM5" s="18"/>
      <c r="AN5" s="49">
        <v>0</v>
      </c>
      <c r="AO5" s="18"/>
      <c r="AP5" s="52"/>
      <c r="AQ5" s="49">
        <v>0.85</v>
      </c>
      <c r="AR5" s="18"/>
      <c r="AS5" s="52"/>
      <c r="AT5" s="50">
        <v>0.85</v>
      </c>
      <c r="AU5" s="18"/>
      <c r="AV5" s="52"/>
      <c r="AW5" s="50">
        <v>0</v>
      </c>
      <c r="AX5" s="18"/>
      <c r="AY5" s="52"/>
      <c r="AZ5" s="50">
        <v>0.85</v>
      </c>
      <c r="BA5" s="18"/>
      <c r="BB5" s="22"/>
      <c r="BC5" s="50">
        <v>0.3</v>
      </c>
      <c r="BD5" s="18"/>
      <c r="BE5" s="18"/>
      <c r="BF5" s="50">
        <v>0.3</v>
      </c>
      <c r="BG5" s="18"/>
      <c r="BH5" s="18"/>
      <c r="BI5" s="50">
        <v>0.35</v>
      </c>
      <c r="BJ5" s="18"/>
      <c r="BK5" s="18"/>
      <c r="BL5" s="50">
        <v>0.35</v>
      </c>
      <c r="BM5" s="18"/>
      <c r="BN5" s="18"/>
      <c r="BO5" s="50">
        <v>0.25</v>
      </c>
      <c r="BP5" s="18"/>
      <c r="BQ5" s="50">
        <v>0.5</v>
      </c>
      <c r="BR5" s="18"/>
      <c r="BS5" s="18"/>
      <c r="BT5" s="50">
        <v>0.5</v>
      </c>
      <c r="BU5" s="18"/>
      <c r="BV5" s="18"/>
      <c r="BW5" s="22"/>
      <c r="BX5" s="50">
        <v>0</v>
      </c>
      <c r="BY5" s="18"/>
      <c r="BZ5" s="22"/>
      <c r="CA5" s="50">
        <v>0</v>
      </c>
      <c r="CB5" s="18"/>
      <c r="CC5" s="22"/>
      <c r="CD5" s="50">
        <v>0</v>
      </c>
      <c r="CE5" s="18"/>
      <c r="CF5" s="22"/>
      <c r="CG5" s="50">
        <v>0</v>
      </c>
      <c r="CH5" s="18"/>
      <c r="CI5" s="22"/>
      <c r="CJ5" s="50">
        <v>0</v>
      </c>
      <c r="CK5" s="18"/>
      <c r="CL5" s="22"/>
      <c r="CM5" s="50">
        <v>0</v>
      </c>
      <c r="CN5" s="18"/>
      <c r="CO5" s="22"/>
      <c r="CP5" s="50">
        <v>0</v>
      </c>
      <c r="CQ5" s="18"/>
    </row>
    <row r="6" spans="1:95" ht="14.25" hidden="1" x14ac:dyDescent="0.45">
      <c r="A6" s="40" t="s">
        <v>57</v>
      </c>
      <c r="B6" s="40"/>
      <c r="C6" s="41"/>
      <c r="D6" s="41"/>
      <c r="E6" s="41"/>
      <c r="F6" s="42"/>
      <c r="G6" s="18"/>
      <c r="H6" s="18"/>
      <c r="I6" s="41"/>
      <c r="J6" s="40"/>
      <c r="K6" s="40"/>
      <c r="L6" s="40"/>
      <c r="M6" s="3"/>
      <c r="N6" s="18"/>
      <c r="O6" s="18"/>
      <c r="P6" s="43"/>
      <c r="Q6" s="44"/>
      <c r="R6" s="43"/>
      <c r="S6" s="44"/>
      <c r="T6" s="43"/>
      <c r="U6" s="45"/>
      <c r="V6" s="46"/>
      <c r="W6" s="22"/>
      <c r="X6" s="22"/>
      <c r="Y6" s="22"/>
      <c r="Z6" s="22"/>
      <c r="AA6" s="22"/>
      <c r="AB6" s="22"/>
      <c r="AC6" s="44"/>
      <c r="AD6" s="22"/>
      <c r="AE6" s="49">
        <v>0</v>
      </c>
      <c r="AF6" s="18"/>
      <c r="AG6" s="18"/>
      <c r="AH6" s="22"/>
      <c r="AI6" s="49">
        <v>0</v>
      </c>
      <c r="AJ6" s="18"/>
      <c r="AK6" s="18"/>
      <c r="AL6" s="18"/>
      <c r="AM6" s="18"/>
      <c r="AN6" s="51">
        <v>1</v>
      </c>
      <c r="AO6" s="18"/>
      <c r="AP6" s="52"/>
      <c r="AQ6" s="48">
        <v>0</v>
      </c>
      <c r="AR6" s="18"/>
      <c r="AS6" s="52"/>
      <c r="AT6" s="50">
        <v>0</v>
      </c>
      <c r="AU6" s="18"/>
      <c r="AV6" s="52"/>
      <c r="AW6" s="50">
        <v>0.85</v>
      </c>
      <c r="AX6" s="18"/>
      <c r="AY6" s="52"/>
      <c r="AZ6" s="52">
        <v>0</v>
      </c>
      <c r="BA6" s="18"/>
      <c r="BB6" s="22"/>
      <c r="BC6" s="50">
        <v>0.2</v>
      </c>
      <c r="BD6" s="18"/>
      <c r="BE6" s="18"/>
      <c r="BF6" s="50">
        <v>0.15</v>
      </c>
      <c r="BG6" s="18"/>
      <c r="BH6" s="18"/>
      <c r="BI6" s="50">
        <v>0.25</v>
      </c>
      <c r="BJ6" s="18"/>
      <c r="BK6" s="18"/>
      <c r="BL6" s="50">
        <v>0.25</v>
      </c>
      <c r="BM6" s="18"/>
      <c r="BN6" s="18"/>
      <c r="BO6" s="50">
        <v>0.25</v>
      </c>
      <c r="BP6" s="18"/>
      <c r="BQ6" s="50">
        <v>0</v>
      </c>
      <c r="BR6" s="18"/>
      <c r="BS6" s="18"/>
      <c r="BT6" s="50">
        <v>0</v>
      </c>
      <c r="BU6" s="18"/>
      <c r="BV6" s="18"/>
      <c r="BW6" s="22"/>
      <c r="BX6" s="50">
        <v>0.2</v>
      </c>
      <c r="BY6" s="18"/>
      <c r="BZ6" s="22"/>
      <c r="CA6" s="50">
        <v>0.15</v>
      </c>
      <c r="CB6" s="18"/>
      <c r="CC6" s="22"/>
      <c r="CD6" s="50">
        <v>0.25</v>
      </c>
      <c r="CE6" s="18"/>
      <c r="CF6" s="22"/>
      <c r="CG6" s="50">
        <v>0.25</v>
      </c>
      <c r="CH6" s="18"/>
      <c r="CI6" s="22"/>
      <c r="CJ6" s="50">
        <v>0.25</v>
      </c>
      <c r="CK6" s="18"/>
      <c r="CL6" s="22"/>
      <c r="CM6" s="50">
        <v>0</v>
      </c>
      <c r="CN6" s="18"/>
      <c r="CO6" s="22"/>
      <c r="CP6" s="50">
        <v>0</v>
      </c>
      <c r="CQ6" s="18"/>
    </row>
    <row r="7" spans="1:95" ht="14.25" hidden="1" x14ac:dyDescent="0.45">
      <c r="A7" s="40" t="s">
        <v>58</v>
      </c>
      <c r="B7" s="40"/>
      <c r="C7" s="41"/>
      <c r="D7" s="41"/>
      <c r="E7" s="41"/>
      <c r="F7" s="42"/>
      <c r="G7" s="18"/>
      <c r="H7" s="18"/>
      <c r="I7" s="41"/>
      <c r="J7" s="40"/>
      <c r="K7" s="40"/>
      <c r="L7" s="40"/>
      <c r="M7" s="3"/>
      <c r="N7" s="18"/>
      <c r="O7" s="18"/>
      <c r="P7" s="53">
        <f>P22</f>
        <v>368.1365436000001</v>
      </c>
      <c r="Q7" s="44"/>
      <c r="R7" s="53">
        <f>R22</f>
        <v>392.06541893400009</v>
      </c>
      <c r="S7" s="44"/>
      <c r="T7" s="53">
        <f>T22</f>
        <v>399.90672731268012</v>
      </c>
      <c r="U7" s="45"/>
      <c r="V7" s="46"/>
      <c r="W7" s="53">
        <f>W22</f>
        <v>412.30383585937318</v>
      </c>
      <c r="X7" s="53"/>
      <c r="Y7" s="53"/>
      <c r="Z7" s="53"/>
      <c r="AA7" s="53">
        <v>424</v>
      </c>
      <c r="AB7" s="22"/>
      <c r="AC7" s="54">
        <f>SUM(AA7-T7)/T7</f>
        <v>6.0247230270977087E-2</v>
      </c>
      <c r="AD7" s="22"/>
      <c r="AE7" s="49">
        <v>0</v>
      </c>
      <c r="AF7" s="18"/>
      <c r="AG7" s="18"/>
      <c r="AH7" s="22"/>
      <c r="AI7" s="49">
        <v>0</v>
      </c>
      <c r="AJ7" s="18"/>
      <c r="AK7" s="18"/>
      <c r="AL7" s="18"/>
      <c r="AM7" s="18"/>
      <c r="AN7" s="49">
        <v>0</v>
      </c>
      <c r="AO7" s="18"/>
      <c r="AP7" s="52"/>
      <c r="AQ7" s="49">
        <v>0.15</v>
      </c>
      <c r="AR7" s="18"/>
      <c r="AS7" s="52"/>
      <c r="AT7" s="50">
        <v>0.15</v>
      </c>
      <c r="AU7" s="18"/>
      <c r="AV7" s="52"/>
      <c r="AW7" s="50">
        <v>0.15</v>
      </c>
      <c r="AX7" s="18"/>
      <c r="AY7" s="52"/>
      <c r="AZ7" s="50">
        <v>0.15</v>
      </c>
      <c r="BA7" s="18"/>
      <c r="BB7" s="22"/>
      <c r="BC7" s="50">
        <v>0.2</v>
      </c>
      <c r="BD7" s="18"/>
      <c r="BE7" s="18"/>
      <c r="BF7" s="50">
        <v>0.25</v>
      </c>
      <c r="BG7" s="18"/>
      <c r="BH7" s="18"/>
      <c r="BI7" s="50">
        <v>0.15</v>
      </c>
      <c r="BJ7" s="18"/>
      <c r="BK7" s="18"/>
      <c r="BL7" s="50">
        <v>0.25</v>
      </c>
      <c r="BM7" s="18"/>
      <c r="BN7" s="18"/>
      <c r="BO7" s="50">
        <v>0.25</v>
      </c>
      <c r="BP7" s="18"/>
      <c r="BQ7" s="50">
        <v>0.5</v>
      </c>
      <c r="BR7" s="18"/>
      <c r="BS7" s="18"/>
      <c r="BT7" s="50">
        <v>0.5</v>
      </c>
      <c r="BU7" s="18"/>
      <c r="BV7" s="18"/>
      <c r="BW7" s="22"/>
      <c r="BX7" s="50">
        <v>0.2</v>
      </c>
      <c r="BY7" s="18"/>
      <c r="BZ7" s="22"/>
      <c r="CA7" s="50">
        <v>0.25</v>
      </c>
      <c r="CB7" s="18"/>
      <c r="CC7" s="22"/>
      <c r="CD7" s="50">
        <v>0.15</v>
      </c>
      <c r="CE7" s="18"/>
      <c r="CF7" s="22"/>
      <c r="CG7" s="50">
        <v>0.25</v>
      </c>
      <c r="CH7" s="18"/>
      <c r="CI7" s="22"/>
      <c r="CJ7" s="50">
        <v>0.25</v>
      </c>
      <c r="CK7" s="18"/>
      <c r="CL7" s="22"/>
      <c r="CM7" s="50">
        <v>0.5</v>
      </c>
      <c r="CN7" s="18"/>
      <c r="CO7" s="22"/>
      <c r="CP7" s="50">
        <v>0.5</v>
      </c>
      <c r="CQ7" s="18"/>
    </row>
    <row r="8" spans="1:95" ht="14.25" hidden="1" x14ac:dyDescent="0.45">
      <c r="A8" s="40" t="s">
        <v>59</v>
      </c>
      <c r="B8" s="40"/>
      <c r="C8" s="41"/>
      <c r="D8" s="41"/>
      <c r="E8" s="41"/>
      <c r="F8" s="42"/>
      <c r="G8" s="18"/>
      <c r="H8" s="18"/>
      <c r="I8" s="41"/>
      <c r="J8" s="40"/>
      <c r="K8" s="40"/>
      <c r="L8" s="40"/>
      <c r="M8" s="3"/>
      <c r="N8" s="18"/>
      <c r="O8" s="18"/>
      <c r="P8" s="43"/>
      <c r="Q8" s="44"/>
      <c r="R8" s="43"/>
      <c r="S8" s="44"/>
      <c r="T8" s="43"/>
      <c r="U8" s="45"/>
      <c r="V8" s="46"/>
      <c r="W8" s="22"/>
      <c r="X8" s="22"/>
      <c r="Y8" s="22"/>
      <c r="Z8" s="22"/>
      <c r="AA8" s="22"/>
      <c r="AB8" s="22"/>
      <c r="AC8" s="44"/>
      <c r="AD8" s="22"/>
      <c r="AE8" s="49">
        <v>0</v>
      </c>
      <c r="AF8" s="18"/>
      <c r="AG8" s="18"/>
      <c r="AH8" s="22"/>
      <c r="AI8" s="49">
        <v>0</v>
      </c>
      <c r="AJ8" s="18"/>
      <c r="AK8" s="18"/>
      <c r="AL8" s="18"/>
      <c r="AM8" s="18"/>
      <c r="AN8" s="49">
        <v>0</v>
      </c>
      <c r="AO8" s="18"/>
      <c r="AP8" s="52"/>
      <c r="AQ8" s="49">
        <v>0</v>
      </c>
      <c r="AR8" s="18"/>
      <c r="AS8" s="52"/>
      <c r="AT8" s="50">
        <v>0</v>
      </c>
      <c r="AU8" s="18"/>
      <c r="AV8" s="52"/>
      <c r="AW8" s="50">
        <v>0</v>
      </c>
      <c r="AX8" s="18"/>
      <c r="AY8" s="52"/>
      <c r="AZ8" s="50">
        <v>0</v>
      </c>
      <c r="BA8" s="18"/>
      <c r="BB8" s="22"/>
      <c r="BC8" s="50">
        <v>0.3</v>
      </c>
      <c r="BD8" s="18"/>
      <c r="BE8" s="18"/>
      <c r="BF8" s="50">
        <v>0.3</v>
      </c>
      <c r="BG8" s="18"/>
      <c r="BH8" s="18"/>
      <c r="BI8" s="50">
        <v>0.25</v>
      </c>
      <c r="BJ8" s="18"/>
      <c r="BK8" s="18"/>
      <c r="BL8" s="50">
        <v>0.15</v>
      </c>
      <c r="BM8" s="18"/>
      <c r="BN8" s="18"/>
      <c r="BO8" s="50">
        <v>0.25</v>
      </c>
      <c r="BP8" s="18"/>
      <c r="BQ8" s="50">
        <v>0</v>
      </c>
      <c r="BR8" s="18"/>
      <c r="BS8" s="18"/>
      <c r="BT8" s="50">
        <v>0</v>
      </c>
      <c r="BU8" s="18"/>
      <c r="BV8" s="18"/>
      <c r="BW8" s="22"/>
      <c r="BX8" s="50">
        <v>0.3</v>
      </c>
      <c r="BY8" s="18"/>
      <c r="BZ8" s="22"/>
      <c r="CA8" s="50">
        <v>0.3</v>
      </c>
      <c r="CB8" s="18"/>
      <c r="CC8" s="22"/>
      <c r="CD8" s="50">
        <v>0.25</v>
      </c>
      <c r="CE8" s="18"/>
      <c r="CF8" s="22"/>
      <c r="CG8" s="50">
        <v>0.15</v>
      </c>
      <c r="CH8" s="18"/>
      <c r="CI8" s="22"/>
      <c r="CJ8" s="50">
        <v>0.25</v>
      </c>
      <c r="CK8" s="18"/>
      <c r="CL8" s="22"/>
      <c r="CM8" s="50">
        <v>0</v>
      </c>
      <c r="CN8" s="18"/>
      <c r="CO8" s="22"/>
      <c r="CP8" s="50">
        <v>0</v>
      </c>
      <c r="CQ8" s="18"/>
    </row>
    <row r="9" spans="1:95" ht="14.25" hidden="1" x14ac:dyDescent="0.45">
      <c r="A9" s="40"/>
      <c r="B9" s="40"/>
      <c r="C9" s="41"/>
      <c r="D9" s="41"/>
      <c r="E9" s="41"/>
      <c r="F9" s="42"/>
      <c r="G9" s="18"/>
      <c r="H9" s="18"/>
      <c r="I9" s="41"/>
      <c r="J9" s="40"/>
      <c r="K9" s="40"/>
      <c r="L9" s="40"/>
      <c r="M9" s="3"/>
      <c r="N9" s="18"/>
      <c r="O9" s="18"/>
      <c r="P9" s="43"/>
      <c r="Q9" s="44"/>
      <c r="R9" s="43"/>
      <c r="S9" s="44"/>
      <c r="T9" s="43"/>
      <c r="U9" s="45"/>
      <c r="V9" s="46"/>
      <c r="W9" s="22"/>
      <c r="X9" s="22"/>
      <c r="Y9" s="22"/>
      <c r="Z9" s="22"/>
      <c r="AA9" s="22"/>
      <c r="AB9" s="22"/>
      <c r="AC9" s="44"/>
      <c r="AD9" s="22"/>
      <c r="AE9" s="55">
        <f>SUM(AE4:AE8)</f>
        <v>1</v>
      </c>
      <c r="AF9" s="18"/>
      <c r="AG9" s="18"/>
      <c r="AH9" s="22"/>
      <c r="AI9" s="55">
        <f>SUM(AI4:AI8)</f>
        <v>1</v>
      </c>
      <c r="AJ9" s="18"/>
      <c r="AK9" s="18"/>
      <c r="AL9" s="18"/>
      <c r="AM9" s="18"/>
      <c r="AN9" s="55">
        <f>SUM(AN4:AN8)</f>
        <v>1</v>
      </c>
      <c r="AO9" s="18"/>
      <c r="AP9" s="52"/>
      <c r="AQ9" s="55">
        <f>SUM(AQ4:AQ8)</f>
        <v>1</v>
      </c>
      <c r="AR9" s="18"/>
      <c r="AS9" s="52"/>
      <c r="AT9" s="55">
        <f>SUM(AT4:AT8)</f>
        <v>1</v>
      </c>
      <c r="AU9" s="18"/>
      <c r="AV9" s="52"/>
      <c r="AW9" s="55">
        <f>SUM(AW4:AW8)</f>
        <v>1</v>
      </c>
      <c r="AX9" s="18"/>
      <c r="AY9" s="52"/>
      <c r="AZ9" s="55">
        <f>SUM(AZ4:AZ8)</f>
        <v>1</v>
      </c>
      <c r="BA9" s="18"/>
      <c r="BB9" s="22"/>
      <c r="BC9" s="55">
        <f>SUM(BC4:BC8)</f>
        <v>1</v>
      </c>
      <c r="BD9" s="18"/>
      <c r="BE9" s="18"/>
      <c r="BF9" s="55">
        <v>1</v>
      </c>
      <c r="BG9" s="18"/>
      <c r="BH9" s="18"/>
      <c r="BI9" s="55">
        <f>SUM(BI4:BI8)</f>
        <v>1</v>
      </c>
      <c r="BJ9" s="18"/>
      <c r="BK9" s="18"/>
      <c r="BL9" s="55">
        <v>1</v>
      </c>
      <c r="BM9" s="18"/>
      <c r="BN9" s="18"/>
      <c r="BO9" s="55">
        <v>1</v>
      </c>
      <c r="BP9" s="18"/>
      <c r="BQ9" s="55">
        <v>1</v>
      </c>
      <c r="BR9" s="18"/>
      <c r="BS9" s="18"/>
      <c r="BT9" s="55">
        <v>1</v>
      </c>
      <c r="BU9" s="18"/>
      <c r="BV9" s="18"/>
      <c r="BW9" s="22"/>
      <c r="BX9" s="55">
        <f>SUM(BX4:BX8)</f>
        <v>1</v>
      </c>
      <c r="BY9" s="18"/>
      <c r="BZ9" s="22"/>
      <c r="CA9" s="55">
        <v>1</v>
      </c>
      <c r="CB9" s="18"/>
      <c r="CC9" s="22"/>
      <c r="CD9" s="55">
        <v>1</v>
      </c>
      <c r="CE9" s="18"/>
      <c r="CF9" s="22"/>
      <c r="CG9" s="55">
        <v>1</v>
      </c>
      <c r="CH9" s="18"/>
      <c r="CI9" s="22"/>
      <c r="CJ9" s="55">
        <v>1</v>
      </c>
      <c r="CK9" s="18"/>
      <c r="CL9" s="22"/>
      <c r="CM9" s="55">
        <v>1</v>
      </c>
      <c r="CN9" s="18"/>
      <c r="CO9" s="22"/>
      <c r="CP9" s="55">
        <v>1</v>
      </c>
      <c r="CQ9" s="18"/>
    </row>
    <row r="10" spans="1:95" ht="10.5" hidden="1" customHeight="1" x14ac:dyDescent="0.45">
      <c r="A10" s="40"/>
      <c r="B10" s="40"/>
      <c r="C10" s="41"/>
      <c r="D10" s="41"/>
      <c r="E10" s="41"/>
      <c r="F10" s="42"/>
      <c r="G10" s="18"/>
      <c r="H10" s="18"/>
      <c r="I10" s="41"/>
      <c r="J10" s="40"/>
      <c r="K10" s="40"/>
      <c r="L10" s="40"/>
      <c r="M10" s="3"/>
      <c r="N10" s="18"/>
      <c r="O10" s="18"/>
      <c r="P10" s="43"/>
      <c r="Q10" s="44"/>
      <c r="R10" s="43"/>
      <c r="S10" s="44"/>
      <c r="T10" s="43"/>
      <c r="U10" s="45"/>
      <c r="V10" s="46"/>
      <c r="W10" s="22"/>
      <c r="X10" s="22"/>
      <c r="Y10" s="22"/>
      <c r="Z10" s="22"/>
      <c r="AA10" s="22"/>
      <c r="AB10" s="22"/>
      <c r="AC10" s="44"/>
      <c r="AD10" s="22"/>
      <c r="AE10" s="49"/>
      <c r="AF10" s="18"/>
      <c r="AG10" s="18"/>
      <c r="AH10" s="22"/>
      <c r="AI10" s="49"/>
      <c r="AJ10" s="18"/>
      <c r="AK10" s="18"/>
      <c r="AL10" s="18"/>
      <c r="AM10" s="18"/>
      <c r="AN10" s="49"/>
      <c r="AO10" s="18"/>
      <c r="AP10" s="52"/>
      <c r="AQ10" s="49"/>
      <c r="AR10" s="18"/>
      <c r="AS10" s="52"/>
      <c r="AT10" s="50"/>
      <c r="AU10" s="18"/>
      <c r="AV10" s="52"/>
      <c r="AW10" s="50"/>
      <c r="AX10" s="18"/>
      <c r="AY10" s="52"/>
      <c r="AZ10" s="50"/>
      <c r="BA10" s="18"/>
      <c r="BB10" s="22"/>
      <c r="BC10" s="50"/>
      <c r="BD10" s="18"/>
      <c r="BE10" s="18"/>
      <c r="BF10" s="50"/>
      <c r="BG10" s="18"/>
      <c r="BH10" s="18"/>
      <c r="BI10" s="50"/>
      <c r="BJ10" s="18"/>
      <c r="BK10" s="18"/>
      <c r="BL10" s="50"/>
      <c r="BM10" s="18"/>
      <c r="BN10" s="18"/>
      <c r="BO10" s="50"/>
      <c r="BP10" s="18"/>
      <c r="BQ10" s="50"/>
      <c r="BR10" s="18"/>
      <c r="BS10" s="18"/>
      <c r="BT10" s="50"/>
      <c r="BU10" s="18"/>
      <c r="BV10" s="18"/>
      <c r="BW10" s="22"/>
      <c r="BX10" s="50"/>
      <c r="BY10" s="18"/>
      <c r="BZ10" s="22"/>
      <c r="CA10" s="50"/>
      <c r="CB10" s="18"/>
      <c r="CC10" s="22"/>
      <c r="CD10" s="50"/>
      <c r="CE10" s="18"/>
      <c r="CF10" s="22"/>
      <c r="CG10" s="50"/>
      <c r="CH10" s="18"/>
      <c r="CI10" s="22"/>
      <c r="CJ10" s="50"/>
      <c r="CK10" s="18"/>
      <c r="CL10" s="22"/>
      <c r="CM10" s="50"/>
      <c r="CN10" s="18"/>
      <c r="CO10" s="22"/>
      <c r="CP10" s="50"/>
      <c r="CQ10" s="18"/>
    </row>
    <row r="11" spans="1:95" ht="14.25" hidden="1" x14ac:dyDescent="0.45">
      <c r="A11" s="40" t="s">
        <v>60</v>
      </c>
      <c r="B11" s="40"/>
      <c r="C11" s="41"/>
      <c r="D11" s="41"/>
      <c r="E11" s="41"/>
      <c r="F11" s="42"/>
      <c r="G11" s="18"/>
      <c r="H11" s="18"/>
      <c r="I11" s="41"/>
      <c r="J11" s="22"/>
      <c r="K11" s="22"/>
      <c r="L11" s="22"/>
      <c r="M11" s="3"/>
      <c r="N11" s="18"/>
      <c r="O11" s="18"/>
      <c r="P11" s="43"/>
      <c r="Q11" s="44"/>
      <c r="R11" s="45"/>
      <c r="S11" s="44"/>
      <c r="T11" s="45"/>
      <c r="U11" s="45"/>
      <c r="V11" s="46"/>
      <c r="W11" s="22"/>
      <c r="X11" s="22"/>
      <c r="Y11" s="22"/>
      <c r="Z11" s="22"/>
      <c r="AA11" s="22"/>
      <c r="AB11" s="22"/>
      <c r="AC11" s="44"/>
      <c r="AD11" s="22"/>
      <c r="AE11" s="49">
        <v>0</v>
      </c>
      <c r="AF11" s="18"/>
      <c r="AG11" s="22"/>
      <c r="AH11" s="22"/>
      <c r="AI11" s="49">
        <v>0</v>
      </c>
      <c r="AJ11" s="18"/>
      <c r="AK11" s="49"/>
      <c r="AL11" s="18"/>
      <c r="AM11" s="18"/>
      <c r="AN11" s="49">
        <v>0</v>
      </c>
      <c r="AO11" s="18"/>
      <c r="AP11" s="52"/>
      <c r="AQ11" s="49">
        <v>0</v>
      </c>
      <c r="AR11" s="18"/>
      <c r="AS11" s="52"/>
      <c r="AT11" s="50">
        <v>1</v>
      </c>
      <c r="AU11" s="18"/>
      <c r="AV11" s="52"/>
      <c r="AW11" s="50">
        <v>1</v>
      </c>
      <c r="AX11" s="18"/>
      <c r="AY11" s="52"/>
      <c r="AZ11" s="50">
        <v>1</v>
      </c>
      <c r="BA11" s="18"/>
      <c r="BB11" s="22"/>
      <c r="BC11" s="50">
        <v>1</v>
      </c>
      <c r="BD11" s="18"/>
      <c r="BE11" s="18"/>
      <c r="BF11" s="50">
        <v>1</v>
      </c>
      <c r="BG11" s="18"/>
      <c r="BH11" s="18"/>
      <c r="BI11" s="50">
        <v>1</v>
      </c>
      <c r="BJ11" s="18"/>
      <c r="BK11" s="18"/>
      <c r="BL11" s="50">
        <v>1</v>
      </c>
      <c r="BM11" s="18"/>
      <c r="BN11" s="18"/>
      <c r="BO11" s="50">
        <v>1</v>
      </c>
      <c r="BP11" s="18"/>
      <c r="BQ11" s="50">
        <v>1</v>
      </c>
      <c r="BR11" s="18"/>
      <c r="BS11" s="18"/>
      <c r="BT11" s="50">
        <v>1</v>
      </c>
      <c r="BU11" s="18"/>
      <c r="BV11" s="18"/>
      <c r="BW11" s="22"/>
      <c r="BX11" s="50">
        <v>1</v>
      </c>
      <c r="BY11" s="18"/>
      <c r="BZ11" s="22"/>
      <c r="CA11" s="50">
        <v>1</v>
      </c>
      <c r="CB11" s="18"/>
      <c r="CC11" s="22"/>
      <c r="CD11" s="50">
        <v>1</v>
      </c>
      <c r="CE11" s="18"/>
      <c r="CF11" s="22"/>
      <c r="CG11" s="50">
        <v>1</v>
      </c>
      <c r="CH11" s="18"/>
      <c r="CI11" s="22"/>
      <c r="CJ11" s="50">
        <v>1</v>
      </c>
      <c r="CK11" s="18"/>
      <c r="CL11" s="22"/>
      <c r="CM11" s="50">
        <v>1</v>
      </c>
      <c r="CN11" s="18"/>
      <c r="CO11" s="22"/>
      <c r="CP11" s="50">
        <v>1</v>
      </c>
      <c r="CQ11" s="18"/>
    </row>
    <row r="12" spans="1:95" ht="14.25" hidden="1" x14ac:dyDescent="0.45">
      <c r="A12" s="40" t="s">
        <v>61</v>
      </c>
      <c r="B12" s="40"/>
      <c r="C12" s="41"/>
      <c r="D12" s="41"/>
      <c r="E12" s="41"/>
      <c r="F12" s="42"/>
      <c r="G12" s="18"/>
      <c r="H12" s="18"/>
      <c r="I12" s="41"/>
      <c r="J12" s="22"/>
      <c r="K12" s="22"/>
      <c r="L12" s="22"/>
      <c r="M12" s="3"/>
      <c r="N12" s="18"/>
      <c r="O12" s="18"/>
      <c r="P12" s="43"/>
      <c r="Q12" s="44"/>
      <c r="R12" s="45"/>
      <c r="S12" s="44"/>
      <c r="T12" s="45"/>
      <c r="U12" s="45"/>
      <c r="V12" s="46"/>
      <c r="W12" s="22"/>
      <c r="X12" s="22"/>
      <c r="Y12" s="22"/>
      <c r="Z12" s="22"/>
      <c r="AA12" s="22"/>
      <c r="AB12" s="22"/>
      <c r="AC12" s="44"/>
      <c r="AD12" s="22"/>
      <c r="AE12" s="56">
        <v>0</v>
      </c>
      <c r="AF12" s="18"/>
      <c r="AG12" s="22"/>
      <c r="AH12" s="22"/>
      <c r="AI12" s="56">
        <v>0</v>
      </c>
      <c r="AJ12" s="18"/>
      <c r="AK12" s="56"/>
      <c r="AL12" s="18"/>
      <c r="AM12" s="18"/>
      <c r="AN12" s="56">
        <v>0</v>
      </c>
      <c r="AO12" s="18"/>
      <c r="AP12" s="52"/>
      <c r="AQ12" s="56">
        <v>0</v>
      </c>
      <c r="AR12" s="18"/>
      <c r="AS12" s="52"/>
      <c r="AT12" s="57">
        <v>0.25</v>
      </c>
      <c r="AU12" s="18"/>
      <c r="AV12" s="52"/>
      <c r="AW12" s="57">
        <v>0.25</v>
      </c>
      <c r="AX12" s="18"/>
      <c r="AY12" s="52"/>
      <c r="AZ12" s="57">
        <v>0.25</v>
      </c>
      <c r="BA12" s="18"/>
      <c r="BB12" s="22"/>
      <c r="BC12" s="57">
        <v>0.25</v>
      </c>
      <c r="BD12" s="18"/>
      <c r="BE12" s="18"/>
      <c r="BF12" s="57">
        <v>0.25</v>
      </c>
      <c r="BG12" s="18"/>
      <c r="BH12" s="18"/>
      <c r="BI12" s="57">
        <v>0.25</v>
      </c>
      <c r="BJ12" s="18"/>
      <c r="BK12" s="18"/>
      <c r="BL12" s="57">
        <v>0.25</v>
      </c>
      <c r="BM12" s="18"/>
      <c r="BN12" s="18"/>
      <c r="BO12" s="57">
        <v>0.25</v>
      </c>
      <c r="BP12" s="18"/>
      <c r="BQ12" s="57">
        <v>0</v>
      </c>
      <c r="BR12" s="18"/>
      <c r="BS12" s="18"/>
      <c r="BT12" s="57">
        <v>0.5</v>
      </c>
      <c r="BU12" s="18"/>
      <c r="BV12" s="18"/>
      <c r="BW12" s="22"/>
      <c r="BX12" s="57">
        <v>0.25</v>
      </c>
      <c r="BY12" s="18"/>
      <c r="BZ12" s="22"/>
      <c r="CA12" s="57">
        <v>0.25</v>
      </c>
      <c r="CB12" s="18"/>
      <c r="CC12" s="22"/>
      <c r="CD12" s="57">
        <v>0.25</v>
      </c>
      <c r="CE12" s="18"/>
      <c r="CF12" s="22"/>
      <c r="CG12" s="57">
        <v>0.25</v>
      </c>
      <c r="CH12" s="18"/>
      <c r="CI12" s="22"/>
      <c r="CJ12" s="57">
        <v>0.25</v>
      </c>
      <c r="CK12" s="18"/>
      <c r="CL12" s="22"/>
      <c r="CM12" s="57">
        <v>0</v>
      </c>
      <c r="CN12" s="18"/>
      <c r="CO12" s="22"/>
      <c r="CP12" s="57">
        <v>0.5</v>
      </c>
      <c r="CQ12" s="18"/>
    </row>
    <row r="13" spans="1:95" ht="15.75" x14ac:dyDescent="0.5">
      <c r="A13" s="58" t="s">
        <v>62</v>
      </c>
      <c r="B13" s="59" t="s">
        <v>63</v>
      </c>
      <c r="C13" s="60" t="s">
        <v>64</v>
      </c>
      <c r="D13" s="61"/>
      <c r="E13" s="62">
        <f>AVERAGE('Avg master'!D2:F2)</f>
        <v>533.66666666666663</v>
      </c>
      <c r="F13" s="62">
        <f>'Avg master'!H2</f>
        <v>535</v>
      </c>
      <c r="G13" s="63">
        <f t="shared" ref="G13:G66" si="0">+(E13/$E$69)</f>
        <v>1.9965506189805735E-3</v>
      </c>
      <c r="H13" s="63">
        <f t="shared" ref="H13:H66" si="1">+(F13/$F$69)</f>
        <v>1.9789576996250458E-3</v>
      </c>
      <c r="I13" s="44">
        <f t="shared" ref="I13:I66" si="2">SUM(H13-G13)/G13</f>
        <v>-8.8116570590685093E-3</v>
      </c>
      <c r="J13" s="64">
        <v>302</v>
      </c>
      <c r="K13" s="64">
        <v>256</v>
      </c>
      <c r="L13" s="64">
        <v>201</v>
      </c>
      <c r="M13" s="65">
        <f t="shared" ref="M13:M66" si="3">AVERAGE(J13:L13)</f>
        <v>253</v>
      </c>
      <c r="N13" s="66">
        <f t="shared" ref="N13:N66" si="4">+(M13/$M$69)</f>
        <v>2.1727741946565215E-3</v>
      </c>
      <c r="O13" s="18"/>
      <c r="P13" s="67">
        <v>1227.1218120000001</v>
      </c>
      <c r="Q13" s="22"/>
      <c r="R13" s="68">
        <v>1306.88472978</v>
      </c>
      <c r="S13" s="22"/>
      <c r="T13" s="68">
        <v>1333.0224243756002</v>
      </c>
      <c r="U13" s="69">
        <f t="shared" ref="U13:U66" si="5">SUM(T13/$F13)</f>
        <v>2.4916306997674771</v>
      </c>
      <c r="V13" s="46"/>
      <c r="W13" s="68">
        <f t="shared" ref="W13:W66" si="6">SUM(T13*(1+$W$3))</f>
        <v>1374.3461195312436</v>
      </c>
      <c r="X13" s="68">
        <f t="shared" ref="X13:X66" si="7">SUM(W13-T13)</f>
        <v>41.323695155643463</v>
      </c>
      <c r="Y13" s="70">
        <f t="shared" ref="Y13:Y66" si="8">SUM(W13-T13)/T13</f>
        <v>3.0999999999999892E-2</v>
      </c>
      <c r="Z13" s="71"/>
      <c r="AA13" s="72">
        <f t="shared" ref="AA13:AA21" si="9">SUM(W13*(1+I13))</f>
        <v>1362.2358528454727</v>
      </c>
      <c r="AB13" s="68">
        <f t="shared" ref="AB13:AB66" si="10">SUM(AA13-T13)</f>
        <v>29.213428469872497</v>
      </c>
      <c r="AC13" s="73">
        <f t="shared" ref="AC13:AC66" si="11">SUM(AA13-T13)/T13</f>
        <v>2.191518157210021E-2</v>
      </c>
      <c r="AD13" s="22"/>
      <c r="AE13" s="74">
        <f>'Options 1-3'!AQ4</f>
        <v>438.56336616389217</v>
      </c>
      <c r="AF13" s="75">
        <f t="shared" ref="AF13:AF66" si="12">SUM(AE13-$W13)</f>
        <v>-935.78275336735146</v>
      </c>
      <c r="AG13" s="69">
        <f t="shared" ref="AG13:AG66" si="13">SUM(AE13/$F13)</f>
        <v>0.81974460965213491</v>
      </c>
      <c r="AH13" s="22"/>
      <c r="AI13" s="76">
        <v>476.65512050199152</v>
      </c>
      <c r="AJ13" s="75">
        <f t="shared" ref="AJ13:AJ66" si="14">SUM(AI13-$W13)</f>
        <v>-897.69099902925211</v>
      </c>
      <c r="AK13" s="69">
        <f t="shared" ref="AK13:AK66" si="15">SUM(AI13/$F13)</f>
        <v>0.89094415047101216</v>
      </c>
      <c r="AL13" s="69">
        <f t="shared" ref="AL13:AL66" si="16">SUM(AI13/$M13)</f>
        <v>1.8840123339999664</v>
      </c>
      <c r="AM13" s="77"/>
      <c r="AN13" s="76">
        <f>SUM('Options 1-3'!T4*'Summary (2)'!$AN$3)</f>
        <v>733.16500000000008</v>
      </c>
      <c r="AO13" s="75">
        <f t="shared" ref="AO13:AO66" si="17">SUM(AN13-$W13)</f>
        <v>-641.18111953124355</v>
      </c>
      <c r="AP13" s="22"/>
      <c r="AQ13" s="74">
        <f>'Op4'!AQ4</f>
        <v>1024.8808567641315</v>
      </c>
      <c r="AR13" s="75">
        <f t="shared" ref="AR13:AR66" si="18">SUM(AQ13-$W13)</f>
        <v>-349.46526276711211</v>
      </c>
      <c r="AS13" s="22"/>
      <c r="AT13" s="74">
        <f>'Op5'!AQ4</f>
        <v>834.97477306753774</v>
      </c>
      <c r="AU13" s="75">
        <f t="shared" ref="AU13:AU66" si="19">SUM(AT13-$W13)</f>
        <v>-539.37134646370589</v>
      </c>
      <c r="AV13" s="22"/>
      <c r="AW13" s="74">
        <f>'Op6'!AQ4</f>
        <v>1021.3255182451923</v>
      </c>
      <c r="AX13" s="75">
        <f t="shared" ref="AX13:AX66" si="20">SUM(AW13-$W13)</f>
        <v>-353.02060128605137</v>
      </c>
      <c r="AY13" s="22"/>
      <c r="AZ13" s="74">
        <f>'Op7'!AQ4</f>
        <v>834.97477306753774</v>
      </c>
      <c r="BA13" s="75">
        <f t="shared" ref="BA13:BA66" si="21">SUM(AZ13-$W13)</f>
        <v>-539.37134646370589</v>
      </c>
      <c r="BB13" s="22"/>
      <c r="BC13" s="74">
        <f>'Op8'!$AQ4</f>
        <v>960.03755965845301</v>
      </c>
      <c r="BD13" s="75">
        <f t="shared" ref="BD13:BD66" si="22">SUM(BC13-$W13)</f>
        <v>-414.30855987279062</v>
      </c>
      <c r="BE13" s="75"/>
      <c r="BF13" s="74">
        <v>1101.9297590515546</v>
      </c>
      <c r="BG13" s="75">
        <v>-231.09266532404558</v>
      </c>
      <c r="BH13" s="75"/>
      <c r="BI13" s="75">
        <v>830.08554409956457</v>
      </c>
      <c r="BJ13" s="75">
        <v>-502.93688027603559</v>
      </c>
      <c r="BK13" s="75"/>
      <c r="BL13" s="74">
        <v>1159.6739276339179</v>
      </c>
      <c r="BM13" s="75">
        <v>-173.34849674168231</v>
      </c>
      <c r="BN13" s="75"/>
      <c r="BO13" s="74">
        <v>1135.7935599654918</v>
      </c>
      <c r="BP13" s="75">
        <v>-197.22886441010837</v>
      </c>
      <c r="BQ13" s="74">
        <v>1953.6853105683838</v>
      </c>
      <c r="BR13" s="75">
        <v>620.66288619278362</v>
      </c>
      <c r="BS13" s="75"/>
      <c r="BT13" s="74">
        <v>1856.225641635747</v>
      </c>
      <c r="BU13" s="75">
        <v>523.20321726014686</v>
      </c>
      <c r="BV13" s="75"/>
      <c r="BW13" s="22"/>
      <c r="BX13" s="74">
        <f>'Op9'!AQ4</f>
        <v>898.32375483076987</v>
      </c>
      <c r="BY13" s="75">
        <f t="shared" ref="BY13:BY66" si="23">SUM(BX13-$W13)</f>
        <v>-476.02236470047376</v>
      </c>
      <c r="BZ13" s="22"/>
      <c r="CA13" s="74">
        <v>1090.3663480057187</v>
      </c>
      <c r="CB13" s="75">
        <v>-242.65607636988148</v>
      </c>
      <c r="CC13" s="22"/>
      <c r="CD13" s="74">
        <v>816.59489787942266</v>
      </c>
      <c r="CE13" s="75">
        <v>-516.42752649617751</v>
      </c>
      <c r="CF13" s="22"/>
      <c r="CG13" s="74">
        <v>1146.1832814137761</v>
      </c>
      <c r="CH13" s="75">
        <v>-186.83914296182411</v>
      </c>
      <c r="CI13" s="22"/>
      <c r="CJ13" s="74">
        <v>1126.1573840939618</v>
      </c>
      <c r="CK13" s="75">
        <v>-206.86504028163836</v>
      </c>
      <c r="CL13" s="22"/>
      <c r="CM13" s="74">
        <v>1934.4554912038702</v>
      </c>
      <c r="CN13" s="75">
        <v>601.43306682827006</v>
      </c>
      <c r="CO13" s="22"/>
      <c r="CP13" s="74">
        <v>1836.9107575141409</v>
      </c>
      <c r="CQ13" s="75">
        <v>503.8883331385407</v>
      </c>
    </row>
    <row r="14" spans="1:95" ht="15.75" x14ac:dyDescent="0.5">
      <c r="A14" s="78" t="s">
        <v>65</v>
      </c>
      <c r="B14" s="59" t="s">
        <v>66</v>
      </c>
      <c r="C14" s="60" t="s">
        <v>64</v>
      </c>
      <c r="D14" s="61"/>
      <c r="E14" s="62">
        <f>AVERAGE('Avg master'!D3:F3)</f>
        <v>608.33333333333337</v>
      </c>
      <c r="F14" s="62">
        <f>'Avg master'!H3</f>
        <v>611.66666666666663</v>
      </c>
      <c r="G14" s="63">
        <f t="shared" si="0"/>
        <v>2.2758931165768564E-3</v>
      </c>
      <c r="H14" s="63">
        <f t="shared" si="1"/>
        <v>2.2625466534653949E-3</v>
      </c>
      <c r="I14" s="44">
        <f t="shared" si="2"/>
        <v>-5.8642750023058104E-3</v>
      </c>
      <c r="J14" s="64">
        <v>414</v>
      </c>
      <c r="K14" s="64">
        <v>335</v>
      </c>
      <c r="L14" s="64">
        <v>161</v>
      </c>
      <c r="M14" s="65">
        <f t="shared" si="3"/>
        <v>303.33333333333331</v>
      </c>
      <c r="N14" s="66">
        <f t="shared" si="4"/>
        <v>2.6050388895091361E-3</v>
      </c>
      <c r="O14" s="18"/>
      <c r="P14" s="67"/>
      <c r="Q14" s="22"/>
      <c r="R14" s="79">
        <v>1306.7549999999999</v>
      </c>
      <c r="S14" s="22"/>
      <c r="T14" s="79">
        <v>1332.8900999999998</v>
      </c>
      <c r="U14" s="69">
        <f t="shared" si="5"/>
        <v>2.1791118801089917</v>
      </c>
      <c r="V14" s="46"/>
      <c r="W14" s="68">
        <f t="shared" si="6"/>
        <v>1374.2096930999996</v>
      </c>
      <c r="X14" s="68">
        <f t="shared" si="7"/>
        <v>41.319593099999793</v>
      </c>
      <c r="Y14" s="70">
        <f t="shared" si="8"/>
        <v>3.0999999999999847E-2</v>
      </c>
      <c r="Z14" s="71"/>
      <c r="AA14" s="72">
        <f t="shared" si="9"/>
        <v>1366.1509495488269</v>
      </c>
      <c r="AB14" s="68">
        <f t="shared" si="10"/>
        <v>33.260849548827082</v>
      </c>
      <c r="AC14" s="73">
        <f t="shared" si="11"/>
        <v>2.4953932472622526E-2</v>
      </c>
      <c r="AD14" s="22"/>
      <c r="AE14" s="74">
        <f>'Options 1-3'!AQ5</f>
        <v>501.41045290388911</v>
      </c>
      <c r="AF14" s="75">
        <f t="shared" si="12"/>
        <v>-872.79924019611053</v>
      </c>
      <c r="AG14" s="69">
        <f t="shared" si="13"/>
        <v>0.8197446096521348</v>
      </c>
      <c r="AH14" s="22"/>
      <c r="AI14" s="76">
        <v>571.48374131332309</v>
      </c>
      <c r="AJ14" s="75">
        <f t="shared" si="14"/>
        <v>-802.72595178667655</v>
      </c>
      <c r="AK14" s="69">
        <f t="shared" si="15"/>
        <v>0.9343058441089751</v>
      </c>
      <c r="AL14" s="69">
        <f t="shared" si="16"/>
        <v>1.8840123339999664</v>
      </c>
      <c r="AM14" s="77"/>
      <c r="AN14" s="76">
        <f>SUM('Options 1-3'!T5*'Summary (2)'!$AN$3)</f>
        <v>1715.0765000000001</v>
      </c>
      <c r="AO14" s="75">
        <f t="shared" si="17"/>
        <v>340.86680690000048</v>
      </c>
      <c r="AP14" s="22"/>
      <c r="AQ14" s="74">
        <f>'Op4'!AQ5</f>
        <v>1106.3071251131951</v>
      </c>
      <c r="AR14" s="75">
        <f t="shared" si="18"/>
        <v>-267.90256798680457</v>
      </c>
      <c r="AS14" s="22"/>
      <c r="AT14" s="74">
        <f>'Op5'!AQ5</f>
        <v>873.31651183354552</v>
      </c>
      <c r="AU14" s="75">
        <f t="shared" si="19"/>
        <v>-500.89318126645412</v>
      </c>
      <c r="AV14" s="22"/>
      <c r="AW14" s="74">
        <f>'Op6'!AQ5</f>
        <v>1703.1252777338659</v>
      </c>
      <c r="AX14" s="75">
        <f t="shared" si="20"/>
        <v>328.91558463386627</v>
      </c>
      <c r="AY14" s="22"/>
      <c r="AZ14" s="74">
        <f>'Op7'!AQ5</f>
        <v>873.31651183354552</v>
      </c>
      <c r="BA14" s="75">
        <f t="shared" si="21"/>
        <v>-500.89318126645412</v>
      </c>
      <c r="BB14" s="22"/>
      <c r="BC14" s="74">
        <f>'Op8'!AQ5</f>
        <v>1198.9512911875577</v>
      </c>
      <c r="BD14" s="75">
        <f t="shared" si="22"/>
        <v>-175.25840191244197</v>
      </c>
      <c r="BE14" s="75"/>
      <c r="BF14" s="74">
        <v>1298.9507806356744</v>
      </c>
      <c r="BG14" s="75">
        <v>-33.939319364325456</v>
      </c>
      <c r="BH14" s="75"/>
      <c r="BI14" s="75">
        <v>1102.0236081032872</v>
      </c>
      <c r="BJ14" s="75">
        <v>-230.86649189671266</v>
      </c>
      <c r="BK14" s="75"/>
      <c r="BL14" s="74">
        <v>1405.7907604213678</v>
      </c>
      <c r="BM14" s="75">
        <v>72.900660421368002</v>
      </c>
      <c r="BN14" s="75"/>
      <c r="BO14" s="74">
        <v>1399.6471476936761</v>
      </c>
      <c r="BP14" s="75">
        <v>66.757047693676213</v>
      </c>
      <c r="BQ14" s="74">
        <v>2019.1442525934069</v>
      </c>
      <c r="BR14" s="75">
        <v>686.25415259340707</v>
      </c>
      <c r="BS14" s="75"/>
      <c r="BT14" s="74">
        <v>1810.8630009135707</v>
      </c>
      <c r="BU14" s="75">
        <v>477.97290091357081</v>
      </c>
      <c r="BV14" s="75"/>
      <c r="BW14" s="22"/>
      <c r="BX14" s="74">
        <f>'Op9'!AQ5</f>
        <v>1073.9714999230557</v>
      </c>
      <c r="BY14" s="75">
        <f t="shared" si="23"/>
        <v>-300.23819317694392</v>
      </c>
      <c r="BZ14" s="22"/>
      <c r="CA14" s="74">
        <v>1300.1052426153178</v>
      </c>
      <c r="CB14" s="75">
        <v>-32.784857384682027</v>
      </c>
      <c r="CC14" s="22"/>
      <c r="CD14" s="74">
        <v>1103.3704804128713</v>
      </c>
      <c r="CE14" s="75">
        <v>-229.51961958712855</v>
      </c>
      <c r="CF14" s="22"/>
      <c r="CG14" s="74">
        <v>1407.1376327309517</v>
      </c>
      <c r="CH14" s="75">
        <v>74.247532730951889</v>
      </c>
      <c r="CI14" s="22"/>
      <c r="CJ14" s="74">
        <v>1400.6091993433788</v>
      </c>
      <c r="CK14" s="75">
        <v>67.719099343378957</v>
      </c>
      <c r="CL14" s="22"/>
      <c r="CM14" s="74">
        <v>2021.0641095667295</v>
      </c>
      <c r="CN14" s="75">
        <v>688.17400956672964</v>
      </c>
      <c r="CO14" s="22"/>
      <c r="CP14" s="74">
        <v>1812.7913505390597</v>
      </c>
      <c r="CQ14" s="75">
        <v>479.9012505390599</v>
      </c>
    </row>
    <row r="15" spans="1:95" ht="15.75" x14ac:dyDescent="0.5">
      <c r="A15" s="80" t="s">
        <v>67</v>
      </c>
      <c r="B15" s="59" t="s">
        <v>68</v>
      </c>
      <c r="C15" s="81" t="s">
        <v>69</v>
      </c>
      <c r="D15" s="82"/>
      <c r="E15" s="62">
        <f>AVERAGE('Avg master'!D4:F4)</f>
        <v>1643.3333333333333</v>
      </c>
      <c r="F15" s="62">
        <f>'Avg master'!H4</f>
        <v>1671.6666666666667</v>
      </c>
      <c r="G15" s="63">
        <f t="shared" si="0"/>
        <v>6.1480290765610415E-3</v>
      </c>
      <c r="H15" s="63">
        <f t="shared" si="1"/>
        <v>6.1834721891710935E-3</v>
      </c>
      <c r="I15" s="44">
        <f t="shared" si="2"/>
        <v>5.7649552675631439E-3</v>
      </c>
      <c r="J15" s="64">
        <v>756</v>
      </c>
      <c r="K15" s="64">
        <v>597</v>
      </c>
      <c r="L15" s="64">
        <v>491</v>
      </c>
      <c r="M15" s="65">
        <f t="shared" si="3"/>
        <v>614.66666666666663</v>
      </c>
      <c r="N15" s="66">
        <f t="shared" si="4"/>
        <v>5.2787821013789531E-3</v>
      </c>
      <c r="O15" s="18"/>
      <c r="P15" s="67">
        <v>1472.5461744000004</v>
      </c>
      <c r="Q15" s="22"/>
      <c r="R15" s="68">
        <v>1568.2616757360004</v>
      </c>
      <c r="S15" s="22"/>
      <c r="T15" s="68">
        <v>1599.6269092507205</v>
      </c>
      <c r="U15" s="69">
        <f t="shared" si="5"/>
        <v>0.95690542926264432</v>
      </c>
      <c r="V15" s="46"/>
      <c r="W15" s="68">
        <f t="shared" si="6"/>
        <v>1649.2153434374927</v>
      </c>
      <c r="X15" s="68">
        <f t="shared" si="7"/>
        <v>49.588434186772247</v>
      </c>
      <c r="Y15" s="70">
        <f t="shared" si="8"/>
        <v>3.0999999999999944E-2</v>
      </c>
      <c r="Z15" s="71"/>
      <c r="AA15" s="72">
        <f t="shared" si="9"/>
        <v>1658.7229961189887</v>
      </c>
      <c r="AB15" s="68">
        <f t="shared" si="10"/>
        <v>59.09608686826823</v>
      </c>
      <c r="AC15" s="73">
        <f t="shared" si="11"/>
        <v>3.694366888085758E-2</v>
      </c>
      <c r="AD15" s="22"/>
      <c r="AE15" s="74">
        <f>'Options 1-3'!AQ6</f>
        <v>1370.3397391351521</v>
      </c>
      <c r="AF15" s="75">
        <f t="shared" si="12"/>
        <v>-278.87560430234066</v>
      </c>
      <c r="AG15" s="69">
        <f t="shared" si="13"/>
        <v>0.8197446096521348</v>
      </c>
      <c r="AH15" s="22"/>
      <c r="AI15" s="76">
        <v>1158.039581298646</v>
      </c>
      <c r="AJ15" s="75">
        <f t="shared" si="14"/>
        <v>-491.17576213884672</v>
      </c>
      <c r="AK15" s="69">
        <f t="shared" si="15"/>
        <v>0.69274551224246017</v>
      </c>
      <c r="AL15" s="69">
        <f t="shared" si="16"/>
        <v>1.8840123339999666</v>
      </c>
      <c r="AM15" s="77"/>
      <c r="AN15" s="76">
        <f>SUM('Options 1-3'!T6*'Summary (2)'!$AN$3)</f>
        <v>2319.9790000000003</v>
      </c>
      <c r="AO15" s="75">
        <f t="shared" si="17"/>
        <v>670.76365656250755</v>
      </c>
      <c r="AP15" s="22"/>
      <c r="AQ15" s="74">
        <f>'Op4'!AQ6</f>
        <v>1609.9636458948212</v>
      </c>
      <c r="AR15" s="75">
        <f t="shared" si="18"/>
        <v>-39.251697542671536</v>
      </c>
      <c r="AS15" s="22"/>
      <c r="AT15" s="74">
        <f>'Op5'!AQ6</f>
        <v>1870.7468457475995</v>
      </c>
      <c r="AU15" s="75">
        <f t="shared" si="19"/>
        <v>221.53150231010682</v>
      </c>
      <c r="AV15" s="22"/>
      <c r="AW15" s="74">
        <f>'Op6'!AQ6</f>
        <v>2714.2380104849544</v>
      </c>
      <c r="AX15" s="75">
        <f t="shared" si="20"/>
        <v>1065.0226670474617</v>
      </c>
      <c r="AY15" s="22"/>
      <c r="AZ15" s="74">
        <f>'Op7'!AQ6</f>
        <v>1870.7468457475995</v>
      </c>
      <c r="BA15" s="75">
        <f t="shared" si="21"/>
        <v>221.53150231010682</v>
      </c>
      <c r="BB15" s="22"/>
      <c r="BC15" s="74">
        <f>'Op8'!AQ6</f>
        <v>2206.3053258023829</v>
      </c>
      <c r="BD15" s="75">
        <f t="shared" si="22"/>
        <v>557.08998236489015</v>
      </c>
      <c r="BE15" s="75"/>
      <c r="BF15" s="74">
        <v>2280.4969853416978</v>
      </c>
      <c r="BG15" s="75">
        <v>680.87007609097736</v>
      </c>
      <c r="BH15" s="75"/>
      <c r="BI15" s="75">
        <v>2129.9018986299739</v>
      </c>
      <c r="BJ15" s="75">
        <v>530.27498937925338</v>
      </c>
      <c r="BK15" s="75"/>
      <c r="BL15" s="74">
        <v>2373.095937117399</v>
      </c>
      <c r="BM15" s="75">
        <v>773.46902786667852</v>
      </c>
      <c r="BN15" s="75"/>
      <c r="BO15" s="74">
        <v>2377.5194723835866</v>
      </c>
      <c r="BP15" s="75">
        <v>777.89256313286614</v>
      </c>
      <c r="BQ15" s="74">
        <v>2675.382763999261</v>
      </c>
      <c r="BR15" s="75">
        <v>1075.7558547485405</v>
      </c>
      <c r="BS15" s="75"/>
      <c r="BT15" s="74">
        <v>2799.4550998301238</v>
      </c>
      <c r="BU15" s="75">
        <v>1199.8281905794033</v>
      </c>
      <c r="BV15" s="75"/>
      <c r="BW15" s="22"/>
      <c r="BX15" s="74">
        <f>'Op9'!AQ6</f>
        <v>2318.0415829288759</v>
      </c>
      <c r="BY15" s="75">
        <f t="shared" si="23"/>
        <v>668.82623949138315</v>
      </c>
      <c r="BZ15" s="22"/>
      <c r="CA15" s="74">
        <v>2330.895383977394</v>
      </c>
      <c r="CB15" s="75">
        <v>731.2684747266735</v>
      </c>
      <c r="CC15" s="22"/>
      <c r="CD15" s="74">
        <v>2188.7000303716195</v>
      </c>
      <c r="CE15" s="75">
        <v>589.07312112089903</v>
      </c>
      <c r="CF15" s="22"/>
      <c r="CG15" s="74">
        <v>2431.8940688590451</v>
      </c>
      <c r="CH15" s="75">
        <v>832.26715960832462</v>
      </c>
      <c r="CI15" s="22"/>
      <c r="CJ15" s="74">
        <v>2419.5181379133337</v>
      </c>
      <c r="CK15" s="75">
        <v>819.89122866261323</v>
      </c>
      <c r="CL15" s="22"/>
      <c r="CM15" s="74">
        <v>2759.1947203660793</v>
      </c>
      <c r="CN15" s="75">
        <v>1159.5678111153588</v>
      </c>
      <c r="CO15" s="22"/>
      <c r="CP15" s="74">
        <v>2883.6378055822934</v>
      </c>
      <c r="CQ15" s="75">
        <v>1284.0108963315729</v>
      </c>
    </row>
    <row r="16" spans="1:95" ht="15.75" x14ac:dyDescent="0.5">
      <c r="A16" s="83" t="s">
        <v>70</v>
      </c>
      <c r="B16" s="59" t="s">
        <v>71</v>
      </c>
      <c r="C16" s="84" t="s">
        <v>72</v>
      </c>
      <c r="D16" s="85"/>
      <c r="E16" s="62">
        <f>AVERAGE('Avg master'!D5:F5)</f>
        <v>16675</v>
      </c>
      <c r="F16" s="62">
        <f>'Avg master'!H5</f>
        <v>16778.333333333332</v>
      </c>
      <c r="G16" s="63">
        <f t="shared" si="0"/>
        <v>6.2384412688634101E-2</v>
      </c>
      <c r="H16" s="63">
        <f t="shared" si="1"/>
        <v>6.2062826050234686E-2</v>
      </c>
      <c r="I16" s="44">
        <f t="shared" si="2"/>
        <v>-5.1549197073391005E-3</v>
      </c>
      <c r="J16" s="64">
        <v>10989</v>
      </c>
      <c r="K16" s="64">
        <v>9198</v>
      </c>
      <c r="L16" s="64">
        <v>6885</v>
      </c>
      <c r="M16" s="65">
        <f t="shared" si="3"/>
        <v>9024</v>
      </c>
      <c r="N16" s="66">
        <f t="shared" si="4"/>
        <v>7.7498475622847618E-2</v>
      </c>
      <c r="O16" s="18"/>
      <c r="P16" s="67">
        <v>12271.218120000003</v>
      </c>
      <c r="Q16" s="22"/>
      <c r="R16" s="68">
        <v>13068.847297800003</v>
      </c>
      <c r="S16" s="22"/>
      <c r="T16" s="68">
        <v>13330.224243756003</v>
      </c>
      <c r="U16" s="69">
        <f t="shared" si="5"/>
        <v>0.79449036915204163</v>
      </c>
      <c r="V16" s="46"/>
      <c r="W16" s="68">
        <f t="shared" si="6"/>
        <v>13743.461195312439</v>
      </c>
      <c r="X16" s="68">
        <f t="shared" si="7"/>
        <v>413.23695155643509</v>
      </c>
      <c r="Y16" s="70">
        <f t="shared" si="8"/>
        <v>3.0999999999999923E-2</v>
      </c>
      <c r="Z16" s="71"/>
      <c r="AA16" s="72">
        <f t="shared" si="9"/>
        <v>13672.614756349672</v>
      </c>
      <c r="AB16" s="68">
        <f t="shared" si="10"/>
        <v>342.39051259366897</v>
      </c>
      <c r="AC16" s="73">
        <f t="shared" si="11"/>
        <v>2.5685277781733323E-2</v>
      </c>
      <c r="AD16" s="22"/>
      <c r="AE16" s="74">
        <f>'Options 1-3'!AQ7</f>
        <v>13753.948308946736</v>
      </c>
      <c r="AF16" s="75">
        <f t="shared" si="12"/>
        <v>10.487113634297202</v>
      </c>
      <c r="AG16" s="69">
        <f t="shared" si="13"/>
        <v>0.81974460965213491</v>
      </c>
      <c r="AH16" s="22"/>
      <c r="AI16" s="76">
        <v>17001.327302015696</v>
      </c>
      <c r="AJ16" s="75">
        <f t="shared" si="14"/>
        <v>3257.8661067032572</v>
      </c>
      <c r="AK16" s="69">
        <f t="shared" si="15"/>
        <v>1.0132905911601686</v>
      </c>
      <c r="AL16" s="69">
        <f t="shared" si="16"/>
        <v>1.8840123339999664</v>
      </c>
      <c r="AM16" s="77"/>
      <c r="AN16" s="76">
        <f>SUM('Options 1-3'!T7*'Summary (2)'!$AN$3)</f>
        <v>22683.264500000001</v>
      </c>
      <c r="AO16" s="75">
        <f t="shared" si="17"/>
        <v>8939.8033046875626</v>
      </c>
      <c r="AP16" s="22"/>
      <c r="AQ16" s="74">
        <f>'Op4'!AQ7</f>
        <v>15214.082175101314</v>
      </c>
      <c r="AR16" s="75">
        <f t="shared" si="18"/>
        <v>1470.620979788875</v>
      </c>
      <c r="AS16" s="22"/>
      <c r="AT16" s="74">
        <f>'Op5'!AQ7</f>
        <v>15387.109488331083</v>
      </c>
      <c r="AU16" s="75">
        <f t="shared" si="19"/>
        <v>1643.6482930186448</v>
      </c>
      <c r="AV16" s="22"/>
      <c r="AW16" s="74">
        <f>'Op6'!AQ7</f>
        <v>19519.08155874335</v>
      </c>
      <c r="AX16" s="75">
        <f t="shared" si="20"/>
        <v>5775.6203634309113</v>
      </c>
      <c r="AY16" s="22"/>
      <c r="AZ16" s="74">
        <f>'Op7'!AQ7</f>
        <v>15387.109488331083</v>
      </c>
      <c r="BA16" s="75">
        <f t="shared" si="21"/>
        <v>1643.6482930186448</v>
      </c>
      <c r="BB16" s="22"/>
      <c r="BC16" s="74">
        <f>'Op8'!AQ7</f>
        <v>17746.530202085611</v>
      </c>
      <c r="BD16" s="75">
        <f t="shared" si="22"/>
        <v>4003.0690067731721</v>
      </c>
      <c r="BE16" s="75"/>
      <c r="BF16" s="74">
        <v>16951.93357166354</v>
      </c>
      <c r="BG16" s="75">
        <v>3621.7093279075361</v>
      </c>
      <c r="BH16" s="75"/>
      <c r="BI16" s="75">
        <v>18218.025243382406</v>
      </c>
      <c r="BJ16" s="75">
        <v>4887.8009996264027</v>
      </c>
      <c r="BK16" s="75"/>
      <c r="BL16" s="74">
        <v>16468.743165512697</v>
      </c>
      <c r="BM16" s="75">
        <v>3138.5189217566931</v>
      </c>
      <c r="BN16" s="75"/>
      <c r="BO16" s="74">
        <v>17114.94634376324</v>
      </c>
      <c r="BP16" s="75">
        <v>3784.7221000072368</v>
      </c>
      <c r="BQ16" s="74">
        <v>11842.764738860604</v>
      </c>
      <c r="BR16" s="75">
        <v>-1487.4595048953997</v>
      </c>
      <c r="BS16" s="75"/>
      <c r="BT16" s="74">
        <v>11210.145753192453</v>
      </c>
      <c r="BU16" s="75">
        <v>-2120.0784905635501</v>
      </c>
      <c r="BV16" s="75"/>
      <c r="BW16" s="22"/>
      <c r="BX16" s="74">
        <f>'Op9'!AQ7</f>
        <v>16575.975929206037</v>
      </c>
      <c r="BY16" s="75">
        <f t="shared" si="23"/>
        <v>2832.5147338935985</v>
      </c>
      <c r="BZ16" s="22"/>
      <c r="CA16" s="74">
        <v>16129.41969850283</v>
      </c>
      <c r="CB16" s="75">
        <v>2799.1954547468267</v>
      </c>
      <c r="CC16" s="22"/>
      <c r="CD16" s="74">
        <v>17258.425724694909</v>
      </c>
      <c r="CE16" s="75">
        <v>3928.2014809389057</v>
      </c>
      <c r="CF16" s="22"/>
      <c r="CG16" s="74">
        <v>15509.143646825198</v>
      </c>
      <c r="CH16" s="75">
        <v>2178.9194030691942</v>
      </c>
      <c r="CI16" s="22"/>
      <c r="CJ16" s="74">
        <v>16429.518116129311</v>
      </c>
      <c r="CK16" s="75">
        <v>3099.2938723733077</v>
      </c>
      <c r="CL16" s="22"/>
      <c r="CM16" s="74">
        <v>10474.933642742762</v>
      </c>
      <c r="CN16" s="75">
        <v>-2855.290601013241</v>
      </c>
      <c r="CO16" s="22"/>
      <c r="CP16" s="74">
        <v>9836.2639387745858</v>
      </c>
      <c r="CQ16" s="75">
        <v>-3493.9603049814177</v>
      </c>
    </row>
    <row r="17" spans="1:95" ht="15.75" x14ac:dyDescent="0.5">
      <c r="A17" s="86" t="s">
        <v>73</v>
      </c>
      <c r="B17" s="87" t="s">
        <v>74</v>
      </c>
      <c r="C17" s="84" t="s">
        <v>75</v>
      </c>
      <c r="D17" s="88"/>
      <c r="E17" s="62">
        <f>AVERAGE('Avg master'!D6:F6)</f>
        <v>2763</v>
      </c>
      <c r="F17" s="62">
        <f>'Avg master'!H6</f>
        <v>2763</v>
      </c>
      <c r="G17" s="63">
        <f t="shared" si="0"/>
        <v>1.0336919475783871E-2</v>
      </c>
      <c r="H17" s="63">
        <f t="shared" si="1"/>
        <v>1.0220299297315891E-2</v>
      </c>
      <c r="I17" s="44">
        <f t="shared" si="2"/>
        <v>-1.1281908381039797E-2</v>
      </c>
      <c r="J17" s="64">
        <v>4438</v>
      </c>
      <c r="K17" s="64">
        <v>2541</v>
      </c>
      <c r="L17" s="64">
        <v>1310</v>
      </c>
      <c r="M17" s="65">
        <f t="shared" si="3"/>
        <v>2763</v>
      </c>
      <c r="N17" s="66">
        <f t="shared" si="4"/>
        <v>2.3728755335320033E-2</v>
      </c>
      <c r="O17" s="18"/>
      <c r="P17" s="67">
        <v>6135.6090600000016</v>
      </c>
      <c r="Q17" s="22"/>
      <c r="R17" s="68">
        <v>6534.4236489000014</v>
      </c>
      <c r="S17" s="22"/>
      <c r="T17" s="68">
        <v>6665.1121218780017</v>
      </c>
      <c r="U17" s="69">
        <f t="shared" si="5"/>
        <v>2.4122736597459289</v>
      </c>
      <c r="V17" s="46"/>
      <c r="W17" s="68">
        <f t="shared" si="6"/>
        <v>6871.7305976562193</v>
      </c>
      <c r="X17" s="68">
        <f t="shared" si="7"/>
        <v>206.61847577821754</v>
      </c>
      <c r="Y17" s="70">
        <f t="shared" si="8"/>
        <v>3.0999999999999923E-2</v>
      </c>
      <c r="Z17" s="71"/>
      <c r="AA17" s="72">
        <f t="shared" si="9"/>
        <v>6794.2043626342738</v>
      </c>
      <c r="AB17" s="68">
        <f t="shared" si="10"/>
        <v>129.09224075627208</v>
      </c>
      <c r="AC17" s="73">
        <f t="shared" si="11"/>
        <v>1.9368352459147871E-2</v>
      </c>
      <c r="AD17" s="22"/>
      <c r="AE17" s="74">
        <f>'Options 1-3'!AQ8</f>
        <v>2264.9543564688488</v>
      </c>
      <c r="AF17" s="75">
        <f t="shared" si="12"/>
        <v>-4606.77624118737</v>
      </c>
      <c r="AG17" s="69">
        <f t="shared" si="13"/>
        <v>0.81974460965213491</v>
      </c>
      <c r="AH17" s="22"/>
      <c r="AI17" s="76">
        <v>5205.5260788419064</v>
      </c>
      <c r="AJ17" s="75">
        <f t="shared" si="14"/>
        <v>-1666.2045188143129</v>
      </c>
      <c r="AK17" s="69">
        <f t="shared" si="15"/>
        <v>1.8840123339999661</v>
      </c>
      <c r="AL17" s="69">
        <f t="shared" si="16"/>
        <v>1.8840123339999661</v>
      </c>
      <c r="AM17" s="77"/>
      <c r="AN17" s="76">
        <f>SUM('Options 1-3'!T8*'Summary (2)'!$AN$3)</f>
        <v>3709.6825000000003</v>
      </c>
      <c r="AO17" s="75">
        <f t="shared" si="17"/>
        <v>-3162.0480976562189</v>
      </c>
      <c r="AP17" s="22"/>
      <c r="AQ17" s="74">
        <f>'Op4'!AQ8</f>
        <v>5085.4093380121449</v>
      </c>
      <c r="AR17" s="75">
        <f t="shared" si="18"/>
        <v>-1786.3212596440744</v>
      </c>
      <c r="AS17" s="22"/>
      <c r="AT17" s="74">
        <f>'Op5'!AQ8</f>
        <v>4226.6743353525462</v>
      </c>
      <c r="AU17" s="75">
        <f t="shared" si="19"/>
        <v>-2645.0562623036731</v>
      </c>
      <c r="AV17" s="22"/>
      <c r="AW17" s="74">
        <f>'Op6'!AQ8</f>
        <v>3145.0793726592915</v>
      </c>
      <c r="AX17" s="75">
        <f t="shared" si="20"/>
        <v>-3726.6512249969278</v>
      </c>
      <c r="AY17" s="22"/>
      <c r="AZ17" s="74">
        <f>'Op7'!AQ8</f>
        <v>4226.6743353525462</v>
      </c>
      <c r="BA17" s="75">
        <f t="shared" si="21"/>
        <v>-2645.0562623036731</v>
      </c>
      <c r="BB17" s="22"/>
      <c r="BC17" s="74">
        <f>'Op8'!AQ8</f>
        <v>2649.2583303654328</v>
      </c>
      <c r="BD17" s="75">
        <f t="shared" si="22"/>
        <v>-4222.4722672907865</v>
      </c>
      <c r="BE17" s="75"/>
      <c r="BF17" s="74">
        <v>2664.1590602893693</v>
      </c>
      <c r="BG17" s="75">
        <v>-4000.9530615886324</v>
      </c>
      <c r="BH17" s="75"/>
      <c r="BI17" s="75">
        <v>2846.724362010335</v>
      </c>
      <c r="BJ17" s="75">
        <v>-3818.3877598676668</v>
      </c>
      <c r="BK17" s="75"/>
      <c r="BL17" s="74">
        <v>3174.0128787966801</v>
      </c>
      <c r="BM17" s="75">
        <v>-3491.0992430813217</v>
      </c>
      <c r="BN17" s="75"/>
      <c r="BO17" s="74">
        <v>2749.2793556590018</v>
      </c>
      <c r="BP17" s="75">
        <v>-3915.832766219</v>
      </c>
      <c r="BQ17" s="74">
        <v>3982.6480319812958</v>
      </c>
      <c r="BR17" s="75">
        <v>-2682.4640898967059</v>
      </c>
      <c r="BS17" s="75"/>
      <c r="BT17" s="74">
        <v>3788.585594264468</v>
      </c>
      <c r="BU17" s="75">
        <v>-2876.5265276135337</v>
      </c>
      <c r="BV17" s="75"/>
      <c r="BW17" s="22"/>
      <c r="BX17" s="74">
        <f>'Op9'!AQ8</f>
        <v>1789.8959000959085</v>
      </c>
      <c r="BY17" s="75">
        <f t="shared" si="23"/>
        <v>-5081.8346975603108</v>
      </c>
      <c r="BZ17" s="22"/>
      <c r="CA17" s="74">
        <v>1920.9959811944602</v>
      </c>
      <c r="CB17" s="75">
        <v>-4744.1161406835417</v>
      </c>
      <c r="CC17" s="22"/>
      <c r="CD17" s="74">
        <v>1979.7007697329409</v>
      </c>
      <c r="CE17" s="75">
        <v>-4685.4113521450608</v>
      </c>
      <c r="CF17" s="22"/>
      <c r="CG17" s="74">
        <v>2306.9892865192865</v>
      </c>
      <c r="CH17" s="75">
        <v>-4358.1228353587157</v>
      </c>
      <c r="CI17" s="22"/>
      <c r="CJ17" s="74">
        <v>2129.9767897465781</v>
      </c>
      <c r="CK17" s="75">
        <v>-4535.1353321314236</v>
      </c>
      <c r="CL17" s="22"/>
      <c r="CM17" s="74">
        <v>2746.7763923134266</v>
      </c>
      <c r="CN17" s="75">
        <v>-3918.3357295645751</v>
      </c>
      <c r="CO17" s="22"/>
      <c r="CP17" s="74">
        <v>2547.2469702826406</v>
      </c>
      <c r="CQ17" s="75">
        <v>-4117.8651515953607</v>
      </c>
    </row>
    <row r="18" spans="1:95" ht="15.75" x14ac:dyDescent="0.5">
      <c r="A18" s="86" t="s">
        <v>76</v>
      </c>
      <c r="B18" s="89" t="s">
        <v>77</v>
      </c>
      <c r="C18" s="84" t="s">
        <v>78</v>
      </c>
      <c r="D18" s="88"/>
      <c r="E18" s="62">
        <f>AVERAGE('Avg master'!D7:F7)</f>
        <v>7252</v>
      </c>
      <c r="F18" s="62">
        <f>'Avg master'!H7</f>
        <v>7252</v>
      </c>
      <c r="G18" s="63">
        <f t="shared" si="0"/>
        <v>2.7131140079038951E-2</v>
      </c>
      <c r="H18" s="63">
        <f t="shared" si="1"/>
        <v>2.6825049042394078E-2</v>
      </c>
      <c r="I18" s="44">
        <f t="shared" si="2"/>
        <v>-1.1281908381039733E-2</v>
      </c>
      <c r="J18" s="64">
        <v>7736</v>
      </c>
      <c r="K18" s="64">
        <v>7202</v>
      </c>
      <c r="L18" s="64">
        <v>6818</v>
      </c>
      <c r="M18" s="65">
        <f t="shared" si="3"/>
        <v>7252</v>
      </c>
      <c r="N18" s="66">
        <f t="shared" si="4"/>
        <v>6.2280468219956885E-2</v>
      </c>
      <c r="O18" s="18"/>
      <c r="P18" s="67">
        <v>4908.4872480000004</v>
      </c>
      <c r="Q18" s="22"/>
      <c r="R18" s="68">
        <v>5227.5389191200002</v>
      </c>
      <c r="S18" s="22"/>
      <c r="T18" s="68">
        <v>5332.0896975024007</v>
      </c>
      <c r="U18" s="69">
        <f t="shared" si="5"/>
        <v>0.73525781818841707</v>
      </c>
      <c r="V18" s="46"/>
      <c r="W18" s="68">
        <f t="shared" si="6"/>
        <v>5497.3844781249745</v>
      </c>
      <c r="X18" s="68">
        <f t="shared" si="7"/>
        <v>165.29478062257385</v>
      </c>
      <c r="Y18" s="70">
        <f t="shared" si="8"/>
        <v>3.0999999999999892E-2</v>
      </c>
      <c r="Z18" s="71"/>
      <c r="AA18" s="72">
        <f t="shared" si="9"/>
        <v>5435.3634901074183</v>
      </c>
      <c r="AB18" s="68">
        <f t="shared" si="10"/>
        <v>103.27379260501766</v>
      </c>
      <c r="AC18" s="73">
        <f t="shared" si="11"/>
        <v>1.9368352459147874E-2</v>
      </c>
      <c r="AD18" s="22"/>
      <c r="AE18" s="74">
        <f>'Options 1-3'!AQ9</f>
        <v>5944.7879091972818</v>
      </c>
      <c r="AF18" s="75">
        <f t="shared" si="12"/>
        <v>447.40343107230728</v>
      </c>
      <c r="AG18" s="69">
        <f t="shared" si="13"/>
        <v>0.8197446096521348</v>
      </c>
      <c r="AH18" s="22"/>
      <c r="AI18" s="76">
        <v>13662.857446167754</v>
      </c>
      <c r="AJ18" s="75">
        <f t="shared" si="14"/>
        <v>8165.4729680427799</v>
      </c>
      <c r="AK18" s="69">
        <f t="shared" si="15"/>
        <v>1.8840123339999661</v>
      </c>
      <c r="AL18" s="69">
        <f t="shared" si="16"/>
        <v>1.8840123339999661</v>
      </c>
      <c r="AM18" s="77"/>
      <c r="AN18" s="76">
        <f>SUM('Options 1-3'!T9*'Summary (2)'!$AN$3)</f>
        <v>3647.6200000000003</v>
      </c>
      <c r="AO18" s="75">
        <f t="shared" si="17"/>
        <v>-1849.7644781249742</v>
      </c>
      <c r="AP18" s="22"/>
      <c r="AQ18" s="74">
        <f>'Op4'!AQ9</f>
        <v>12347.446131766061</v>
      </c>
      <c r="AR18" s="75">
        <f t="shared" si="18"/>
        <v>6850.0616536410862</v>
      </c>
      <c r="AS18" s="22"/>
      <c r="AT18" s="74">
        <f>'Op5'!AQ9</f>
        <v>10189.036071844588</v>
      </c>
      <c r="AU18" s="75">
        <f t="shared" si="19"/>
        <v>4691.6515937196136</v>
      </c>
      <c r="AV18" s="22"/>
      <c r="AW18" s="74">
        <f>'Op6'!AQ9</f>
        <v>2933.7787303285218</v>
      </c>
      <c r="AX18" s="75">
        <f t="shared" si="20"/>
        <v>-2563.6057477964528</v>
      </c>
      <c r="AY18" s="22"/>
      <c r="AZ18" s="74">
        <f>'Op7'!AQ9</f>
        <v>10189.036071844588</v>
      </c>
      <c r="BA18" s="75">
        <f t="shared" si="21"/>
        <v>4691.6515937196136</v>
      </c>
      <c r="BB18" s="22"/>
      <c r="BC18" s="74">
        <f>'Op8'!AQ9</f>
        <v>4701.8298380078049</v>
      </c>
      <c r="BD18" s="75">
        <f t="shared" si="22"/>
        <v>-795.55464011716958</v>
      </c>
      <c r="BE18" s="75"/>
      <c r="BF18" s="74">
        <v>4719.3784300974858</v>
      </c>
      <c r="BG18" s="75">
        <v>-612.71126740491491</v>
      </c>
      <c r="BH18" s="75"/>
      <c r="BI18" s="75">
        <v>5246.0905138903727</v>
      </c>
      <c r="BJ18" s="75">
        <v>-85.999183612027991</v>
      </c>
      <c r="BK18" s="75"/>
      <c r="BL18" s="74">
        <v>5551.2465467770544</v>
      </c>
      <c r="BM18" s="75">
        <v>219.15684927465372</v>
      </c>
      <c r="BN18" s="75"/>
      <c r="BO18" s="74">
        <v>4427.6280108325536</v>
      </c>
      <c r="BP18" s="75">
        <v>-904.46168666984704</v>
      </c>
      <c r="BQ18" s="74">
        <v>7615.4924202540697</v>
      </c>
      <c r="BR18" s="75">
        <v>2283.402722751669</v>
      </c>
      <c r="BS18" s="75"/>
      <c r="BT18" s="74">
        <v>7033.3422020303751</v>
      </c>
      <c r="BU18" s="75">
        <v>1701.2525045279745</v>
      </c>
      <c r="BV18" s="75"/>
      <c r="BW18" s="22"/>
      <c r="BX18" s="74">
        <f>'Op9'!AQ9</f>
        <v>2411.2504363094231</v>
      </c>
      <c r="BY18" s="75">
        <f t="shared" si="23"/>
        <v>-3086.1340418155514</v>
      </c>
      <c r="BZ18" s="22"/>
      <c r="CA18" s="74">
        <v>2768.8106958968783</v>
      </c>
      <c r="CB18" s="75">
        <v>-2563.2790016055224</v>
      </c>
      <c r="CC18" s="22"/>
      <c r="CD18" s="74">
        <v>2970.428157322996</v>
      </c>
      <c r="CE18" s="75">
        <v>-2361.6615401794047</v>
      </c>
      <c r="CF18" s="22"/>
      <c r="CG18" s="74">
        <v>3275.5841902096795</v>
      </c>
      <c r="CH18" s="75">
        <v>-2056.5055072927212</v>
      </c>
      <c r="CI18" s="22"/>
      <c r="CJ18" s="74">
        <v>2802.1548989987132</v>
      </c>
      <c r="CK18" s="75">
        <v>-2529.9347985036875</v>
      </c>
      <c r="CL18" s="22"/>
      <c r="CM18" s="74">
        <v>4371.7207478431428</v>
      </c>
      <c r="CN18" s="75">
        <v>-960.36894965925785</v>
      </c>
      <c r="CO18" s="22"/>
      <c r="CP18" s="74">
        <v>3775.2214271059397</v>
      </c>
      <c r="CQ18" s="75">
        <v>-1556.868270396461</v>
      </c>
    </row>
    <row r="19" spans="1:95" ht="15.75" x14ac:dyDescent="0.5">
      <c r="A19" s="83" t="s">
        <v>79</v>
      </c>
      <c r="B19" s="90" t="s">
        <v>80</v>
      </c>
      <c r="C19" s="91" t="s">
        <v>81</v>
      </c>
      <c r="D19" s="85"/>
      <c r="E19" s="62">
        <f>AVERAGE('Avg master'!D8:F8)</f>
        <v>349.33333333333331</v>
      </c>
      <c r="F19" s="62">
        <f>'Avg master'!H8</f>
        <v>349.33333333333331</v>
      </c>
      <c r="G19" s="63">
        <f t="shared" si="0"/>
        <v>1.3069238280397509E-3</v>
      </c>
      <c r="H19" s="63">
        <f t="shared" si="1"/>
        <v>1.2921792331508086E-3</v>
      </c>
      <c r="I19" s="44">
        <f t="shared" si="2"/>
        <v>-1.128190838103979E-2</v>
      </c>
      <c r="J19" s="64">
        <v>357</v>
      </c>
      <c r="K19" s="64">
        <v>350</v>
      </c>
      <c r="L19" s="64">
        <v>341</v>
      </c>
      <c r="M19" s="65">
        <f t="shared" si="3"/>
        <v>349.33333333333331</v>
      </c>
      <c r="N19" s="66">
        <f t="shared" si="4"/>
        <v>3.0000887430830492E-3</v>
      </c>
      <c r="O19" s="18"/>
      <c r="P19" s="67">
        <v>1227.1218120000001</v>
      </c>
      <c r="Q19" s="22"/>
      <c r="R19" s="68">
        <v>1306.88472978</v>
      </c>
      <c r="S19" s="22"/>
      <c r="T19" s="68">
        <v>1333.0224243756002</v>
      </c>
      <c r="U19" s="69">
        <f t="shared" si="5"/>
        <v>3.8159038865713746</v>
      </c>
      <c r="V19" s="46"/>
      <c r="W19" s="68">
        <f t="shared" si="6"/>
        <v>1374.3461195312436</v>
      </c>
      <c r="X19" s="68">
        <f t="shared" si="7"/>
        <v>41.323695155643463</v>
      </c>
      <c r="Y19" s="70">
        <f t="shared" si="8"/>
        <v>3.0999999999999892E-2</v>
      </c>
      <c r="Z19" s="71"/>
      <c r="AA19" s="72">
        <f t="shared" si="9"/>
        <v>1358.8408725268546</v>
      </c>
      <c r="AB19" s="68">
        <f t="shared" si="10"/>
        <v>25.818448151254415</v>
      </c>
      <c r="AC19" s="73">
        <f t="shared" si="11"/>
        <v>1.9368352459147874E-2</v>
      </c>
      <c r="AD19" s="22"/>
      <c r="AE19" s="74">
        <f>'Options 1-3'!AQ10</f>
        <v>286.36411697181245</v>
      </c>
      <c r="AF19" s="75">
        <f t="shared" si="12"/>
        <v>-1087.9820025594313</v>
      </c>
      <c r="AG19" s="69">
        <f t="shared" si="13"/>
        <v>0.81974460965213491</v>
      </c>
      <c r="AH19" s="22"/>
      <c r="AI19" s="76">
        <v>658.14830867732155</v>
      </c>
      <c r="AJ19" s="75">
        <f t="shared" si="14"/>
        <v>-716.19781085392208</v>
      </c>
      <c r="AK19" s="69">
        <f t="shared" si="15"/>
        <v>1.8840123339999664</v>
      </c>
      <c r="AL19" s="69">
        <f t="shared" si="16"/>
        <v>1.8840123339999664</v>
      </c>
      <c r="AM19" s="77"/>
      <c r="AN19" s="76">
        <f>SUM('Options 1-3'!T10*'Summary (2)'!$AN$3)</f>
        <v>2778.9105</v>
      </c>
      <c r="AO19" s="75">
        <f t="shared" si="17"/>
        <v>1404.5643804687563</v>
      </c>
      <c r="AP19" s="22"/>
      <c r="AQ19" s="74">
        <f>'Op4'!AQ10</f>
        <v>1180.723184928896</v>
      </c>
      <c r="AR19" s="75">
        <f t="shared" si="18"/>
        <v>-193.62293460234764</v>
      </c>
      <c r="AS19" s="22"/>
      <c r="AT19" s="74">
        <f>'Op5'!AQ10</f>
        <v>997.02792923275774</v>
      </c>
      <c r="AU19" s="75">
        <f t="shared" si="19"/>
        <v>-377.31819029848589</v>
      </c>
      <c r="AV19" s="22"/>
      <c r="AW19" s="74">
        <f>'Op6'!AQ10</f>
        <v>2535.6288662222773</v>
      </c>
      <c r="AX19" s="75">
        <f t="shared" si="20"/>
        <v>1161.2827466910337</v>
      </c>
      <c r="AY19" s="22"/>
      <c r="AZ19" s="74">
        <f>'Op7'!AQ10</f>
        <v>997.02792923275774</v>
      </c>
      <c r="BA19" s="75">
        <f t="shared" si="21"/>
        <v>-377.31819029848589</v>
      </c>
      <c r="BB19" s="22"/>
      <c r="BC19" s="74">
        <f>'Op8'!AQ10</f>
        <v>1424.773943835746</v>
      </c>
      <c r="BD19" s="75">
        <f t="shared" si="22"/>
        <v>50.427824304502337</v>
      </c>
      <c r="BE19" s="75"/>
      <c r="BF19" s="74">
        <v>1479.3855452800933</v>
      </c>
      <c r="BG19" s="75">
        <v>146.36312090449314</v>
      </c>
      <c r="BH19" s="75"/>
      <c r="BI19" s="75">
        <v>1383.3948880899352</v>
      </c>
      <c r="BJ19" s="75">
        <v>50.372463714335026</v>
      </c>
      <c r="BK19" s="75"/>
      <c r="BL19" s="74">
        <v>1700.0950573156456</v>
      </c>
      <c r="BM19" s="75">
        <v>367.07263294004542</v>
      </c>
      <c r="BN19" s="75"/>
      <c r="BO19" s="74">
        <v>1673.6299659185731</v>
      </c>
      <c r="BP19" s="75">
        <v>340.60754154297297</v>
      </c>
      <c r="BQ19" s="74">
        <v>2008.6597990593777</v>
      </c>
      <c r="BR19" s="75">
        <v>675.63737468377758</v>
      </c>
      <c r="BS19" s="75"/>
      <c r="BT19" s="74">
        <v>2017.041604206604</v>
      </c>
      <c r="BU19" s="75">
        <v>684.01917983100384</v>
      </c>
      <c r="BV19" s="75"/>
      <c r="BW19" s="22"/>
      <c r="BX19" s="74">
        <f>'Op9'!AQ10</f>
        <v>1331.6284550933233</v>
      </c>
      <c r="BY19" s="75">
        <f t="shared" si="23"/>
        <v>-42.717664437920348</v>
      </c>
      <c r="BZ19" s="22"/>
      <c r="CA19" s="74">
        <v>1385.42548895346</v>
      </c>
      <c r="CB19" s="75">
        <v>52.403064577859823</v>
      </c>
      <c r="CC19" s="22"/>
      <c r="CD19" s="74">
        <v>1273.7748223755293</v>
      </c>
      <c r="CE19" s="75">
        <v>-59.247602000070856</v>
      </c>
      <c r="CF19" s="22"/>
      <c r="CG19" s="74">
        <v>1590.4749916012397</v>
      </c>
      <c r="CH19" s="75">
        <v>257.45256722563954</v>
      </c>
      <c r="CI19" s="22"/>
      <c r="CJ19" s="74">
        <v>1595.3299189797117</v>
      </c>
      <c r="CK19" s="75">
        <v>262.30749460411153</v>
      </c>
      <c r="CL19" s="22"/>
      <c r="CM19" s="74">
        <v>1852.4053077610395</v>
      </c>
      <c r="CN19" s="75">
        <v>519.3828833854393</v>
      </c>
      <c r="CO19" s="22"/>
      <c r="CP19" s="74">
        <v>1860.0959077494977</v>
      </c>
      <c r="CQ19" s="75">
        <v>527.07348337389749</v>
      </c>
    </row>
    <row r="20" spans="1:95" ht="15.75" x14ac:dyDescent="0.5">
      <c r="A20" s="83" t="s">
        <v>82</v>
      </c>
      <c r="B20" s="59" t="s">
        <v>83</v>
      </c>
      <c r="C20" s="91" t="s">
        <v>84</v>
      </c>
      <c r="D20" s="85"/>
      <c r="E20" s="62">
        <f>AVERAGE('Avg master'!D9:F9)</f>
        <v>103.33333333333333</v>
      </c>
      <c r="F20" s="62">
        <f>'Avg master'!H9</f>
        <v>103.33333333333333</v>
      </c>
      <c r="G20" s="63">
        <f t="shared" si="0"/>
        <v>3.8659006363771258E-4</v>
      </c>
      <c r="H20" s="63">
        <f t="shared" si="1"/>
        <v>3.8222858995873158E-4</v>
      </c>
      <c r="I20" s="44">
        <f t="shared" si="2"/>
        <v>-1.1281908381039756E-2</v>
      </c>
      <c r="J20" s="64">
        <v>111</v>
      </c>
      <c r="K20" s="64">
        <v>104</v>
      </c>
      <c r="L20" s="64">
        <v>95</v>
      </c>
      <c r="M20" s="65">
        <f t="shared" si="3"/>
        <v>103.33333333333333</v>
      </c>
      <c r="N20" s="66">
        <f t="shared" si="4"/>
        <v>8.8743083049212335E-4</v>
      </c>
      <c r="O20" s="18"/>
      <c r="P20" s="67">
        <v>923.26307760000009</v>
      </c>
      <c r="Q20" s="22"/>
      <c r="R20" s="68">
        <v>983.275177644</v>
      </c>
      <c r="S20" s="22"/>
      <c r="T20" s="68">
        <v>1002.9406811968801</v>
      </c>
      <c r="U20" s="69">
        <f t="shared" si="5"/>
        <v>9.7058775599698084</v>
      </c>
      <c r="V20" s="46"/>
      <c r="W20" s="68">
        <f t="shared" si="6"/>
        <v>1034.0318423139834</v>
      </c>
      <c r="X20" s="68">
        <f t="shared" si="7"/>
        <v>31.091161117103297</v>
      </c>
      <c r="Y20" s="70">
        <f t="shared" si="8"/>
        <v>3.1000000000000014E-2</v>
      </c>
      <c r="Z20" s="71"/>
      <c r="AA20" s="72">
        <f t="shared" si="9"/>
        <v>1022.3659898059193</v>
      </c>
      <c r="AB20" s="68">
        <f t="shared" si="10"/>
        <v>19.425308609039234</v>
      </c>
      <c r="AC20" s="73">
        <f t="shared" si="11"/>
        <v>1.9368352459148072E-2</v>
      </c>
      <c r="AD20" s="22"/>
      <c r="AE20" s="74">
        <f>'Options 1-3'!AQ11</f>
        <v>84.706942997387273</v>
      </c>
      <c r="AF20" s="75">
        <f t="shared" si="12"/>
        <v>-949.32489931659609</v>
      </c>
      <c r="AG20" s="69">
        <f t="shared" si="13"/>
        <v>0.81974460965213491</v>
      </c>
      <c r="AH20" s="22"/>
      <c r="AI20" s="76">
        <v>194.68127451332984</v>
      </c>
      <c r="AJ20" s="75">
        <f t="shared" si="14"/>
        <v>-839.35056780065349</v>
      </c>
      <c r="AK20" s="69">
        <f t="shared" si="15"/>
        <v>1.8840123339999664</v>
      </c>
      <c r="AL20" s="69">
        <f t="shared" si="16"/>
        <v>1.8840123339999664</v>
      </c>
      <c r="AM20" s="77"/>
      <c r="AN20" s="76">
        <f>SUM('Options 1-3'!T11*'Summary (2)'!$AN$3)</f>
        <v>858.11750000000006</v>
      </c>
      <c r="AO20" s="75">
        <f t="shared" si="17"/>
        <v>-175.9143423139833</v>
      </c>
      <c r="AP20" s="22"/>
      <c r="AQ20" s="74">
        <f>'Op4'!AQ11</f>
        <v>782.75903895797501</v>
      </c>
      <c r="AR20" s="75">
        <f t="shared" si="18"/>
        <v>-251.27280335600835</v>
      </c>
      <c r="AS20" s="22"/>
      <c r="AT20" s="74">
        <f>'Op5'!AQ11</f>
        <v>665.31843830601429</v>
      </c>
      <c r="AU20" s="75">
        <f t="shared" si="19"/>
        <v>-368.71340400796907</v>
      </c>
      <c r="AV20" s="22"/>
      <c r="AW20" s="74">
        <f>'Op6'!AQ11</f>
        <v>1146.6304785847165</v>
      </c>
      <c r="AX20" s="75">
        <f t="shared" si="20"/>
        <v>112.5986362707331</v>
      </c>
      <c r="AY20" s="22"/>
      <c r="AZ20" s="74">
        <f>'Op7'!AQ11</f>
        <v>665.31843830601429</v>
      </c>
      <c r="BA20" s="75">
        <f t="shared" si="21"/>
        <v>-368.71340400796907</v>
      </c>
      <c r="BB20" s="22"/>
      <c r="BC20" s="74">
        <f>'Op8'!AQ11</f>
        <v>901.40101542654111</v>
      </c>
      <c r="BD20" s="75">
        <f t="shared" si="22"/>
        <v>-132.63082688744225</v>
      </c>
      <c r="BE20" s="75"/>
      <c r="BF20" s="74">
        <v>1037.9621856592748</v>
      </c>
      <c r="BG20" s="75">
        <v>35.021504462394773</v>
      </c>
      <c r="BH20" s="75"/>
      <c r="BI20" s="75">
        <v>771.84667151048427</v>
      </c>
      <c r="BJ20" s="75">
        <v>-231.09400968639579</v>
      </c>
      <c r="BK20" s="75"/>
      <c r="BL20" s="74">
        <v>1115.6076105244463</v>
      </c>
      <c r="BM20" s="75">
        <v>112.66692932756621</v>
      </c>
      <c r="BN20" s="75"/>
      <c r="BO20" s="74">
        <v>1101.5939578910929</v>
      </c>
      <c r="BP20" s="75">
        <v>98.653276694212877</v>
      </c>
      <c r="BQ20" s="74">
        <v>1818.1790378412422</v>
      </c>
      <c r="BR20" s="75">
        <v>815.23835664436217</v>
      </c>
      <c r="BS20" s="75"/>
      <c r="BT20" s="74">
        <v>1820.6888434350467</v>
      </c>
      <c r="BU20" s="75">
        <v>817.74816223816663</v>
      </c>
      <c r="BV20" s="75"/>
      <c r="BW20" s="22"/>
      <c r="BX20" s="74">
        <f>'Op9'!AQ11</f>
        <v>872.22154858742761</v>
      </c>
      <c r="BY20" s="75">
        <f t="shared" si="23"/>
        <v>-161.81029372655576</v>
      </c>
      <c r="BZ20" s="22"/>
      <c r="CA20" s="74">
        <v>1010.1686575473888</v>
      </c>
      <c r="CB20" s="75">
        <v>7.2279763505086976</v>
      </c>
      <c r="CC20" s="22"/>
      <c r="CD20" s="74">
        <v>739.42088871328406</v>
      </c>
      <c r="CE20" s="75">
        <v>-263.51979248359601</v>
      </c>
      <c r="CF20" s="22"/>
      <c r="CG20" s="74">
        <v>1083.1818277272462</v>
      </c>
      <c r="CH20" s="75">
        <v>80.241146530366109</v>
      </c>
      <c r="CI20" s="22"/>
      <c r="CJ20" s="74">
        <v>1078.4326844645213</v>
      </c>
      <c r="CK20" s="75">
        <v>75.49200326764128</v>
      </c>
      <c r="CL20" s="22"/>
      <c r="CM20" s="74">
        <v>1771.9587207587185</v>
      </c>
      <c r="CN20" s="75">
        <v>769.01803956183846</v>
      </c>
      <c r="CO20" s="22"/>
      <c r="CP20" s="74">
        <v>1774.2640668112842</v>
      </c>
      <c r="CQ20" s="75">
        <v>771.32338561440417</v>
      </c>
    </row>
    <row r="21" spans="1:95" ht="15.75" customHeight="1" x14ac:dyDescent="0.5">
      <c r="A21" s="80" t="s">
        <v>85</v>
      </c>
      <c r="B21" s="59" t="s">
        <v>86</v>
      </c>
      <c r="C21" s="81" t="s">
        <v>69</v>
      </c>
      <c r="D21" s="82"/>
      <c r="E21" s="62">
        <f>AVERAGE('Avg master'!D10:F10)</f>
        <v>1010</v>
      </c>
      <c r="F21" s="62">
        <f>'Avg master'!H10</f>
        <v>1010.6666666666666</v>
      </c>
      <c r="G21" s="63">
        <f t="shared" si="0"/>
        <v>3.7786061058782878E-3</v>
      </c>
      <c r="H21" s="63">
        <f t="shared" si="1"/>
        <v>3.7384422088866907E-3</v>
      </c>
      <c r="I21" s="44">
        <f t="shared" si="2"/>
        <v>-1.0629289178651101E-2</v>
      </c>
      <c r="J21" s="64">
        <v>354</v>
      </c>
      <c r="K21" s="64">
        <v>332</v>
      </c>
      <c r="L21" s="64">
        <v>294</v>
      </c>
      <c r="M21" s="65">
        <f t="shared" si="3"/>
        <v>326.66666666666669</v>
      </c>
      <c r="N21" s="66">
        <f t="shared" si="4"/>
        <v>2.8054264963944544E-3</v>
      </c>
      <c r="O21" s="18"/>
      <c r="P21" s="67">
        <v>1472.5461744000004</v>
      </c>
      <c r="Q21" s="22"/>
      <c r="R21" s="68">
        <v>1568.2616757360004</v>
      </c>
      <c r="S21" s="22"/>
      <c r="T21" s="68">
        <v>1599.6269092507205</v>
      </c>
      <c r="U21" s="69">
        <f t="shared" si="5"/>
        <v>1.5827443033483382</v>
      </c>
      <c r="V21" s="46"/>
      <c r="W21" s="68">
        <f t="shared" si="6"/>
        <v>1649.2153434374927</v>
      </c>
      <c r="X21" s="68">
        <f t="shared" si="7"/>
        <v>49.588434186772247</v>
      </c>
      <c r="Y21" s="70">
        <f t="shared" si="8"/>
        <v>3.0999999999999944E-2</v>
      </c>
      <c r="Z21" s="71"/>
      <c r="AA21" s="72">
        <f t="shared" si="9"/>
        <v>1631.6853566342272</v>
      </c>
      <c r="AB21" s="68">
        <f t="shared" si="10"/>
        <v>32.058447383506746</v>
      </c>
      <c r="AC21" s="73">
        <f t="shared" si="11"/>
        <v>2.0041202856810662E-2</v>
      </c>
      <c r="AD21" s="22"/>
      <c r="AE21" s="74">
        <f>'Options 1-3'!AQ12</f>
        <v>828.48855215509093</v>
      </c>
      <c r="AF21" s="75">
        <f t="shared" si="12"/>
        <v>-820.72679128240179</v>
      </c>
      <c r="AG21" s="69">
        <f t="shared" si="13"/>
        <v>0.8197446096521348</v>
      </c>
      <c r="AH21" s="22"/>
      <c r="AI21" s="76">
        <v>615.44402910665565</v>
      </c>
      <c r="AJ21" s="75">
        <f t="shared" si="14"/>
        <v>-1033.771314330837</v>
      </c>
      <c r="AK21" s="69">
        <f t="shared" si="15"/>
        <v>0.60894857761212628</v>
      </c>
      <c r="AL21" s="69">
        <f t="shared" si="16"/>
        <v>1.8840123339999661</v>
      </c>
      <c r="AM21" s="77"/>
      <c r="AN21" s="76">
        <f>SUM('Options 1-3'!T12*'Summary (2)'!$AN$3)</f>
        <v>3389.6055000000001</v>
      </c>
      <c r="AO21" s="75">
        <f t="shared" si="17"/>
        <v>1740.3901565625074</v>
      </c>
      <c r="AP21" s="22"/>
      <c r="AQ21" s="74">
        <f>'Op4'!AQ12</f>
        <v>1144.0544018313042</v>
      </c>
      <c r="AR21" s="75">
        <f t="shared" si="18"/>
        <v>-505.16094160618854</v>
      </c>
      <c r="AS21" s="22"/>
      <c r="AT21" s="74">
        <f>'Op5'!AQ12</f>
        <v>697.19237938054903</v>
      </c>
      <c r="AU21" s="75">
        <f t="shared" si="19"/>
        <v>-952.02296405694369</v>
      </c>
      <c r="AV21" s="22"/>
      <c r="AW21" s="74">
        <f>'Op6'!AQ12</f>
        <v>2709.6735755305917</v>
      </c>
      <c r="AX21" s="75">
        <f t="shared" si="20"/>
        <v>1060.458232093099</v>
      </c>
      <c r="AY21" s="22"/>
      <c r="AZ21" s="74">
        <f>'Op7'!AQ12</f>
        <v>697.19237938054903</v>
      </c>
      <c r="BA21" s="75">
        <f t="shared" si="21"/>
        <v>-952.02296405694369</v>
      </c>
      <c r="BB21" s="22"/>
      <c r="BC21" s="74">
        <f>'Op8'!AQ12</f>
        <v>1407.300132552358</v>
      </c>
      <c r="BD21" s="75">
        <f t="shared" si="22"/>
        <v>-241.91521088513468</v>
      </c>
      <c r="BE21" s="75"/>
      <c r="BF21" s="74">
        <v>1435.8567702857674</v>
      </c>
      <c r="BG21" s="75">
        <v>-163.77013896495305</v>
      </c>
      <c r="BH21" s="75"/>
      <c r="BI21" s="75">
        <v>1363.8042995617516</v>
      </c>
      <c r="BJ21" s="75">
        <v>-235.8226096889689</v>
      </c>
      <c r="BK21" s="75"/>
      <c r="BL21" s="74">
        <v>1627.8016781788867</v>
      </c>
      <c r="BM21" s="75">
        <v>28.174768928166259</v>
      </c>
      <c r="BN21" s="75"/>
      <c r="BO21" s="74">
        <v>1657.6800686932813</v>
      </c>
      <c r="BP21" s="75">
        <v>58.053159442560855</v>
      </c>
      <c r="BQ21" s="74">
        <v>2192.7415519218889</v>
      </c>
      <c r="BR21" s="75">
        <v>593.11464267116844</v>
      </c>
      <c r="BS21" s="75"/>
      <c r="BT21" s="74">
        <v>1258.7930102267942</v>
      </c>
      <c r="BU21" s="75">
        <v>-340.83389902392628</v>
      </c>
      <c r="BV21" s="75"/>
      <c r="BW21" s="22"/>
      <c r="BX21" s="74">
        <f>'Op9'!AQ12</f>
        <v>992.08803928695829</v>
      </c>
      <c r="BY21" s="75">
        <f t="shared" si="23"/>
        <v>-657.12730415053443</v>
      </c>
      <c r="BZ21" s="22"/>
      <c r="CA21" s="74">
        <v>1491.0531372111523</v>
      </c>
      <c r="CB21" s="75">
        <v>-108.57377203956821</v>
      </c>
      <c r="CC21" s="22"/>
      <c r="CD21" s="74">
        <v>1428.2000609747004</v>
      </c>
      <c r="CE21" s="75">
        <v>-171.42684827602011</v>
      </c>
      <c r="CF21" s="22"/>
      <c r="CG21" s="74">
        <v>1692.1974395918353</v>
      </c>
      <c r="CH21" s="75">
        <v>92.570530341114818</v>
      </c>
      <c r="CI21" s="22"/>
      <c r="CJ21" s="74">
        <v>1703.677041131102</v>
      </c>
      <c r="CK21" s="75">
        <v>104.05013188038151</v>
      </c>
      <c r="CL21" s="22"/>
      <c r="CM21" s="74">
        <v>2284.532474284264</v>
      </c>
      <c r="CN21" s="75">
        <v>684.90556503354355</v>
      </c>
      <c r="CO21" s="22"/>
      <c r="CP21" s="74">
        <v>1350.989977615701</v>
      </c>
      <c r="CQ21" s="75">
        <v>-248.63693163501944</v>
      </c>
    </row>
    <row r="22" spans="1:95" ht="15.75" customHeight="1" x14ac:dyDescent="0.5">
      <c r="A22" s="83" t="s">
        <v>87</v>
      </c>
      <c r="B22" s="59" t="s">
        <v>88</v>
      </c>
      <c r="C22" s="61" t="s">
        <v>89</v>
      </c>
      <c r="D22" s="85"/>
      <c r="E22" s="62">
        <f>AVERAGE('Avg master'!D11:F11)</f>
        <v>2</v>
      </c>
      <c r="F22" s="62">
        <f>'Avg master'!H11</f>
        <v>2</v>
      </c>
      <c r="G22" s="63">
        <f t="shared" si="0"/>
        <v>7.4823883284718564E-6</v>
      </c>
      <c r="H22" s="63">
        <f t="shared" si="1"/>
        <v>7.3979727088786762E-6</v>
      </c>
      <c r="I22" s="44">
        <f t="shared" si="2"/>
        <v>-1.1281908381039683E-2</v>
      </c>
      <c r="J22" s="64">
        <v>2</v>
      </c>
      <c r="K22" s="64">
        <v>2</v>
      </c>
      <c r="L22" s="64">
        <v>2</v>
      </c>
      <c r="M22" s="65">
        <f t="shared" si="3"/>
        <v>2</v>
      </c>
      <c r="N22" s="66">
        <f t="shared" si="4"/>
        <v>1.717608059017013E-5</v>
      </c>
      <c r="O22" s="18"/>
      <c r="P22" s="67">
        <v>368.1365436000001</v>
      </c>
      <c r="Q22" s="22"/>
      <c r="R22" s="68">
        <v>392.06541893400009</v>
      </c>
      <c r="S22" s="22"/>
      <c r="T22" s="68">
        <v>399.90672731268012</v>
      </c>
      <c r="U22" s="69">
        <f t="shared" si="5"/>
        <v>199.95336365634006</v>
      </c>
      <c r="V22" s="46"/>
      <c r="W22" s="68">
        <f t="shared" si="6"/>
        <v>412.30383585937318</v>
      </c>
      <c r="X22" s="68">
        <f t="shared" si="7"/>
        <v>12.397108546693062</v>
      </c>
      <c r="Y22" s="70">
        <f t="shared" si="8"/>
        <v>3.0999999999999944E-2</v>
      </c>
      <c r="Z22" s="71"/>
      <c r="AA22" s="92">
        <f>$AA$7</f>
        <v>424</v>
      </c>
      <c r="AB22" s="68">
        <f t="shared" si="10"/>
        <v>24.093272687319882</v>
      </c>
      <c r="AC22" s="73">
        <f t="shared" si="11"/>
        <v>6.0247230270977087E-2</v>
      </c>
      <c r="AD22" s="22"/>
      <c r="AE22" s="74">
        <f>'Options 1-3'!AQ13</f>
        <v>1.6394892193042698</v>
      </c>
      <c r="AF22" s="75">
        <f t="shared" si="12"/>
        <v>-410.66434664006891</v>
      </c>
      <c r="AG22" s="69">
        <f t="shared" si="13"/>
        <v>0.81974460965213491</v>
      </c>
      <c r="AH22" s="22"/>
      <c r="AI22" s="76">
        <v>3.7680246679999327</v>
      </c>
      <c r="AJ22" s="75">
        <f t="shared" si="14"/>
        <v>-408.53581119137323</v>
      </c>
      <c r="AK22" s="69">
        <f t="shared" si="15"/>
        <v>1.8840123339999664</v>
      </c>
      <c r="AL22" s="69">
        <f t="shared" si="16"/>
        <v>1.8840123339999664</v>
      </c>
      <c r="AM22" s="77"/>
      <c r="AN22" s="76">
        <f>SUM('Options 1-3'!T13*'Summary (2)'!$AN$3)</f>
        <v>1471.4605000000001</v>
      </c>
      <c r="AO22" s="75">
        <f t="shared" si="17"/>
        <v>1059.1566641406271</v>
      </c>
      <c r="AP22" s="22"/>
      <c r="AQ22" s="74">
        <f>'Op4'!AQ13</f>
        <v>618.82800863933005</v>
      </c>
      <c r="AR22" s="75">
        <f t="shared" si="18"/>
        <v>206.52417277995687</v>
      </c>
      <c r="AS22" s="22"/>
      <c r="AT22" s="74">
        <f>'Op5'!AQ13</f>
        <v>550.15501409115177</v>
      </c>
      <c r="AU22" s="75">
        <f t="shared" si="19"/>
        <v>137.85117823177859</v>
      </c>
      <c r="AV22" s="22"/>
      <c r="AW22" s="74">
        <f>'Op6'!AQ13</f>
        <v>1614.6682896565662</v>
      </c>
      <c r="AX22" s="75">
        <f t="shared" si="20"/>
        <v>1202.3644537971932</v>
      </c>
      <c r="AY22" s="22"/>
      <c r="AZ22" s="74">
        <f>'Op7'!AQ13</f>
        <v>550.15501409115177</v>
      </c>
      <c r="BA22" s="75">
        <f t="shared" si="21"/>
        <v>137.85117823177859</v>
      </c>
      <c r="BB22" s="22"/>
      <c r="BC22" s="93">
        <f>'Op8'!AQ13</f>
        <v>978.72502349228444</v>
      </c>
      <c r="BD22" s="75">
        <f t="shared" si="22"/>
        <v>566.42118763291126</v>
      </c>
      <c r="BE22" s="75"/>
      <c r="BF22" s="93">
        <v>1089.1182545616748</v>
      </c>
      <c r="BG22" s="75">
        <v>689.21152724899468</v>
      </c>
      <c r="BH22" s="75"/>
      <c r="BI22" s="75">
        <v>867.48435267963373</v>
      </c>
      <c r="BJ22" s="75">
        <v>467.57762536695361</v>
      </c>
      <c r="BK22" s="75"/>
      <c r="BL22" s="93">
        <v>1211.8127912807668</v>
      </c>
      <c r="BM22" s="75">
        <v>811.90606396808664</v>
      </c>
      <c r="BN22" s="75"/>
      <c r="BO22" s="93">
        <v>1213.5076707672872</v>
      </c>
      <c r="BP22" s="75">
        <v>813.60094345460709</v>
      </c>
      <c r="BQ22" s="93">
        <v>1756.9113234250474</v>
      </c>
      <c r="BR22" s="75">
        <v>1357.0045961123674</v>
      </c>
      <c r="BS22" s="75"/>
      <c r="BT22" s="93">
        <v>1765.5619313708296</v>
      </c>
      <c r="BU22" s="75">
        <v>1365.6552040581496</v>
      </c>
      <c r="BV22" s="75"/>
      <c r="BW22" s="22"/>
      <c r="BX22" s="74">
        <f>'Op9'!AQ13</f>
        <v>980.7735543796133</v>
      </c>
      <c r="BY22" s="75">
        <f t="shared" si="23"/>
        <v>568.46971852024012</v>
      </c>
      <c r="BZ22" s="22"/>
      <c r="CA22" s="74">
        <v>1088.5803153078966</v>
      </c>
      <c r="CB22" s="75">
        <v>688.67358799521651</v>
      </c>
      <c r="CC22" s="22"/>
      <c r="CD22" s="74">
        <v>866.85675688355889</v>
      </c>
      <c r="CE22" s="75">
        <v>466.95002957087877</v>
      </c>
      <c r="CF22" s="22"/>
      <c r="CG22" s="74">
        <v>1211.1851954846918</v>
      </c>
      <c r="CH22" s="75">
        <v>811.27846817201169</v>
      </c>
      <c r="CI22" s="22"/>
      <c r="CJ22" s="74">
        <v>1213.0593880558051</v>
      </c>
      <c r="CK22" s="75">
        <v>813.15266074312501</v>
      </c>
      <c r="CL22" s="22"/>
      <c r="CM22" s="74">
        <v>1756.016736642805</v>
      </c>
      <c r="CN22" s="75">
        <v>1356.1100093301247</v>
      </c>
      <c r="CO22" s="22"/>
      <c r="CP22" s="74">
        <v>1764.6633873071439</v>
      </c>
      <c r="CQ22" s="75">
        <v>1364.7566599944639</v>
      </c>
    </row>
    <row r="23" spans="1:95" ht="15.75" customHeight="1" x14ac:dyDescent="0.5">
      <c r="A23" s="83" t="s">
        <v>90</v>
      </c>
      <c r="B23" s="59" t="s">
        <v>91</v>
      </c>
      <c r="C23" s="94" t="s">
        <v>92</v>
      </c>
      <c r="D23" s="85"/>
      <c r="E23" s="62">
        <f>AVERAGE('Avg master'!D12:F12)</f>
        <v>2642</v>
      </c>
      <c r="F23" s="62">
        <f>'Avg master'!H12</f>
        <v>2717.6666666666665</v>
      </c>
      <c r="G23" s="63">
        <f t="shared" si="0"/>
        <v>9.8842349819113218E-3</v>
      </c>
      <c r="H23" s="63">
        <f t="shared" si="1"/>
        <v>1.005261191591464E-2</v>
      </c>
      <c r="I23" s="44">
        <f t="shared" si="2"/>
        <v>1.7034897926997639E-2</v>
      </c>
      <c r="J23" s="64">
        <v>927</v>
      </c>
      <c r="K23" s="64">
        <v>527</v>
      </c>
      <c r="L23" s="64">
        <v>345</v>
      </c>
      <c r="M23" s="65">
        <f t="shared" si="3"/>
        <v>599.66666666666663</v>
      </c>
      <c r="N23" s="66">
        <f t="shared" si="4"/>
        <v>5.1499614969526767E-3</v>
      </c>
      <c r="O23" s="18"/>
      <c r="P23" s="67">
        <v>1659.5361648000001</v>
      </c>
      <c r="Q23" s="22"/>
      <c r="R23" s="68">
        <v>1767.4060155120001</v>
      </c>
      <c r="S23" s="22"/>
      <c r="T23" s="68">
        <v>1802.7541358222402</v>
      </c>
      <c r="U23" s="69">
        <f t="shared" si="5"/>
        <v>0.66334630289055818</v>
      </c>
      <c r="V23" s="46"/>
      <c r="W23" s="68">
        <f t="shared" si="6"/>
        <v>1858.6395140327295</v>
      </c>
      <c r="X23" s="68">
        <f t="shared" si="7"/>
        <v>55.885378210489307</v>
      </c>
      <c r="Y23" s="70">
        <f t="shared" si="8"/>
        <v>3.0999999999999923E-2</v>
      </c>
      <c r="Z23" s="71"/>
      <c r="AA23" s="72">
        <f t="shared" ref="AA23:AA30" si="24">SUM(W23*(1+I23))</f>
        <v>1890.3012484373614</v>
      </c>
      <c r="AB23" s="68">
        <f t="shared" si="10"/>
        <v>87.54711261512125</v>
      </c>
      <c r="AC23" s="73">
        <f t="shared" si="11"/>
        <v>4.856297976273443E-2</v>
      </c>
      <c r="AD23" s="22"/>
      <c r="AE23" s="74">
        <f>'Options 1-3'!AQ14</f>
        <v>2227.7926008312852</v>
      </c>
      <c r="AF23" s="75">
        <f t="shared" si="12"/>
        <v>369.15308679855571</v>
      </c>
      <c r="AG23" s="69">
        <f t="shared" si="13"/>
        <v>0.81974460965213491</v>
      </c>
      <c r="AH23" s="22"/>
      <c r="AI23" s="76">
        <v>1129.7793962886465</v>
      </c>
      <c r="AJ23" s="75">
        <f t="shared" si="14"/>
        <v>-728.86011774408303</v>
      </c>
      <c r="AK23" s="69">
        <f t="shared" si="15"/>
        <v>0.41571669187611182</v>
      </c>
      <c r="AL23" s="69">
        <f t="shared" si="16"/>
        <v>1.8840123339999664</v>
      </c>
      <c r="AM23" s="77"/>
      <c r="AN23" s="76">
        <f>SUM('Options 1-3'!T14*'Summary (2)'!$AN$3)</f>
        <v>3389.44</v>
      </c>
      <c r="AO23" s="75">
        <f t="shared" si="17"/>
        <v>1530.8004859672706</v>
      </c>
      <c r="AP23" s="22"/>
      <c r="AQ23" s="74">
        <f>'Op4'!AQ14</f>
        <v>1585.6975394331798</v>
      </c>
      <c r="AR23" s="75">
        <f t="shared" si="18"/>
        <v>-272.94197459954967</v>
      </c>
      <c r="AS23" s="22"/>
      <c r="AT23" s="74">
        <f>'Op5'!AQ14</f>
        <v>2109.4584241076</v>
      </c>
      <c r="AU23" s="75">
        <f t="shared" si="19"/>
        <v>250.81891007487047</v>
      </c>
      <c r="AV23" s="22"/>
      <c r="AW23" s="74">
        <f>'Op6'!AQ14</f>
        <v>3749.1038117059352</v>
      </c>
      <c r="AX23" s="75">
        <f t="shared" si="20"/>
        <v>1890.4642976732057</v>
      </c>
      <c r="AY23" s="22"/>
      <c r="AZ23" s="74">
        <f>'Op7'!AQ14</f>
        <v>2109.4584241076</v>
      </c>
      <c r="BA23" s="75">
        <f t="shared" si="21"/>
        <v>250.81891007487047</v>
      </c>
      <c r="BB23" s="22"/>
      <c r="BC23" s="74">
        <f>'Op8'!AQ14</f>
        <v>2671.4670430696265</v>
      </c>
      <c r="BD23" s="75">
        <f t="shared" si="22"/>
        <v>812.82752903689698</v>
      </c>
      <c r="BE23" s="75"/>
      <c r="BF23" s="74">
        <v>2700.0307417688114</v>
      </c>
      <c r="BG23" s="75">
        <v>897.27660594657118</v>
      </c>
      <c r="BH23" s="75"/>
      <c r="BI23" s="75">
        <v>2634.3719728483461</v>
      </c>
      <c r="BJ23" s="75">
        <v>831.61783702610592</v>
      </c>
      <c r="BK23" s="75"/>
      <c r="BL23" s="74">
        <v>2867.336084567034</v>
      </c>
      <c r="BM23" s="75">
        <v>1064.5819487447939</v>
      </c>
      <c r="BN23" s="75"/>
      <c r="BO23" s="74">
        <v>2884.3988276112254</v>
      </c>
      <c r="BP23" s="75">
        <v>1081.6446917889853</v>
      </c>
      <c r="BQ23" s="74">
        <v>2854.1758809334769</v>
      </c>
      <c r="BR23" s="75">
        <v>1051.4217451112368</v>
      </c>
      <c r="BS23" s="75"/>
      <c r="BT23" s="74">
        <v>3114.9450460598628</v>
      </c>
      <c r="BU23" s="75">
        <v>1312.1909102376226</v>
      </c>
      <c r="BV23" s="75"/>
      <c r="BW23" s="22"/>
      <c r="BX23" s="74">
        <f>'Op9'!AQ14</f>
        <v>3076.8447442129873</v>
      </c>
      <c r="BY23" s="75">
        <f t="shared" si="23"/>
        <v>1218.2052301802578</v>
      </c>
      <c r="BZ23" s="22"/>
      <c r="CA23" s="74">
        <v>2973.6658948291947</v>
      </c>
      <c r="CB23" s="75">
        <v>1170.9117590069545</v>
      </c>
      <c r="CC23" s="22"/>
      <c r="CD23" s="74">
        <v>2953.612984752127</v>
      </c>
      <c r="CE23" s="75">
        <v>1150.8588489298868</v>
      </c>
      <c r="CF23" s="22"/>
      <c r="CG23" s="74">
        <v>3186.5770964708149</v>
      </c>
      <c r="CH23" s="75">
        <v>1383.8229606485747</v>
      </c>
      <c r="CI23" s="22"/>
      <c r="CJ23" s="74">
        <v>3112.4281218282117</v>
      </c>
      <c r="CK23" s="75">
        <v>1309.6739860059715</v>
      </c>
      <c r="CL23" s="22"/>
      <c r="CM23" s="74">
        <v>3309.2279883327951</v>
      </c>
      <c r="CN23" s="75">
        <v>1506.4738525105549</v>
      </c>
      <c r="CO23" s="22"/>
      <c r="CP23" s="74">
        <v>3572.0101155284897</v>
      </c>
      <c r="CQ23" s="75">
        <v>1769.2559797062495</v>
      </c>
    </row>
    <row r="24" spans="1:95" ht="15.75" customHeight="1" x14ac:dyDescent="0.5">
      <c r="A24" s="95" t="s">
        <v>93</v>
      </c>
      <c r="B24" s="59" t="s">
        <v>94</v>
      </c>
      <c r="C24" s="81" t="s">
        <v>69</v>
      </c>
      <c r="D24" s="61"/>
      <c r="E24" s="62">
        <f>AVERAGE('Avg master'!D13:F13)</f>
        <v>1970</v>
      </c>
      <c r="F24" s="62">
        <f>'Avg master'!H13</f>
        <v>1985</v>
      </c>
      <c r="G24" s="63">
        <f t="shared" si="0"/>
        <v>7.3701525035447784E-3</v>
      </c>
      <c r="H24" s="63">
        <f t="shared" si="1"/>
        <v>7.3424879135620862E-3</v>
      </c>
      <c r="I24" s="44">
        <f t="shared" si="2"/>
        <v>-3.7535980387633132E-3</v>
      </c>
      <c r="J24" s="64">
        <v>1699</v>
      </c>
      <c r="K24" s="64">
        <v>1656</v>
      </c>
      <c r="L24" s="64">
        <v>1411</v>
      </c>
      <c r="M24" s="65">
        <f t="shared" si="3"/>
        <v>1588.6666666666667</v>
      </c>
      <c r="N24" s="66">
        <f t="shared" si="4"/>
        <v>1.3643533348791807E-2</v>
      </c>
      <c r="O24" s="18"/>
      <c r="P24" s="67"/>
      <c r="Q24" s="22"/>
      <c r="R24" s="79">
        <v>1568.7449999999999</v>
      </c>
      <c r="S24" s="22"/>
      <c r="T24" s="79">
        <v>1600.1198999999999</v>
      </c>
      <c r="U24" s="69">
        <f t="shared" si="5"/>
        <v>0.80610574307304783</v>
      </c>
      <c r="V24" s="46"/>
      <c r="W24" s="68">
        <f t="shared" si="6"/>
        <v>1649.7236168999998</v>
      </c>
      <c r="X24" s="68">
        <f t="shared" si="7"/>
        <v>49.603716899999881</v>
      </c>
      <c r="Y24" s="70">
        <f t="shared" si="8"/>
        <v>3.0999999999999927E-2</v>
      </c>
      <c r="Z24" s="71"/>
      <c r="AA24" s="72">
        <f t="shared" si="24"/>
        <v>1643.5312175671024</v>
      </c>
      <c r="AB24" s="68">
        <f t="shared" si="10"/>
        <v>43.411317567102515</v>
      </c>
      <c r="AC24" s="73">
        <f t="shared" si="11"/>
        <v>2.7130040422034946E-2</v>
      </c>
      <c r="AD24" s="22"/>
      <c r="AE24" s="74">
        <f>'Options 1-3'!AQ15</f>
        <v>1627.1930501594877</v>
      </c>
      <c r="AF24" s="75">
        <f t="shared" si="12"/>
        <v>-22.530566740512086</v>
      </c>
      <c r="AG24" s="69">
        <f t="shared" si="13"/>
        <v>0.81974460965213491</v>
      </c>
      <c r="AH24" s="22"/>
      <c r="AI24" s="76">
        <v>2993.0675946146134</v>
      </c>
      <c r="AJ24" s="75">
        <f t="shared" si="14"/>
        <v>1343.3439777146136</v>
      </c>
      <c r="AK24" s="69">
        <f t="shared" si="15"/>
        <v>1.507842616934314</v>
      </c>
      <c r="AL24" s="69">
        <f t="shared" si="16"/>
        <v>1.8840123339999664</v>
      </c>
      <c r="AM24" s="77"/>
      <c r="AN24" s="76">
        <f>SUM('Options 1-3'!T15*'Summary (2)'!$AN$3)</f>
        <v>3183.7235000000001</v>
      </c>
      <c r="AO24" s="75">
        <f t="shared" si="17"/>
        <v>1533.9998831000003</v>
      </c>
      <c r="AP24" s="22"/>
      <c r="AQ24" s="74">
        <f>'Op4'!AQ15</f>
        <v>3185.6428254707439</v>
      </c>
      <c r="AR24" s="75">
        <f t="shared" si="18"/>
        <v>1535.9192085707441</v>
      </c>
      <c r="AS24" s="22"/>
      <c r="AT24" s="74">
        <f>'Op5'!AQ15</f>
        <v>4060.5618576842753</v>
      </c>
      <c r="AU24" s="75">
        <f t="shared" si="19"/>
        <v>2410.8382407842755</v>
      </c>
      <c r="AV24" s="22"/>
      <c r="AW24" s="74">
        <f>'Op6'!AQ15</f>
        <v>4200.7605905243636</v>
      </c>
      <c r="AX24" s="75">
        <f t="shared" si="20"/>
        <v>2551.0369736243638</v>
      </c>
      <c r="AY24" s="22"/>
      <c r="AZ24" s="74">
        <f>'Op7'!AQ15</f>
        <v>4060.5618576842753</v>
      </c>
      <c r="BA24" s="75">
        <f t="shared" si="21"/>
        <v>2410.8382407842755</v>
      </c>
      <c r="BB24" s="22"/>
      <c r="BC24" s="74">
        <f>'Op8'!AQ15</f>
        <v>4341.0671900476063</v>
      </c>
      <c r="BD24" s="75">
        <f t="shared" si="22"/>
        <v>2691.3435731476065</v>
      </c>
      <c r="BE24" s="75"/>
      <c r="BF24" s="74">
        <v>4378.407669205516</v>
      </c>
      <c r="BG24" s="75">
        <v>2778.2877692055163</v>
      </c>
      <c r="BH24" s="75"/>
      <c r="BI24" s="75">
        <v>4270.0744385698554</v>
      </c>
      <c r="BJ24" s="75">
        <v>2669.9545385698557</v>
      </c>
      <c r="BK24" s="75"/>
      <c r="BL24" s="74">
        <v>4293.9448208154154</v>
      </c>
      <c r="BM24" s="75">
        <v>2693.8249208154157</v>
      </c>
      <c r="BN24" s="75"/>
      <c r="BO24" s="74">
        <v>4361.2493654550972</v>
      </c>
      <c r="BP24" s="75">
        <v>2761.1294654550975</v>
      </c>
      <c r="BQ24" s="74">
        <v>4033.9279561913254</v>
      </c>
      <c r="BR24" s="75">
        <v>2433.8080561913257</v>
      </c>
      <c r="BS24" s="75"/>
      <c r="BT24" s="74">
        <v>4725.4528430995579</v>
      </c>
      <c r="BU24" s="75">
        <v>3125.3329430995582</v>
      </c>
      <c r="BV24" s="75"/>
      <c r="BW24" s="22"/>
      <c r="BX24" s="74">
        <f>'Op9'!AQ15</f>
        <v>4332.4262580479553</v>
      </c>
      <c r="BY24" s="75">
        <f t="shared" si="23"/>
        <v>2682.7026411479555</v>
      </c>
      <c r="BZ24" s="22"/>
      <c r="CA24" s="74">
        <v>4030.5112810824476</v>
      </c>
      <c r="CB24" s="75">
        <v>2430.3913810824479</v>
      </c>
      <c r="CC24" s="22"/>
      <c r="CD24" s="74">
        <v>3864.1953190929416</v>
      </c>
      <c r="CE24" s="75">
        <v>2264.075419092942</v>
      </c>
      <c r="CF24" s="22"/>
      <c r="CG24" s="74">
        <v>3888.0657013385016</v>
      </c>
      <c r="CH24" s="75">
        <v>2287.945801338502</v>
      </c>
      <c r="CI24" s="22"/>
      <c r="CJ24" s="74">
        <v>4071.3357086858732</v>
      </c>
      <c r="CK24" s="75">
        <v>2471.2158086858735</v>
      </c>
      <c r="CL24" s="22"/>
      <c r="CM24" s="74">
        <v>3455.3802703350466</v>
      </c>
      <c r="CN24" s="75">
        <v>1855.2603703350467</v>
      </c>
      <c r="CO24" s="22"/>
      <c r="CP24" s="74">
        <v>4144.3459018789417</v>
      </c>
      <c r="CQ24" s="75">
        <v>2544.226001878942</v>
      </c>
    </row>
    <row r="25" spans="1:95" ht="15.75" customHeight="1" x14ac:dyDescent="0.5">
      <c r="A25" s="96" t="s">
        <v>95</v>
      </c>
      <c r="B25" s="59" t="s">
        <v>96</v>
      </c>
      <c r="C25" s="60" t="s">
        <v>64</v>
      </c>
      <c r="D25" s="61"/>
      <c r="E25" s="62">
        <f>AVERAGE('Avg master'!D14:F14)</f>
        <v>475</v>
      </c>
      <c r="F25" s="62">
        <f>'Avg master'!H14</f>
        <v>475</v>
      </c>
      <c r="G25" s="63">
        <f t="shared" si="0"/>
        <v>1.7770672280120661E-3</v>
      </c>
      <c r="H25" s="63">
        <f t="shared" si="1"/>
        <v>1.7570185183586856E-3</v>
      </c>
      <c r="I25" s="44">
        <f t="shared" si="2"/>
        <v>-1.1281908381039797E-2</v>
      </c>
      <c r="J25" s="64">
        <v>308</v>
      </c>
      <c r="K25" s="64">
        <v>229</v>
      </c>
      <c r="L25" s="64">
        <v>174</v>
      </c>
      <c r="M25" s="65">
        <f t="shared" si="3"/>
        <v>237</v>
      </c>
      <c r="N25" s="66">
        <f t="shared" si="4"/>
        <v>2.0353655499351603E-3</v>
      </c>
      <c r="O25" s="18"/>
      <c r="P25" s="67">
        <v>1227.1218120000001</v>
      </c>
      <c r="Q25" s="22"/>
      <c r="R25" s="68">
        <v>1306.88472978</v>
      </c>
      <c r="S25" s="22"/>
      <c r="T25" s="68">
        <v>1333.0224243756002</v>
      </c>
      <c r="U25" s="69">
        <f t="shared" si="5"/>
        <v>2.8063629986854739</v>
      </c>
      <c r="V25" s="46"/>
      <c r="W25" s="68">
        <f t="shared" si="6"/>
        <v>1374.3461195312436</v>
      </c>
      <c r="X25" s="68">
        <f t="shared" si="7"/>
        <v>41.323695155643463</v>
      </c>
      <c r="Y25" s="70">
        <f t="shared" si="8"/>
        <v>3.0999999999999892E-2</v>
      </c>
      <c r="Z25" s="71"/>
      <c r="AA25" s="72">
        <f t="shared" si="24"/>
        <v>1358.8408725268546</v>
      </c>
      <c r="AB25" s="68">
        <f t="shared" si="10"/>
        <v>25.818448151254415</v>
      </c>
      <c r="AC25" s="73">
        <f t="shared" si="11"/>
        <v>1.9368352459147874E-2</v>
      </c>
      <c r="AD25" s="22"/>
      <c r="AE25" s="74">
        <f>'Options 1-3'!AQ16</f>
        <v>389.37868958476406</v>
      </c>
      <c r="AF25" s="75">
        <f t="shared" si="12"/>
        <v>-984.96742994647957</v>
      </c>
      <c r="AG25" s="69">
        <f t="shared" si="13"/>
        <v>0.81974460965213491</v>
      </c>
      <c r="AH25" s="22"/>
      <c r="AI25" s="76">
        <v>446.51092315799201</v>
      </c>
      <c r="AJ25" s="75">
        <f t="shared" si="14"/>
        <v>-927.83519637325162</v>
      </c>
      <c r="AK25" s="69">
        <f t="shared" si="15"/>
        <v>0.94002299612208839</v>
      </c>
      <c r="AL25" s="69">
        <f t="shared" si="16"/>
        <v>1.8840123339999664</v>
      </c>
      <c r="AM25" s="77"/>
      <c r="AN25" s="76">
        <f>SUM('Options 1-3'!T16*'Summary (2)'!$AN$3)</f>
        <v>724.39350000000002</v>
      </c>
      <c r="AO25" s="75">
        <f t="shared" si="17"/>
        <v>-649.95261953124361</v>
      </c>
      <c r="AP25" s="22"/>
      <c r="AQ25" s="74">
        <f>'Op4'!AQ16</f>
        <v>998.99700987171377</v>
      </c>
      <c r="AR25" s="75">
        <f t="shared" si="18"/>
        <v>-375.34910965952986</v>
      </c>
      <c r="AS25" s="22"/>
      <c r="AT25" s="74">
        <f>'Op5'!AQ16</f>
        <v>977.8234429002481</v>
      </c>
      <c r="AU25" s="75">
        <f t="shared" si="19"/>
        <v>-396.52267663099553</v>
      </c>
      <c r="AV25" s="22"/>
      <c r="AW25" s="74">
        <f>'Op6'!AQ16</f>
        <v>1179.6564057316873</v>
      </c>
      <c r="AX25" s="75">
        <f t="shared" si="20"/>
        <v>-194.68971379955633</v>
      </c>
      <c r="AY25" s="22"/>
      <c r="AZ25" s="74">
        <f>'Op7'!AQ16</f>
        <v>977.8234429002481</v>
      </c>
      <c r="BA25" s="75">
        <f t="shared" si="21"/>
        <v>-396.52267663099553</v>
      </c>
      <c r="BB25" s="22"/>
      <c r="BC25" s="74">
        <f>'Op8'!AQ16</f>
        <v>1145.8127153764949</v>
      </c>
      <c r="BD25" s="75">
        <f t="shared" si="22"/>
        <v>-228.53340415474872</v>
      </c>
      <c r="BE25" s="75"/>
      <c r="BF25" s="74">
        <v>1288.0791459556888</v>
      </c>
      <c r="BG25" s="75">
        <v>-44.943278419911394</v>
      </c>
      <c r="BH25" s="75"/>
      <c r="BI25" s="75">
        <v>1009.1537592740176</v>
      </c>
      <c r="BJ25" s="75">
        <v>-323.86866510158256</v>
      </c>
      <c r="BK25" s="75"/>
      <c r="BL25" s="74">
        <v>1328.6466238365952</v>
      </c>
      <c r="BM25" s="75">
        <v>-4.375800539005013</v>
      </c>
      <c r="BN25" s="75"/>
      <c r="BO25" s="74">
        <v>1317.4316748831625</v>
      </c>
      <c r="BP25" s="75">
        <v>-15.590749492437681</v>
      </c>
      <c r="BQ25" s="74">
        <v>2007.3093923380857</v>
      </c>
      <c r="BR25" s="75">
        <v>674.28696796248551</v>
      </c>
      <c r="BS25" s="75"/>
      <c r="BT25" s="74">
        <v>2106.2930079873399</v>
      </c>
      <c r="BU25" s="75">
        <v>773.27058361173977</v>
      </c>
      <c r="BV25" s="75"/>
      <c r="BW25" s="22"/>
      <c r="BX25" s="74">
        <f>'Op9'!AQ16</f>
        <v>1177.6421411458564</v>
      </c>
      <c r="BY25" s="75">
        <f t="shared" si="23"/>
        <v>-196.70397838538724</v>
      </c>
      <c r="BZ25" s="22"/>
      <c r="CA25" s="74">
        <v>1275.0003492243954</v>
      </c>
      <c r="CB25" s="75">
        <v>-58.022075151204717</v>
      </c>
      <c r="CC25" s="22"/>
      <c r="CD25" s="74">
        <v>993.89516308750876</v>
      </c>
      <c r="CE25" s="75">
        <v>-339.1272612880914</v>
      </c>
      <c r="CF25" s="22"/>
      <c r="CG25" s="74">
        <v>1313.3880276500865</v>
      </c>
      <c r="CH25" s="75">
        <v>-19.634396725513625</v>
      </c>
      <c r="CI25" s="22"/>
      <c r="CJ25" s="74">
        <v>1306.5326776070847</v>
      </c>
      <c r="CK25" s="75">
        <v>-26.489746768515488</v>
      </c>
      <c r="CL25" s="22"/>
      <c r="CM25" s="74">
        <v>1985.5595040351416</v>
      </c>
      <c r="CN25" s="75">
        <v>652.5370796595414</v>
      </c>
      <c r="CO25" s="22"/>
      <c r="CP25" s="74">
        <v>2084.446907185973</v>
      </c>
      <c r="CQ25" s="75">
        <v>751.42448281037287</v>
      </c>
    </row>
    <row r="26" spans="1:95" ht="15.75" customHeight="1" x14ac:dyDescent="0.5">
      <c r="A26" s="83" t="s">
        <v>97</v>
      </c>
      <c r="B26" s="59" t="s">
        <v>98</v>
      </c>
      <c r="C26" s="81" t="s">
        <v>69</v>
      </c>
      <c r="D26" s="85"/>
      <c r="E26" s="62">
        <f>AVERAGE('Avg master'!D15:F15)</f>
        <v>1381.6666666666667</v>
      </c>
      <c r="F26" s="62">
        <f>'Avg master'!H15</f>
        <v>1378.3333333333333</v>
      </c>
      <c r="G26" s="63">
        <f t="shared" si="0"/>
        <v>5.1690832702526411E-3</v>
      </c>
      <c r="H26" s="63">
        <f t="shared" si="1"/>
        <v>5.0984361918688876E-3</v>
      </c>
      <c r="I26" s="44">
        <f t="shared" si="2"/>
        <v>-1.3667235501954034E-2</v>
      </c>
      <c r="J26" s="64">
        <v>994</v>
      </c>
      <c r="K26" s="64">
        <v>777</v>
      </c>
      <c r="L26" s="64">
        <v>592</v>
      </c>
      <c r="M26" s="65">
        <f t="shared" si="3"/>
        <v>787.66666666666663</v>
      </c>
      <c r="N26" s="66">
        <f t="shared" si="4"/>
        <v>6.7645130724286687E-3</v>
      </c>
      <c r="O26" s="18"/>
      <c r="P26" s="67">
        <v>1472.5461744000004</v>
      </c>
      <c r="Q26" s="22"/>
      <c r="R26" s="68">
        <v>1568.2616757360004</v>
      </c>
      <c r="S26" s="22"/>
      <c r="T26" s="68">
        <v>1599.6269092507205</v>
      </c>
      <c r="U26" s="69">
        <f t="shared" si="5"/>
        <v>1.1605515665664237</v>
      </c>
      <c r="V26" s="46"/>
      <c r="W26" s="68">
        <f t="shared" si="6"/>
        <v>1649.2153434374927</v>
      </c>
      <c r="X26" s="68">
        <f t="shared" si="7"/>
        <v>49.588434186772247</v>
      </c>
      <c r="Y26" s="70">
        <f t="shared" si="8"/>
        <v>3.0999999999999944E-2</v>
      </c>
      <c r="Z26" s="71"/>
      <c r="AA26" s="72">
        <f t="shared" si="24"/>
        <v>1626.6751289452966</v>
      </c>
      <c r="AB26" s="68">
        <f t="shared" si="10"/>
        <v>27.048219694576119</v>
      </c>
      <c r="AC26" s="73">
        <f t="shared" si="11"/>
        <v>1.6909080197485393E-2</v>
      </c>
      <c r="AD26" s="22"/>
      <c r="AE26" s="74">
        <f>'Options 1-3'!AQ17</f>
        <v>1129.8813203038592</v>
      </c>
      <c r="AF26" s="75">
        <f t="shared" si="12"/>
        <v>-519.33402313363354</v>
      </c>
      <c r="AG26" s="69">
        <f t="shared" si="13"/>
        <v>0.81974460965213491</v>
      </c>
      <c r="AH26" s="22"/>
      <c r="AI26" s="76">
        <v>1483.97371508064</v>
      </c>
      <c r="AJ26" s="75">
        <f t="shared" si="14"/>
        <v>-165.24162835685274</v>
      </c>
      <c r="AK26" s="69">
        <f t="shared" si="15"/>
        <v>1.0766435659593518</v>
      </c>
      <c r="AL26" s="69">
        <f t="shared" si="16"/>
        <v>1.8840123339999661</v>
      </c>
      <c r="AM26" s="77"/>
      <c r="AN26" s="76">
        <f>SUM('Options 1-3'!T17*'Summary (2)'!$AN$3)</f>
        <v>1059.3655000000001</v>
      </c>
      <c r="AO26" s="75">
        <f t="shared" si="17"/>
        <v>-589.84984343749261</v>
      </c>
      <c r="AP26" s="22"/>
      <c r="AQ26" s="74">
        <f>'Op4'!AQ17</f>
        <v>1889.8327404190868</v>
      </c>
      <c r="AR26" s="75">
        <f t="shared" si="18"/>
        <v>240.61739698159408</v>
      </c>
      <c r="AS26" s="22"/>
      <c r="AT26" s="74">
        <f>'Op5'!AQ17</f>
        <v>2032.8140447339856</v>
      </c>
      <c r="AU26" s="75">
        <f t="shared" si="19"/>
        <v>383.59870129649289</v>
      </c>
      <c r="AV26" s="22"/>
      <c r="AW26" s="74">
        <f>'Op6'!AQ17</f>
        <v>1725.7979639155874</v>
      </c>
      <c r="AX26" s="75">
        <f t="shared" si="20"/>
        <v>76.582620478094668</v>
      </c>
      <c r="AY26" s="22"/>
      <c r="AZ26" s="74">
        <f>'Op7'!AQ17</f>
        <v>2032.8140447339856</v>
      </c>
      <c r="BA26" s="75">
        <f t="shared" si="21"/>
        <v>383.59870129649289</v>
      </c>
      <c r="BB26" s="22"/>
      <c r="BC26" s="74">
        <f>'Op8'!AQ17</f>
        <v>1956.9481268636919</v>
      </c>
      <c r="BD26" s="75">
        <f t="shared" si="22"/>
        <v>307.73278342619915</v>
      </c>
      <c r="BE26" s="75"/>
      <c r="BF26" s="74">
        <v>2084.9231627136342</v>
      </c>
      <c r="BG26" s="75">
        <v>485.29625346291368</v>
      </c>
      <c r="BH26" s="75"/>
      <c r="BI26" s="75">
        <v>1847.8979307036855</v>
      </c>
      <c r="BJ26" s="75">
        <v>248.27102145296499</v>
      </c>
      <c r="BK26" s="75"/>
      <c r="BL26" s="74">
        <v>2105.5781428636296</v>
      </c>
      <c r="BM26" s="75">
        <v>505.95123361290916</v>
      </c>
      <c r="BN26" s="75"/>
      <c r="BO26" s="74">
        <v>2067.7284634837583</v>
      </c>
      <c r="BP26" s="75">
        <v>468.10155423303786</v>
      </c>
      <c r="BQ26" s="74">
        <v>2689.6350555385648</v>
      </c>
      <c r="BR26" s="75">
        <v>1090.0081462878443</v>
      </c>
      <c r="BS26" s="75"/>
      <c r="BT26" s="74">
        <v>2914.8206268277281</v>
      </c>
      <c r="BU26" s="75">
        <v>1315.1937175770076</v>
      </c>
      <c r="BV26" s="75"/>
      <c r="BW26" s="22"/>
      <c r="BX26" s="74">
        <f>'Op9'!AQ17</f>
        <v>1973.9892144588637</v>
      </c>
      <c r="BY26" s="75">
        <f t="shared" si="23"/>
        <v>324.77387102137095</v>
      </c>
      <c r="BZ26" s="22"/>
      <c r="CA26" s="74">
        <v>2015.4149097265424</v>
      </c>
      <c r="CB26" s="75">
        <v>415.78800047582195</v>
      </c>
      <c r="CC26" s="22"/>
      <c r="CD26" s="74">
        <v>1766.8049688854119</v>
      </c>
      <c r="CE26" s="75">
        <v>167.17805963469141</v>
      </c>
      <c r="CF26" s="22"/>
      <c r="CG26" s="74">
        <v>2024.4851810453558</v>
      </c>
      <c r="CH26" s="75">
        <v>424.85827179463536</v>
      </c>
      <c r="CI26" s="22"/>
      <c r="CJ26" s="74">
        <v>2009.8049193278484</v>
      </c>
      <c r="CK26" s="75">
        <v>410.17801007712796</v>
      </c>
      <c r="CL26" s="22"/>
      <c r="CM26" s="74">
        <v>2574.0436315213396</v>
      </c>
      <c r="CN26" s="75">
        <v>974.41672227061918</v>
      </c>
      <c r="CO26" s="22"/>
      <c r="CP26" s="74">
        <v>2798.7178742213141</v>
      </c>
      <c r="CQ26" s="75">
        <v>1199.0909649705936</v>
      </c>
    </row>
    <row r="27" spans="1:95" ht="15.75" customHeight="1" x14ac:dyDescent="0.5">
      <c r="A27" s="83" t="s">
        <v>99</v>
      </c>
      <c r="B27" s="83" t="s">
        <v>100</v>
      </c>
      <c r="C27" s="97" t="s">
        <v>101</v>
      </c>
      <c r="D27" s="41"/>
      <c r="E27" s="62">
        <f>AVERAGE('Avg master'!D16:F16)</f>
        <v>7408.333333333333</v>
      </c>
      <c r="F27" s="62">
        <f>'Avg master'!H16</f>
        <v>7391.666666666667</v>
      </c>
      <c r="G27" s="63">
        <f t="shared" si="0"/>
        <v>2.7716013433381169E-2</v>
      </c>
      <c r="H27" s="63">
        <f t="shared" si="1"/>
        <v>2.7341674136564107E-2</v>
      </c>
      <c r="I27" s="44">
        <f t="shared" si="2"/>
        <v>-1.3506246044974402E-2</v>
      </c>
      <c r="J27" s="64">
        <v>2809</v>
      </c>
      <c r="K27" s="64">
        <v>2231</v>
      </c>
      <c r="L27" s="64">
        <v>1582</v>
      </c>
      <c r="M27" s="65">
        <f t="shared" si="3"/>
        <v>2207.3333333333335</v>
      </c>
      <c r="N27" s="66">
        <f t="shared" si="4"/>
        <v>1.8956667611351102E-2</v>
      </c>
      <c r="O27" s="18"/>
      <c r="P27" s="98">
        <v>5000</v>
      </c>
      <c r="Q27" s="99"/>
      <c r="R27" s="100">
        <v>5325</v>
      </c>
      <c r="S27" s="99"/>
      <c r="T27" s="100">
        <v>5431.5</v>
      </c>
      <c r="U27" s="69">
        <f t="shared" si="5"/>
        <v>0.73481397970687712</v>
      </c>
      <c r="V27" s="101"/>
      <c r="W27" s="68">
        <f t="shared" si="6"/>
        <v>5599.8764999999994</v>
      </c>
      <c r="X27" s="68">
        <f t="shared" si="7"/>
        <v>168.3764999999994</v>
      </c>
      <c r="Y27" s="70">
        <f t="shared" si="8"/>
        <v>3.0999999999999889E-2</v>
      </c>
      <c r="Z27" s="71"/>
      <c r="AA27" s="72">
        <f t="shared" si="24"/>
        <v>5524.243190169529</v>
      </c>
      <c r="AB27" s="68">
        <f t="shared" si="10"/>
        <v>92.743190169529043</v>
      </c>
      <c r="AC27" s="73">
        <f t="shared" si="11"/>
        <v>1.7075060327631234E-2</v>
      </c>
      <c r="AD27" s="74"/>
      <c r="AE27" s="74">
        <f>'Options 1-3'!AQ18</f>
        <v>6059.2789063453638</v>
      </c>
      <c r="AF27" s="75">
        <f t="shared" si="12"/>
        <v>459.4024063453644</v>
      </c>
      <c r="AG27" s="69">
        <f t="shared" si="13"/>
        <v>0.81974460965213491</v>
      </c>
      <c r="AH27" s="74"/>
      <c r="AI27" s="76">
        <v>4158.6432252492596</v>
      </c>
      <c r="AJ27" s="75">
        <f t="shared" si="14"/>
        <v>-1441.2332747507398</v>
      </c>
      <c r="AK27" s="69">
        <f t="shared" si="15"/>
        <v>0.56261238673045222</v>
      </c>
      <c r="AL27" s="69">
        <f t="shared" si="16"/>
        <v>1.8840123339999664</v>
      </c>
      <c r="AM27" s="77"/>
      <c r="AN27" s="76">
        <f>SUM('Options 1-3'!T18*'Summary (2)'!$AN$3)</f>
        <v>6955.634</v>
      </c>
      <c r="AO27" s="75">
        <f t="shared" si="17"/>
        <v>1355.7575000000006</v>
      </c>
      <c r="AP27" s="22"/>
      <c r="AQ27" s="74">
        <f>'Op4'!AQ18</f>
        <v>4186.4849053108919</v>
      </c>
      <c r="AR27" s="75">
        <f t="shared" si="18"/>
        <v>-1413.3915946891075</v>
      </c>
      <c r="AS27" s="22"/>
      <c r="AT27" s="74">
        <f>'Op5'!AQ18</f>
        <v>3835.6724163252115</v>
      </c>
      <c r="AU27" s="75">
        <f t="shared" si="19"/>
        <v>-1764.2040836747879</v>
      </c>
      <c r="AV27" s="22"/>
      <c r="AW27" s="74">
        <f>'Op6'!AQ18</f>
        <v>5866.9807736456041</v>
      </c>
      <c r="AX27" s="75">
        <f t="shared" si="20"/>
        <v>267.10427364560474</v>
      </c>
      <c r="AY27" s="22"/>
      <c r="AZ27" s="74">
        <f>'Op7'!AQ18</f>
        <v>3835.6724163252115</v>
      </c>
      <c r="BA27" s="75">
        <f t="shared" si="21"/>
        <v>-1764.2040836747879</v>
      </c>
      <c r="BB27" s="22"/>
      <c r="BC27" s="74">
        <f>'Op8'!AQ18</f>
        <v>4171.1055370880731</v>
      </c>
      <c r="BD27" s="75">
        <f t="shared" si="22"/>
        <v>-1428.7709629119263</v>
      </c>
      <c r="BE27" s="75"/>
      <c r="BF27" s="74">
        <v>4047.5195452606204</v>
      </c>
      <c r="BG27" s="75">
        <v>-1383.9804547393796</v>
      </c>
      <c r="BH27" s="75"/>
      <c r="BI27" s="75">
        <v>4317.7654601053746</v>
      </c>
      <c r="BJ27" s="75">
        <v>-1113.7345398946254</v>
      </c>
      <c r="BK27" s="75"/>
      <c r="BL27" s="74">
        <v>4355.7187926325687</v>
      </c>
      <c r="BM27" s="75">
        <v>-1075.7812073674313</v>
      </c>
      <c r="BN27" s="75"/>
      <c r="BO27" s="74">
        <v>4309.5709302528694</v>
      </c>
      <c r="BP27" s="75">
        <v>-1121.9290697471306</v>
      </c>
      <c r="BQ27" s="74">
        <v>3932.5266855273048</v>
      </c>
      <c r="BR27" s="75">
        <v>-1498.9733144726952</v>
      </c>
      <c r="BS27" s="75"/>
      <c r="BT27" s="74">
        <v>3681.4945686024089</v>
      </c>
      <c r="BU27" s="75">
        <v>-1750.0054313975911</v>
      </c>
      <c r="BV27" s="75"/>
      <c r="BW27" s="22"/>
      <c r="BX27" s="74">
        <f>'Op9'!AQ18</f>
        <v>4517.8956974208759</v>
      </c>
      <c r="BY27" s="75">
        <f t="shared" si="23"/>
        <v>-1081.9808025791235</v>
      </c>
      <c r="BZ27" s="22"/>
      <c r="CA27" s="74">
        <v>4563.1658643116471</v>
      </c>
      <c r="CB27" s="75">
        <v>-868.33413568835294</v>
      </c>
      <c r="CC27" s="22"/>
      <c r="CD27" s="74">
        <v>4919.3528323315722</v>
      </c>
      <c r="CE27" s="75">
        <v>-512.14716766842776</v>
      </c>
      <c r="CF27" s="22"/>
      <c r="CG27" s="74">
        <v>4957.3061648587664</v>
      </c>
      <c r="CH27" s="75">
        <v>-474.19383514123365</v>
      </c>
      <c r="CI27" s="22"/>
      <c r="CJ27" s="74">
        <v>4739.2761961287242</v>
      </c>
      <c r="CK27" s="75">
        <v>-692.22380387127578</v>
      </c>
      <c r="CL27" s="22"/>
      <c r="CM27" s="74">
        <v>4790.0405741214763</v>
      </c>
      <c r="CN27" s="75">
        <v>-641.45942587852369</v>
      </c>
      <c r="CO27" s="22"/>
      <c r="CP27" s="74">
        <v>4542.8017435116581</v>
      </c>
      <c r="CQ27" s="75">
        <v>-888.69825648834194</v>
      </c>
    </row>
    <row r="28" spans="1:95" ht="15.75" customHeight="1" x14ac:dyDescent="0.5">
      <c r="A28" s="83" t="s">
        <v>102</v>
      </c>
      <c r="B28" s="59" t="s">
        <v>103</v>
      </c>
      <c r="C28" s="91" t="s">
        <v>81</v>
      </c>
      <c r="D28" s="84"/>
      <c r="E28" s="62">
        <f>AVERAGE('Avg master'!D17:F17)</f>
        <v>24.333333333333332</v>
      </c>
      <c r="F28" s="62">
        <f>'Avg master'!H17</f>
        <v>24.333333333333332</v>
      </c>
      <c r="G28" s="63">
        <f t="shared" si="0"/>
        <v>9.1035724663074256E-5</v>
      </c>
      <c r="H28" s="63">
        <f t="shared" si="1"/>
        <v>9.000866795802389E-5</v>
      </c>
      <c r="I28" s="44">
        <f t="shared" si="2"/>
        <v>-1.1281908381039768E-2</v>
      </c>
      <c r="J28" s="64">
        <v>25</v>
      </c>
      <c r="K28" s="64">
        <v>25</v>
      </c>
      <c r="L28" s="64">
        <v>23</v>
      </c>
      <c r="M28" s="65">
        <f t="shared" si="3"/>
        <v>24.333333333333332</v>
      </c>
      <c r="N28" s="66">
        <f t="shared" si="4"/>
        <v>2.0897564718040323E-4</v>
      </c>
      <c r="O28" s="18"/>
      <c r="P28" s="67">
        <v>1227.1218120000001</v>
      </c>
      <c r="Q28" s="22"/>
      <c r="R28" s="68">
        <v>1306.88472978</v>
      </c>
      <c r="S28" s="22"/>
      <c r="T28" s="68">
        <v>1333.0224243756002</v>
      </c>
      <c r="U28" s="69">
        <f t="shared" si="5"/>
        <v>54.781743467490422</v>
      </c>
      <c r="V28" s="46"/>
      <c r="W28" s="68">
        <f t="shared" si="6"/>
        <v>1374.3461195312436</v>
      </c>
      <c r="X28" s="68">
        <f t="shared" si="7"/>
        <v>41.323695155643463</v>
      </c>
      <c r="Y28" s="70">
        <f t="shared" si="8"/>
        <v>3.0999999999999892E-2</v>
      </c>
      <c r="Z28" s="71"/>
      <c r="AA28" s="72">
        <f t="shared" si="24"/>
        <v>1358.8408725268546</v>
      </c>
      <c r="AB28" s="68">
        <f t="shared" si="10"/>
        <v>25.818448151254415</v>
      </c>
      <c r="AC28" s="73">
        <f t="shared" si="11"/>
        <v>1.9368352459147874E-2</v>
      </c>
      <c r="AD28" s="22"/>
      <c r="AE28" s="74">
        <f>'Options 1-3'!AQ19</f>
        <v>19.947118834868615</v>
      </c>
      <c r="AF28" s="75">
        <f t="shared" si="12"/>
        <v>-1354.399000696375</v>
      </c>
      <c r="AG28" s="69">
        <f t="shared" si="13"/>
        <v>0.81974460965213491</v>
      </c>
      <c r="AH28" s="22"/>
      <c r="AI28" s="76">
        <v>45.844300127332509</v>
      </c>
      <c r="AJ28" s="75">
        <f t="shared" si="14"/>
        <v>-1328.5018194039112</v>
      </c>
      <c r="AK28" s="69">
        <f t="shared" si="15"/>
        <v>1.8840123339999661</v>
      </c>
      <c r="AL28" s="69">
        <f t="shared" si="16"/>
        <v>1.8840123339999661</v>
      </c>
      <c r="AM28" s="77"/>
      <c r="AN28" s="76">
        <f>SUM('Options 1-3'!T19*'Summary (2)'!$AN$3)</f>
        <v>2373.1044999999999</v>
      </c>
      <c r="AO28" s="75">
        <f t="shared" si="17"/>
        <v>998.75838046875629</v>
      </c>
      <c r="AP28" s="22"/>
      <c r="AQ28" s="74">
        <f>'Op4'!AQ19</f>
        <v>654.95754492666299</v>
      </c>
      <c r="AR28" s="75">
        <f t="shared" si="18"/>
        <v>-719.38857460458064</v>
      </c>
      <c r="AS28" s="22"/>
      <c r="AT28" s="74">
        <f>'Op5'!AQ19</f>
        <v>531.58625437754995</v>
      </c>
      <c r="AU28" s="75">
        <f t="shared" si="19"/>
        <v>-842.75986515369368</v>
      </c>
      <c r="AV28" s="22"/>
      <c r="AW28" s="74">
        <f>'Op6'!AQ19</f>
        <v>2219.5671465284631</v>
      </c>
      <c r="AX28" s="75">
        <f t="shared" si="20"/>
        <v>845.2210269972195</v>
      </c>
      <c r="AY28" s="22"/>
      <c r="AZ28" s="74">
        <f>'Op7'!AQ19</f>
        <v>531.58625437754995</v>
      </c>
      <c r="BA28" s="75">
        <f t="shared" si="21"/>
        <v>-842.75986515369368</v>
      </c>
      <c r="BB28" s="22"/>
      <c r="BC28" s="74">
        <f>'Op8'!AQ19</f>
        <v>1096.4052176199018</v>
      </c>
      <c r="BD28" s="75">
        <f t="shared" si="22"/>
        <v>-277.94090191134183</v>
      </c>
      <c r="BE28" s="75"/>
      <c r="BF28" s="74">
        <v>1168.3303071453386</v>
      </c>
      <c r="BG28" s="75">
        <v>-164.6921172302616</v>
      </c>
      <c r="BH28" s="75"/>
      <c r="BI28" s="75">
        <v>1025.0753105215929</v>
      </c>
      <c r="BJ28" s="75">
        <v>-307.94711385400728</v>
      </c>
      <c r="BK28" s="75"/>
      <c r="BL28" s="74">
        <v>1368.7018417385937</v>
      </c>
      <c r="BM28" s="75">
        <v>35.67941736299349</v>
      </c>
      <c r="BN28" s="75"/>
      <c r="BO28" s="74">
        <v>1367.5114768843384</v>
      </c>
      <c r="BP28" s="75">
        <v>34.489052508738268</v>
      </c>
      <c r="BQ28" s="74">
        <v>1767.747950038713</v>
      </c>
      <c r="BR28" s="75">
        <v>434.72552566311288</v>
      </c>
      <c r="BS28" s="75"/>
      <c r="BT28" s="74">
        <v>1692.4777232556053</v>
      </c>
      <c r="BU28" s="75">
        <v>359.4552988800051</v>
      </c>
      <c r="BV28" s="75"/>
      <c r="BW28" s="22"/>
      <c r="BX28" s="74">
        <f>'Op9'!AQ19</f>
        <v>1050.6818587651808</v>
      </c>
      <c r="BY28" s="75">
        <f t="shared" si="23"/>
        <v>-323.66426076606285</v>
      </c>
      <c r="BZ28" s="22"/>
      <c r="CA28" s="74">
        <v>1161.7853795577009</v>
      </c>
      <c r="CB28" s="75">
        <v>-171.23704481789923</v>
      </c>
      <c r="CC28" s="22"/>
      <c r="CD28" s="74">
        <v>1017.4395616693488</v>
      </c>
      <c r="CE28" s="75">
        <v>-315.58286270625138</v>
      </c>
      <c r="CF28" s="22"/>
      <c r="CG28" s="74">
        <v>1361.0660928863495</v>
      </c>
      <c r="CH28" s="75">
        <v>28.043668510749285</v>
      </c>
      <c r="CI28" s="22"/>
      <c r="CJ28" s="74">
        <v>1362.0573705613069</v>
      </c>
      <c r="CK28" s="75">
        <v>29.034946185706758</v>
      </c>
      <c r="CL28" s="22"/>
      <c r="CM28" s="74">
        <v>1756.8638108547639</v>
      </c>
      <c r="CN28" s="75">
        <v>423.8413864791637</v>
      </c>
      <c r="CO28" s="22"/>
      <c r="CP28" s="74">
        <v>1681.5454371474291</v>
      </c>
      <c r="CQ28" s="75">
        <v>348.52301277182892</v>
      </c>
    </row>
    <row r="29" spans="1:95" ht="15.75" customHeight="1" x14ac:dyDescent="0.5">
      <c r="A29" s="83" t="s">
        <v>104</v>
      </c>
      <c r="B29" s="59" t="s">
        <v>105</v>
      </c>
      <c r="C29" s="97" t="s">
        <v>101</v>
      </c>
      <c r="D29" s="85"/>
      <c r="E29" s="62">
        <f>AVERAGE('Avg master'!D18:F18)</f>
        <v>7353.333333333333</v>
      </c>
      <c r="F29" s="62">
        <f>'Avg master'!H18</f>
        <v>7366.666666666667</v>
      </c>
      <c r="G29" s="63">
        <f t="shared" si="0"/>
        <v>2.7510247754348193E-2</v>
      </c>
      <c r="H29" s="63">
        <f t="shared" si="1"/>
        <v>2.7249199477703125E-2</v>
      </c>
      <c r="I29" s="44">
        <f t="shared" si="2"/>
        <v>-9.489128523163054E-3</v>
      </c>
      <c r="J29" s="64">
        <v>5231</v>
      </c>
      <c r="K29" s="64">
        <v>3189</v>
      </c>
      <c r="L29" s="64">
        <v>2307</v>
      </c>
      <c r="M29" s="65">
        <f t="shared" si="3"/>
        <v>3575.6666666666665</v>
      </c>
      <c r="N29" s="66">
        <f t="shared" si="4"/>
        <v>3.0707969415125828E-2</v>
      </c>
      <c r="O29" s="18"/>
      <c r="P29" s="98">
        <v>5000</v>
      </c>
      <c r="Q29" s="102"/>
      <c r="R29" s="100">
        <v>5325</v>
      </c>
      <c r="S29" s="102"/>
      <c r="T29" s="100">
        <v>5431.5</v>
      </c>
      <c r="U29" s="69">
        <f t="shared" si="5"/>
        <v>0.73730769230769233</v>
      </c>
      <c r="V29" s="101"/>
      <c r="W29" s="68">
        <f t="shared" si="6"/>
        <v>5599.8764999999994</v>
      </c>
      <c r="X29" s="68">
        <f t="shared" si="7"/>
        <v>168.3764999999994</v>
      </c>
      <c r="Y29" s="70">
        <f t="shared" si="8"/>
        <v>3.0999999999999889E-2</v>
      </c>
      <c r="Z29" s="71"/>
      <c r="AA29" s="72">
        <f t="shared" si="24"/>
        <v>5546.7385521776587</v>
      </c>
      <c r="AB29" s="68">
        <f t="shared" si="10"/>
        <v>115.23855217765868</v>
      </c>
      <c r="AC29" s="73">
        <f t="shared" si="11"/>
        <v>2.1216708492618738E-2</v>
      </c>
      <c r="AD29" s="74"/>
      <c r="AE29" s="74">
        <f>'Options 1-3'!AQ20</f>
        <v>6038.7852911040609</v>
      </c>
      <c r="AF29" s="75">
        <f t="shared" si="12"/>
        <v>438.90879110406149</v>
      </c>
      <c r="AG29" s="69">
        <f t="shared" si="13"/>
        <v>0.81974460965213491</v>
      </c>
      <c r="AH29" s="74"/>
      <c r="AI29" s="76">
        <v>6736.6001022725459</v>
      </c>
      <c r="AJ29" s="75">
        <f t="shared" si="14"/>
        <v>1136.7236022725465</v>
      </c>
      <c r="AK29" s="69">
        <f t="shared" si="15"/>
        <v>0.91447060211844511</v>
      </c>
      <c r="AL29" s="69">
        <f t="shared" si="16"/>
        <v>1.8840123339999664</v>
      </c>
      <c r="AM29" s="77"/>
      <c r="AN29" s="76">
        <f>SUM('Options 1-3'!T20*'Summary (2)'!$AN$3)</f>
        <v>5317.6805000000004</v>
      </c>
      <c r="AO29" s="75">
        <f t="shared" si="17"/>
        <v>-282.195999999999</v>
      </c>
      <c r="AP29" s="22"/>
      <c r="AQ29" s="74">
        <f>'Op4'!AQ20</f>
        <v>6400.0930614228564</v>
      </c>
      <c r="AR29" s="75">
        <f t="shared" si="18"/>
        <v>800.21656142285701</v>
      </c>
      <c r="AS29" s="22"/>
      <c r="AT29" s="74">
        <f>'Op5'!AQ20</f>
        <v>6857.62841836598</v>
      </c>
      <c r="AU29" s="75">
        <f t="shared" si="19"/>
        <v>1257.7519183659806</v>
      </c>
      <c r="AV29" s="22"/>
      <c r="AW29" s="74">
        <f>'Op6'!AQ20</f>
        <v>5832.8066201579868</v>
      </c>
      <c r="AX29" s="75">
        <f t="shared" si="20"/>
        <v>232.9301201579874</v>
      </c>
      <c r="AY29" s="22"/>
      <c r="AZ29" s="74">
        <f>'Op7'!AQ20</f>
        <v>6857.62841836598</v>
      </c>
      <c r="BA29" s="75">
        <f t="shared" si="21"/>
        <v>1257.7519183659806</v>
      </c>
      <c r="BB29" s="22"/>
      <c r="BC29" s="74">
        <f>'Op8'!AQ20</f>
        <v>6731.5393636342969</v>
      </c>
      <c r="BD29" s="75">
        <f t="shared" si="22"/>
        <v>1131.6628636342975</v>
      </c>
      <c r="BE29" s="75"/>
      <c r="BF29" s="74">
        <v>6677.8357500852062</v>
      </c>
      <c r="BG29" s="75">
        <v>1246.3357500852062</v>
      </c>
      <c r="BH29" s="75"/>
      <c r="BI29" s="75">
        <v>6747.0758982534508</v>
      </c>
      <c r="BJ29" s="75">
        <v>1315.5758982534508</v>
      </c>
      <c r="BK29" s="75"/>
      <c r="BL29" s="74">
        <v>6442.767242917982</v>
      </c>
      <c r="BM29" s="75">
        <v>1011.267242917982</v>
      </c>
      <c r="BN29" s="75"/>
      <c r="BO29" s="74">
        <v>6519.1014007778576</v>
      </c>
      <c r="BP29" s="75">
        <v>1087.6014007778576</v>
      </c>
      <c r="BQ29" s="74">
        <v>5884.4638219354074</v>
      </c>
      <c r="BR29" s="75">
        <v>452.9638219354074</v>
      </c>
      <c r="BS29" s="75"/>
      <c r="BT29" s="74">
        <v>6235.0320548300188</v>
      </c>
      <c r="BU29" s="75">
        <v>803.53205483001875</v>
      </c>
      <c r="BV29" s="75"/>
      <c r="BW29" s="22"/>
      <c r="BX29" s="74">
        <f>'Op9'!AQ20</f>
        <v>6713.8137480975965</v>
      </c>
      <c r="BY29" s="75">
        <f t="shared" si="23"/>
        <v>1113.9372480975971</v>
      </c>
      <c r="BZ29" s="22"/>
      <c r="CA29" s="74">
        <v>6514.2727526036542</v>
      </c>
      <c r="CB29" s="75">
        <v>1082.7727526036542</v>
      </c>
      <c r="CC29" s="22"/>
      <c r="CD29" s="74">
        <v>6556.2524011916403</v>
      </c>
      <c r="CE29" s="75">
        <v>1124.7524011916403</v>
      </c>
      <c r="CF29" s="22"/>
      <c r="CG29" s="74">
        <v>6251.9437458561715</v>
      </c>
      <c r="CH29" s="75">
        <v>820.44374585617152</v>
      </c>
      <c r="CI29" s="22"/>
      <c r="CJ29" s="74">
        <v>6382.7989028765642</v>
      </c>
      <c r="CK29" s="75">
        <v>951.29890287656417</v>
      </c>
      <c r="CL29" s="22"/>
      <c r="CM29" s="74">
        <v>5612.4604412875087</v>
      </c>
      <c r="CN29" s="75">
        <v>180.96044128750873</v>
      </c>
      <c r="CO29" s="22"/>
      <c r="CP29" s="74">
        <v>5961.8254438727454</v>
      </c>
      <c r="CQ29" s="75">
        <v>530.32544387274538</v>
      </c>
    </row>
    <row r="30" spans="1:95" ht="15.75" customHeight="1" x14ac:dyDescent="0.5">
      <c r="A30" s="58" t="s">
        <v>106</v>
      </c>
      <c r="B30" s="59" t="s">
        <v>107</v>
      </c>
      <c r="C30" s="60" t="s">
        <v>64</v>
      </c>
      <c r="D30" s="61"/>
      <c r="E30" s="62">
        <f>AVERAGE('Avg master'!D19:F19)</f>
        <v>272.33333333333331</v>
      </c>
      <c r="F30" s="62">
        <f>'Avg master'!H19</f>
        <v>278.33333333333331</v>
      </c>
      <c r="G30" s="63">
        <f t="shared" si="0"/>
        <v>1.0188518773935843E-3</v>
      </c>
      <c r="H30" s="63">
        <f t="shared" si="1"/>
        <v>1.0295512019856156E-3</v>
      </c>
      <c r="I30" s="44">
        <f t="shared" si="2"/>
        <v>1.050135434740738E-2</v>
      </c>
      <c r="J30" s="64">
        <v>266</v>
      </c>
      <c r="K30" s="64">
        <v>207</v>
      </c>
      <c r="L30" s="64">
        <v>128</v>
      </c>
      <c r="M30" s="65">
        <f t="shared" si="3"/>
        <v>200.33333333333334</v>
      </c>
      <c r="N30" s="66">
        <f t="shared" si="4"/>
        <v>1.7204707391153746E-3</v>
      </c>
      <c r="O30" s="18"/>
      <c r="P30" s="67">
        <v>1227.1218120000001</v>
      </c>
      <c r="Q30" s="22"/>
      <c r="R30" s="68">
        <v>1306.88472978</v>
      </c>
      <c r="S30" s="22"/>
      <c r="T30" s="68">
        <v>1333.0224243756002</v>
      </c>
      <c r="U30" s="69">
        <f t="shared" si="5"/>
        <v>4.7893021235051503</v>
      </c>
      <c r="V30" s="46"/>
      <c r="W30" s="68">
        <f t="shared" si="6"/>
        <v>1374.3461195312436</v>
      </c>
      <c r="X30" s="68">
        <f t="shared" si="7"/>
        <v>41.323695155643463</v>
      </c>
      <c r="Y30" s="70">
        <f t="shared" si="8"/>
        <v>3.0999999999999892E-2</v>
      </c>
      <c r="Z30" s="71"/>
      <c r="AA30" s="72">
        <f t="shared" si="24"/>
        <v>1388.7786151284254</v>
      </c>
      <c r="AB30" s="68">
        <f t="shared" si="10"/>
        <v>55.756190752825205</v>
      </c>
      <c r="AC30" s="73">
        <f t="shared" si="11"/>
        <v>4.1826896332176788E-2</v>
      </c>
      <c r="AD30" s="22"/>
      <c r="AE30" s="74">
        <f>'Options 1-3'!AQ21</f>
        <v>228.16224968651085</v>
      </c>
      <c r="AF30" s="75">
        <f t="shared" si="12"/>
        <v>-1146.1838698447327</v>
      </c>
      <c r="AG30" s="69">
        <f t="shared" si="13"/>
        <v>0.8197446096521348</v>
      </c>
      <c r="AH30" s="22"/>
      <c r="AI30" s="76">
        <v>377.43047091132655</v>
      </c>
      <c r="AJ30" s="75">
        <f t="shared" si="14"/>
        <v>-996.91564861991708</v>
      </c>
      <c r="AK30" s="69">
        <f t="shared" si="15"/>
        <v>1.3560376200406943</v>
      </c>
      <c r="AL30" s="69">
        <f t="shared" si="16"/>
        <v>1.8840123339999661</v>
      </c>
      <c r="AM30" s="77"/>
      <c r="AN30" s="76">
        <f>SUM('Options 1-3'!T21*'Summary (2)'!$AN$3)</f>
        <v>1002.9300000000001</v>
      </c>
      <c r="AO30" s="75">
        <f t="shared" si="17"/>
        <v>-371.41611953124357</v>
      </c>
      <c r="AP30" s="22"/>
      <c r="AQ30" s="74">
        <f>'Op4'!AQ21</f>
        <v>939.67986074325677</v>
      </c>
      <c r="AR30" s="75">
        <f t="shared" si="18"/>
        <v>-434.66625878798686</v>
      </c>
      <c r="AS30" s="22"/>
      <c r="AT30" s="74">
        <f>'Op5'!AQ21</f>
        <v>1027.3224457255847</v>
      </c>
      <c r="AU30" s="75">
        <f t="shared" si="19"/>
        <v>-347.02367380565897</v>
      </c>
      <c r="AV30" s="22"/>
      <c r="AW30" s="74">
        <f>'Op6'!AQ21</f>
        <v>1481.2362057695186</v>
      </c>
      <c r="AX30" s="75">
        <f t="shared" si="20"/>
        <v>106.89008623827499</v>
      </c>
      <c r="AY30" s="22"/>
      <c r="AZ30" s="74">
        <f>'Op7'!AQ21</f>
        <v>1027.3224457255847</v>
      </c>
      <c r="BA30" s="75">
        <f t="shared" si="21"/>
        <v>-347.02367380565897</v>
      </c>
      <c r="BB30" s="22"/>
      <c r="BC30" s="74">
        <f>'Op8'!AQ21</f>
        <v>1278.7305012166275</v>
      </c>
      <c r="BD30" s="75">
        <f t="shared" si="22"/>
        <v>-95.615618314616086</v>
      </c>
      <c r="BE30" s="75"/>
      <c r="BF30" s="74">
        <v>1409.1133263959543</v>
      </c>
      <c r="BG30" s="75">
        <v>76.090902020354179</v>
      </c>
      <c r="BH30" s="75"/>
      <c r="BI30" s="75">
        <v>1150.4280399380802</v>
      </c>
      <c r="BJ30" s="75">
        <v>-182.59438443751992</v>
      </c>
      <c r="BK30" s="75"/>
      <c r="BL30" s="74">
        <v>1468.7560369269916</v>
      </c>
      <c r="BM30" s="75">
        <v>135.73361255139139</v>
      </c>
      <c r="BN30" s="75"/>
      <c r="BO30" s="74">
        <v>1464.5953091254323</v>
      </c>
      <c r="BP30" s="75">
        <v>131.57288474983216</v>
      </c>
      <c r="BQ30" s="74">
        <v>2084.2344331179206</v>
      </c>
      <c r="BR30" s="75">
        <v>751.21200874232045</v>
      </c>
      <c r="BS30" s="75"/>
      <c r="BT30" s="74">
        <v>2169.5880759340089</v>
      </c>
      <c r="BU30" s="75">
        <v>836.56565155840872</v>
      </c>
      <c r="BV30" s="75"/>
      <c r="BW30" s="22"/>
      <c r="BX30" s="74">
        <f>'Op9'!AQ21</f>
        <v>1280.6839218429584</v>
      </c>
      <c r="BY30" s="75">
        <f t="shared" si="23"/>
        <v>-93.662197688285232</v>
      </c>
      <c r="BZ30" s="22"/>
      <c r="CA30" s="74">
        <v>1370.4866156815735</v>
      </c>
      <c r="CB30" s="75">
        <v>37.464191305973372</v>
      </c>
      <c r="CC30" s="22"/>
      <c r="CD30" s="74">
        <v>1105.3635441046358</v>
      </c>
      <c r="CE30" s="75">
        <v>-227.65888027096435</v>
      </c>
      <c r="CF30" s="22"/>
      <c r="CG30" s="74">
        <v>1423.6915410935471</v>
      </c>
      <c r="CH30" s="75">
        <v>90.669116717946963</v>
      </c>
      <c r="CI30" s="22"/>
      <c r="CJ30" s="74">
        <v>1432.4063835301149</v>
      </c>
      <c r="CK30" s="75">
        <v>99.383959154514741</v>
      </c>
      <c r="CL30" s="22"/>
      <c r="CM30" s="74">
        <v>2019.9986581602927</v>
      </c>
      <c r="CN30" s="75">
        <v>686.97623378469257</v>
      </c>
      <c r="CO30" s="22"/>
      <c r="CP30" s="74">
        <v>2105.0681485103678</v>
      </c>
      <c r="CQ30" s="75">
        <v>772.04572413476762</v>
      </c>
    </row>
    <row r="31" spans="1:95" ht="15.75" customHeight="1" x14ac:dyDescent="0.5">
      <c r="A31" s="83" t="s">
        <v>108</v>
      </c>
      <c r="B31" s="59" t="s">
        <v>109</v>
      </c>
      <c r="C31" s="61" t="s">
        <v>89</v>
      </c>
      <c r="D31" s="85"/>
      <c r="E31" s="62">
        <f>AVERAGE('Avg master'!D20:F20)</f>
        <v>2</v>
      </c>
      <c r="F31" s="62">
        <f>'Avg master'!H20</f>
        <v>2</v>
      </c>
      <c r="G31" s="63">
        <f t="shared" si="0"/>
        <v>7.4823883284718564E-6</v>
      </c>
      <c r="H31" s="63">
        <f t="shared" si="1"/>
        <v>7.3979727088786762E-6</v>
      </c>
      <c r="I31" s="44">
        <f t="shared" si="2"/>
        <v>-1.1281908381039683E-2</v>
      </c>
      <c r="J31" s="64">
        <v>2</v>
      </c>
      <c r="K31" s="64">
        <v>2</v>
      </c>
      <c r="L31" s="64">
        <v>2</v>
      </c>
      <c r="M31" s="65">
        <f t="shared" si="3"/>
        <v>2</v>
      </c>
      <c r="N31" s="66">
        <f t="shared" si="4"/>
        <v>1.717608059017013E-5</v>
      </c>
      <c r="O31" s="18"/>
      <c r="P31" s="67">
        <v>368.1365436000001</v>
      </c>
      <c r="Q31" s="22"/>
      <c r="R31" s="68">
        <v>392.06541893400009</v>
      </c>
      <c r="S31" s="22"/>
      <c r="T31" s="68">
        <v>399.90672731268012</v>
      </c>
      <c r="U31" s="69">
        <f t="shared" si="5"/>
        <v>199.95336365634006</v>
      </c>
      <c r="V31" s="46"/>
      <c r="W31" s="68">
        <f t="shared" si="6"/>
        <v>412.30383585937318</v>
      </c>
      <c r="X31" s="68">
        <f t="shared" si="7"/>
        <v>12.397108546693062</v>
      </c>
      <c r="Y31" s="70">
        <f t="shared" si="8"/>
        <v>3.0999999999999944E-2</v>
      </c>
      <c r="Z31" s="71"/>
      <c r="AA31" s="92">
        <f>$AA$7</f>
        <v>424</v>
      </c>
      <c r="AB31" s="68">
        <f t="shared" si="10"/>
        <v>24.093272687319882</v>
      </c>
      <c r="AC31" s="73">
        <f t="shared" si="11"/>
        <v>6.0247230270977087E-2</v>
      </c>
      <c r="AD31" s="22"/>
      <c r="AE31" s="74">
        <f>'Options 1-3'!AQ22</f>
        <v>1.6394892193042698</v>
      </c>
      <c r="AF31" s="75">
        <f t="shared" si="12"/>
        <v>-410.66434664006891</v>
      </c>
      <c r="AG31" s="69">
        <f t="shared" si="13"/>
        <v>0.81974460965213491</v>
      </c>
      <c r="AH31" s="22"/>
      <c r="AI31" s="76">
        <v>3.7680246679999327</v>
      </c>
      <c r="AJ31" s="75">
        <f t="shared" si="14"/>
        <v>-408.53581119137323</v>
      </c>
      <c r="AK31" s="69">
        <f t="shared" si="15"/>
        <v>1.8840123339999664</v>
      </c>
      <c r="AL31" s="69">
        <f t="shared" si="16"/>
        <v>1.8840123339999664</v>
      </c>
      <c r="AM31" s="77"/>
      <c r="AN31" s="76">
        <f>SUM('Options 1-3'!T22*'Summary (2)'!$AN$3)</f>
        <v>1969.45</v>
      </c>
      <c r="AO31" s="75">
        <f t="shared" si="17"/>
        <v>1557.1461641406268</v>
      </c>
      <c r="AP31" s="22"/>
      <c r="AQ31" s="74">
        <f>'Op4'!AQ22</f>
        <v>618.82800863933005</v>
      </c>
      <c r="AR31" s="75">
        <f t="shared" si="18"/>
        <v>206.52417277995687</v>
      </c>
      <c r="AS31" s="22"/>
      <c r="AT31" s="74">
        <f>'Op5'!AQ22</f>
        <v>496.91261942081496</v>
      </c>
      <c r="AU31" s="75">
        <f t="shared" si="19"/>
        <v>84.608783561441783</v>
      </c>
      <c r="AV31" s="22"/>
      <c r="AW31" s="74">
        <f>'Op6'!AQ22</f>
        <v>1922.6154772912719</v>
      </c>
      <c r="AX31" s="75">
        <f t="shared" si="20"/>
        <v>1510.3116414318988</v>
      </c>
      <c r="AY31" s="22"/>
      <c r="AZ31" s="74">
        <f>'Op7'!AQ22</f>
        <v>496.91261942081496</v>
      </c>
      <c r="BA31" s="75">
        <f t="shared" si="21"/>
        <v>84.608783561441783</v>
      </c>
      <c r="BB31" s="22"/>
      <c r="BC31" s="93">
        <f>'Op8'!AQ22</f>
        <v>1004.9576932183002</v>
      </c>
      <c r="BD31" s="75">
        <f t="shared" si="22"/>
        <v>592.65385735892698</v>
      </c>
      <c r="BE31" s="75"/>
      <c r="BF31" s="93">
        <v>1094.104478269747</v>
      </c>
      <c r="BG31" s="75">
        <v>694.19775095706689</v>
      </c>
      <c r="BH31" s="75"/>
      <c r="BI31" s="75">
        <v>915.88192170283025</v>
      </c>
      <c r="BJ31" s="75">
        <v>515.97519439015014</v>
      </c>
      <c r="BK31" s="75"/>
      <c r="BL31" s="93">
        <v>1262.0472668624373</v>
      </c>
      <c r="BM31" s="75">
        <v>862.14053954975714</v>
      </c>
      <c r="BN31" s="75"/>
      <c r="BO31" s="93">
        <v>1261.9052397904836</v>
      </c>
      <c r="BP31" s="75">
        <v>861.9985124778035</v>
      </c>
      <c r="BQ31" s="93">
        <v>1729.9189287547106</v>
      </c>
      <c r="BR31" s="75">
        <v>1330.0122014420303</v>
      </c>
      <c r="BS31" s="75"/>
      <c r="BT31" s="93">
        <v>1686.0695367004928</v>
      </c>
      <c r="BU31" s="75">
        <v>1286.1628093878126</v>
      </c>
      <c r="BV31" s="75"/>
      <c r="BW31" s="22"/>
      <c r="BX31" s="74">
        <f>'Op9'!AQ22</f>
        <v>980.93161855509584</v>
      </c>
      <c r="BY31" s="75">
        <f t="shared" si="23"/>
        <v>568.62778269572266</v>
      </c>
      <c r="BZ31" s="22"/>
      <c r="CA31" s="74">
        <v>1093.5665390159688</v>
      </c>
      <c r="CB31" s="75">
        <v>693.65981170328871</v>
      </c>
      <c r="CC31" s="22"/>
      <c r="CD31" s="74">
        <v>915.25432590675541</v>
      </c>
      <c r="CE31" s="75">
        <v>515.34759859407529</v>
      </c>
      <c r="CF31" s="22"/>
      <c r="CG31" s="74">
        <v>1261.4196710663625</v>
      </c>
      <c r="CH31" s="75">
        <v>861.51294375368241</v>
      </c>
      <c r="CI31" s="22"/>
      <c r="CJ31" s="74">
        <v>1261.4569570790015</v>
      </c>
      <c r="CK31" s="75">
        <v>861.55022976632142</v>
      </c>
      <c r="CL31" s="22"/>
      <c r="CM31" s="74">
        <v>1729.0243419724682</v>
      </c>
      <c r="CN31" s="75">
        <v>1329.1176146597882</v>
      </c>
      <c r="CO31" s="22"/>
      <c r="CP31" s="74">
        <v>1685.1709926368071</v>
      </c>
      <c r="CQ31" s="75">
        <v>1285.2642653241269</v>
      </c>
    </row>
    <row r="32" spans="1:95" ht="15.75" customHeight="1" x14ac:dyDescent="0.5">
      <c r="A32" s="83" t="s">
        <v>110</v>
      </c>
      <c r="B32" s="59" t="s">
        <v>111</v>
      </c>
      <c r="C32" s="85" t="s">
        <v>72</v>
      </c>
      <c r="D32" s="85"/>
      <c r="E32" s="62">
        <f>AVERAGE('Avg master'!D21:F21)</f>
        <v>25100.666666666668</v>
      </c>
      <c r="F32" s="62">
        <f>'Avg master'!H21</f>
        <v>25969.333333333332</v>
      </c>
      <c r="G32" s="63">
        <f t="shared" si="0"/>
        <v>9.3906467651764636E-2</v>
      </c>
      <c r="H32" s="63">
        <f t="shared" si="1"/>
        <v>9.6060209633886645E-2</v>
      </c>
      <c r="I32" s="44">
        <f t="shared" si="2"/>
        <v>2.2934969613688131E-2</v>
      </c>
      <c r="J32" s="64">
        <v>8260</v>
      </c>
      <c r="K32" s="64">
        <v>8110</v>
      </c>
      <c r="L32" s="64">
        <v>5911</v>
      </c>
      <c r="M32" s="65">
        <f t="shared" si="3"/>
        <v>7427</v>
      </c>
      <c r="N32" s="66">
        <f t="shared" si="4"/>
        <v>6.3783375271596776E-2</v>
      </c>
      <c r="O32" s="18"/>
      <c r="P32" s="67">
        <v>12271.218120000003</v>
      </c>
      <c r="Q32" s="22"/>
      <c r="R32" s="68">
        <v>13068.847297800003</v>
      </c>
      <c r="S32" s="22"/>
      <c r="T32" s="68">
        <v>13330.224243756003</v>
      </c>
      <c r="U32" s="69">
        <f t="shared" si="5"/>
        <v>0.51330637073558572</v>
      </c>
      <c r="V32" s="46"/>
      <c r="W32" s="68">
        <f t="shared" si="6"/>
        <v>13743.461195312439</v>
      </c>
      <c r="X32" s="68">
        <f t="shared" si="7"/>
        <v>413.23695155643509</v>
      </c>
      <c r="Y32" s="70">
        <f t="shared" si="8"/>
        <v>3.0999999999999923E-2</v>
      </c>
      <c r="Z32" s="71"/>
      <c r="AA32" s="72">
        <f t="shared" ref="AA32:AA37" si="25">SUM(W32*(1+I32))</f>
        <v>14058.667060213833</v>
      </c>
      <c r="AB32" s="68">
        <f t="shared" si="10"/>
        <v>728.44281645782939</v>
      </c>
      <c r="AC32" s="73">
        <f t="shared" si="11"/>
        <v>5.4645953671712502E-2</v>
      </c>
      <c r="AD32" s="22"/>
      <c r="AE32" s="74">
        <f>'Options 1-3'!AQ23</f>
        <v>21288.221016259507</v>
      </c>
      <c r="AF32" s="75">
        <f t="shared" si="12"/>
        <v>7544.7598209470689</v>
      </c>
      <c r="AG32" s="69">
        <f t="shared" si="13"/>
        <v>0.81974460965213491</v>
      </c>
      <c r="AH32" s="22"/>
      <c r="AI32" s="76">
        <v>13992.559604617751</v>
      </c>
      <c r="AJ32" s="75">
        <f t="shared" si="14"/>
        <v>249.09840930531209</v>
      </c>
      <c r="AK32" s="69">
        <f t="shared" si="15"/>
        <v>0.53881088994523352</v>
      </c>
      <c r="AL32" s="69">
        <f t="shared" si="16"/>
        <v>1.8840123339999664</v>
      </c>
      <c r="AM32" s="77"/>
      <c r="AN32" s="76">
        <f>SUM('Options 1-3'!T23*'Summary (2)'!$AN$3)</f>
        <v>5816.4975000000004</v>
      </c>
      <c r="AO32" s="75">
        <f t="shared" si="17"/>
        <v>-7926.9636953124382</v>
      </c>
      <c r="AP32" s="22"/>
      <c r="AQ32" s="74">
        <f>'Op4'!AQ23</f>
        <v>12630.55070715188</v>
      </c>
      <c r="AR32" s="75">
        <f t="shared" si="18"/>
        <v>-1112.9104881605581</v>
      </c>
      <c r="AS32" s="22"/>
      <c r="AT32" s="74">
        <f>'Op5'!AQ23</f>
        <v>13094.702136127788</v>
      </c>
      <c r="AU32" s="75">
        <f t="shared" si="19"/>
        <v>-648.75905918465105</v>
      </c>
      <c r="AV32" s="22"/>
      <c r="AW32" s="74">
        <f>'Op6'!AQ23</f>
        <v>7173.6016881145542</v>
      </c>
      <c r="AX32" s="75">
        <f t="shared" si="20"/>
        <v>-6569.8595071978843</v>
      </c>
      <c r="AY32" s="22"/>
      <c r="AZ32" s="74">
        <f>'Op7'!AQ23</f>
        <v>13094.702136127788</v>
      </c>
      <c r="BA32" s="75">
        <f t="shared" si="21"/>
        <v>-648.75905918465105</v>
      </c>
      <c r="BB32" s="22"/>
      <c r="BC32" s="74">
        <f>'Op8'!AQ23</f>
        <v>10682.389578624101</v>
      </c>
      <c r="BD32" s="75">
        <f t="shared" si="22"/>
        <v>-3061.0716166883376</v>
      </c>
      <c r="BE32" s="75"/>
      <c r="BF32" s="74">
        <v>10607.404214228191</v>
      </c>
      <c r="BG32" s="75">
        <v>-2722.8200295278129</v>
      </c>
      <c r="BH32" s="75"/>
      <c r="BI32" s="75">
        <v>10856.688038986107</v>
      </c>
      <c r="BJ32" s="75">
        <v>-2473.5362047698964</v>
      </c>
      <c r="BK32" s="75"/>
      <c r="BL32" s="74">
        <v>10208.743449419038</v>
      </c>
      <c r="BM32" s="75">
        <v>-3121.4807943369651</v>
      </c>
      <c r="BN32" s="75"/>
      <c r="BO32" s="74">
        <v>10010.117257486847</v>
      </c>
      <c r="BP32" s="75">
        <v>-3320.1069862691566</v>
      </c>
      <c r="BQ32" s="74">
        <v>9661.6458620068297</v>
      </c>
      <c r="BR32" s="75">
        <v>-3668.5783817491738</v>
      </c>
      <c r="BS32" s="75"/>
      <c r="BT32" s="74">
        <v>10601.865968668702</v>
      </c>
      <c r="BU32" s="75">
        <v>-2728.3582750873011</v>
      </c>
      <c r="BV32" s="75"/>
      <c r="BW32" s="22"/>
      <c r="BX32" s="74">
        <f>'Op9'!AQ23</f>
        <v>12968.694258859319</v>
      </c>
      <c r="BY32" s="75">
        <f t="shared" si="23"/>
        <v>-774.76693645311934</v>
      </c>
      <c r="BZ32" s="22"/>
      <c r="CA32" s="74">
        <v>12300.36845889928</v>
      </c>
      <c r="CB32" s="75">
        <v>-1029.8557848567234</v>
      </c>
      <c r="CC32" s="22"/>
      <c r="CD32" s="74">
        <v>12831.812991102379</v>
      </c>
      <c r="CE32" s="75">
        <v>-498.41125265362462</v>
      </c>
      <c r="CF32" s="22"/>
      <c r="CG32" s="74">
        <v>12183.868401535306</v>
      </c>
      <c r="CH32" s="75">
        <v>-1146.355842220697</v>
      </c>
      <c r="CI32" s="22"/>
      <c r="CJ32" s="74">
        <v>11420.920794712754</v>
      </c>
      <c r="CK32" s="75">
        <v>-1909.3034490432492</v>
      </c>
      <c r="CL32" s="22"/>
      <c r="CM32" s="74">
        <v>12477.025898793523</v>
      </c>
      <c r="CN32" s="75">
        <v>-853.19834496248041</v>
      </c>
      <c r="CO32" s="22"/>
      <c r="CP32" s="74">
        <v>13429.700080785642</v>
      </c>
      <c r="CQ32" s="75">
        <v>99.475837029638569</v>
      </c>
    </row>
    <row r="33" spans="1:95" ht="15.75" customHeight="1" x14ac:dyDescent="0.5">
      <c r="A33" s="103" t="s">
        <v>112</v>
      </c>
      <c r="B33" s="59" t="s">
        <v>113</v>
      </c>
      <c r="C33" s="91" t="s">
        <v>81</v>
      </c>
      <c r="D33" s="84"/>
      <c r="E33" s="62">
        <f>AVERAGE('Avg master'!D22:F22)</f>
        <v>423.33333333333331</v>
      </c>
      <c r="F33" s="62">
        <f>'Avg master'!H22</f>
        <v>423.33333333333331</v>
      </c>
      <c r="G33" s="63">
        <f t="shared" si="0"/>
        <v>1.5837721961932097E-3</v>
      </c>
      <c r="H33" s="63">
        <f t="shared" si="1"/>
        <v>1.5659042233793197E-3</v>
      </c>
      <c r="I33" s="44">
        <f t="shared" si="2"/>
        <v>-1.1281908381039785E-2</v>
      </c>
      <c r="J33" s="64">
        <v>424</v>
      </c>
      <c r="K33" s="64">
        <v>424</v>
      </c>
      <c r="L33" s="64">
        <v>422</v>
      </c>
      <c r="M33" s="65">
        <f t="shared" si="3"/>
        <v>423.33333333333331</v>
      </c>
      <c r="N33" s="66">
        <f t="shared" si="4"/>
        <v>3.635603724919344E-3</v>
      </c>
      <c r="O33" s="18"/>
      <c r="P33" s="67">
        <v>1227.1218120000001</v>
      </c>
      <c r="Q33" s="22"/>
      <c r="R33" s="68">
        <v>1306.88472978</v>
      </c>
      <c r="S33" s="22"/>
      <c r="T33" s="68">
        <v>1333.0224243756002</v>
      </c>
      <c r="U33" s="69">
        <f t="shared" si="5"/>
        <v>3.1488718686037802</v>
      </c>
      <c r="V33" s="46"/>
      <c r="W33" s="68">
        <f t="shared" si="6"/>
        <v>1374.3461195312436</v>
      </c>
      <c r="X33" s="68">
        <f t="shared" si="7"/>
        <v>41.323695155643463</v>
      </c>
      <c r="Y33" s="70">
        <f t="shared" si="8"/>
        <v>3.0999999999999892E-2</v>
      </c>
      <c r="Z33" s="71"/>
      <c r="AA33" s="72">
        <f t="shared" si="25"/>
        <v>1358.8408725268546</v>
      </c>
      <c r="AB33" s="68">
        <f t="shared" si="10"/>
        <v>25.818448151254415</v>
      </c>
      <c r="AC33" s="73">
        <f t="shared" si="11"/>
        <v>1.9368352459147874E-2</v>
      </c>
      <c r="AD33" s="22"/>
      <c r="AE33" s="74">
        <f>'Options 1-3'!AQ24</f>
        <v>347.02521808607042</v>
      </c>
      <c r="AF33" s="75">
        <f t="shared" si="12"/>
        <v>-1027.3209014451731</v>
      </c>
      <c r="AG33" s="69">
        <f t="shared" si="13"/>
        <v>0.81974460965213491</v>
      </c>
      <c r="AH33" s="22"/>
      <c r="AI33" s="76">
        <v>797.56522139331901</v>
      </c>
      <c r="AJ33" s="75">
        <f t="shared" si="14"/>
        <v>-576.78089813792462</v>
      </c>
      <c r="AK33" s="69">
        <f t="shared" si="15"/>
        <v>1.8840123339999661</v>
      </c>
      <c r="AL33" s="69">
        <f t="shared" si="16"/>
        <v>1.8840123339999661</v>
      </c>
      <c r="AM33" s="77"/>
      <c r="AN33" s="76">
        <f>SUM('Options 1-3'!T24*'Summary (2)'!$AN$3)</f>
        <v>1365.5405000000001</v>
      </c>
      <c r="AO33" s="75">
        <f t="shared" si="17"/>
        <v>-8.8056195312435648</v>
      </c>
      <c r="AP33" s="22"/>
      <c r="AQ33" s="74">
        <f>'Op4'!AQ24</f>
        <v>1300.4359768063273</v>
      </c>
      <c r="AR33" s="75">
        <f t="shared" si="18"/>
        <v>-73.910142724916341</v>
      </c>
      <c r="AS33" s="22"/>
      <c r="AT33" s="74">
        <f>'Op5'!AQ24</f>
        <v>1142.3212824121028</v>
      </c>
      <c r="AU33" s="75">
        <f t="shared" si="19"/>
        <v>-232.02483711914078</v>
      </c>
      <c r="AV33" s="22"/>
      <c r="AW33" s="74">
        <f>'Op6'!AQ24</f>
        <v>1554.7820244851432</v>
      </c>
      <c r="AX33" s="75">
        <f t="shared" si="20"/>
        <v>180.43590495389958</v>
      </c>
      <c r="AY33" s="22"/>
      <c r="AZ33" s="74">
        <f>'Op7'!AQ24</f>
        <v>1142.3212824121028</v>
      </c>
      <c r="BA33" s="75">
        <f t="shared" si="21"/>
        <v>-232.02483711914078</v>
      </c>
      <c r="BB33" s="22"/>
      <c r="BC33" s="74">
        <f>'Op8'!AQ24</f>
        <v>1231.8622465270537</v>
      </c>
      <c r="BD33" s="75">
        <f t="shared" si="22"/>
        <v>-142.48387300418995</v>
      </c>
      <c r="BE33" s="75"/>
      <c r="BF33" s="74">
        <v>1346.7744956926501</v>
      </c>
      <c r="BG33" s="75">
        <v>13.752071317049968</v>
      </c>
      <c r="BH33" s="75"/>
      <c r="BI33" s="75">
        <v>1141.397208697008</v>
      </c>
      <c r="BJ33" s="75">
        <v>-191.62521567859221</v>
      </c>
      <c r="BK33" s="75"/>
      <c r="BL33" s="74">
        <v>1468.6409228843663</v>
      </c>
      <c r="BM33" s="75">
        <v>135.61849850876615</v>
      </c>
      <c r="BN33" s="75"/>
      <c r="BO33" s="74">
        <v>1419.7465002132647</v>
      </c>
      <c r="BP33" s="75">
        <v>86.724075837664486</v>
      </c>
      <c r="BQ33" s="74">
        <v>2113.2217457410115</v>
      </c>
      <c r="BR33" s="75">
        <v>780.19932136541138</v>
      </c>
      <c r="BS33" s="75"/>
      <c r="BT33" s="74">
        <v>2119.8658596969908</v>
      </c>
      <c r="BU33" s="75">
        <v>786.84343532139064</v>
      </c>
      <c r="BV33" s="75"/>
      <c r="BW33" s="22"/>
      <c r="BX33" s="74">
        <f>'Op9'!AQ24</f>
        <v>1116.8492859401217</v>
      </c>
      <c r="BY33" s="75">
        <f t="shared" si="23"/>
        <v>-257.49683359112191</v>
      </c>
      <c r="BZ33" s="22"/>
      <c r="CA33" s="74">
        <v>1232.9106869762145</v>
      </c>
      <c r="CB33" s="75">
        <v>-100.11173739938567</v>
      </c>
      <c r="CC33" s="22"/>
      <c r="CD33" s="74">
        <v>1008.5560985278329</v>
      </c>
      <c r="CE33" s="75">
        <v>-324.46632584776728</v>
      </c>
      <c r="CF33" s="22"/>
      <c r="CG33" s="74">
        <v>1335.7998127151914</v>
      </c>
      <c r="CH33" s="75">
        <v>2.777388339591198</v>
      </c>
      <c r="CI33" s="22"/>
      <c r="CJ33" s="74">
        <v>1324.8599929495683</v>
      </c>
      <c r="CK33" s="75">
        <v>-8.1624314260318442</v>
      </c>
      <c r="CL33" s="22"/>
      <c r="CM33" s="74">
        <v>1923.8675434997047</v>
      </c>
      <c r="CN33" s="75">
        <v>590.84511912410449</v>
      </c>
      <c r="CO33" s="22"/>
      <c r="CP33" s="74">
        <v>1929.6740328835126</v>
      </c>
      <c r="CQ33" s="75">
        <v>596.65160850791244</v>
      </c>
    </row>
    <row r="34" spans="1:95" ht="15.75" customHeight="1" x14ac:dyDescent="0.5">
      <c r="A34" s="83" t="s">
        <v>114</v>
      </c>
      <c r="B34" s="59" t="s">
        <v>115</v>
      </c>
      <c r="C34" s="85" t="s">
        <v>72</v>
      </c>
      <c r="D34" s="85"/>
      <c r="E34" s="62">
        <f>AVERAGE('Avg master'!D23:F23)</f>
        <v>25063.333333333332</v>
      </c>
      <c r="F34" s="62">
        <f>'Avg master'!H23</f>
        <v>25311.666666666668</v>
      </c>
      <c r="G34" s="63">
        <f t="shared" si="0"/>
        <v>9.3766796402966479E-2</v>
      </c>
      <c r="H34" s="63">
        <f t="shared" si="1"/>
        <v>9.362750960811704E-2</v>
      </c>
      <c r="I34" s="44">
        <f t="shared" si="2"/>
        <v>-1.4854596743483499E-3</v>
      </c>
      <c r="J34" s="64">
        <v>13810</v>
      </c>
      <c r="K34" s="64">
        <v>10427</v>
      </c>
      <c r="L34" s="64">
        <v>8092</v>
      </c>
      <c r="M34" s="65">
        <f t="shared" si="3"/>
        <v>10776.333333333334</v>
      </c>
      <c r="N34" s="66">
        <f t="shared" si="4"/>
        <v>9.2547584899935018E-2</v>
      </c>
      <c r="O34" s="18"/>
      <c r="P34" s="67">
        <v>12271.218120000003</v>
      </c>
      <c r="Q34" s="22"/>
      <c r="R34" s="68">
        <v>13068.847297800003</v>
      </c>
      <c r="S34" s="22"/>
      <c r="T34" s="68">
        <v>13330.224243756003</v>
      </c>
      <c r="U34" s="69">
        <f t="shared" si="5"/>
        <v>0.52664348102018843</v>
      </c>
      <c r="V34" s="46"/>
      <c r="W34" s="68">
        <f t="shared" si="6"/>
        <v>13743.461195312439</v>
      </c>
      <c r="X34" s="68">
        <f t="shared" si="7"/>
        <v>413.23695155643509</v>
      </c>
      <c r="Y34" s="70">
        <f t="shared" si="8"/>
        <v>3.0999999999999923E-2</v>
      </c>
      <c r="Z34" s="71"/>
      <c r="AA34" s="72">
        <f t="shared" si="25"/>
        <v>13723.04583792083</v>
      </c>
      <c r="AB34" s="68">
        <f t="shared" si="10"/>
        <v>392.82159416482682</v>
      </c>
      <c r="AC34" s="73">
        <f t="shared" si="11"/>
        <v>2.9468491075746756E-2</v>
      </c>
      <c r="AD34" s="22"/>
      <c r="AE34" s="74">
        <f>'Options 1-3'!AQ25</f>
        <v>20749.102311311621</v>
      </c>
      <c r="AF34" s="75">
        <f t="shared" si="12"/>
        <v>7005.6411159991821</v>
      </c>
      <c r="AG34" s="69">
        <f t="shared" si="13"/>
        <v>0.8197446096521348</v>
      </c>
      <c r="AH34" s="22"/>
      <c r="AI34" s="76">
        <v>20302.74491529497</v>
      </c>
      <c r="AJ34" s="75">
        <f t="shared" si="14"/>
        <v>6559.2837199825317</v>
      </c>
      <c r="AK34" s="69">
        <f t="shared" si="15"/>
        <v>0.80211015665878593</v>
      </c>
      <c r="AL34" s="69">
        <f t="shared" si="16"/>
        <v>1.8840123339999661</v>
      </c>
      <c r="AM34" s="77"/>
      <c r="AN34" s="76">
        <f>SUM('Options 1-3'!T25*'Summary (2)'!$AN$3)</f>
        <v>12751.444000000001</v>
      </c>
      <c r="AO34" s="75">
        <f t="shared" si="17"/>
        <v>-992.01719531243725</v>
      </c>
      <c r="AP34" s="22"/>
      <c r="AQ34" s="74">
        <f>'Op4'!AQ25</f>
        <v>18048.902656631304</v>
      </c>
      <c r="AR34" s="75">
        <f t="shared" si="18"/>
        <v>4305.4414613188655</v>
      </c>
      <c r="AS34" s="22"/>
      <c r="AT34" s="74">
        <f>'Op5'!AQ25</f>
        <v>20060.394246784796</v>
      </c>
      <c r="AU34" s="75">
        <f t="shared" si="19"/>
        <v>6316.933051472357</v>
      </c>
      <c r="AV34" s="22"/>
      <c r="AW34" s="74">
        <f>'Op6'!AQ25</f>
        <v>14596.471553356074</v>
      </c>
      <c r="AX34" s="75">
        <f t="shared" si="20"/>
        <v>853.01035804363528</v>
      </c>
      <c r="AY34" s="22"/>
      <c r="AZ34" s="74">
        <f>'Op7'!AQ25</f>
        <v>20060.394246784796</v>
      </c>
      <c r="BA34" s="75">
        <f t="shared" si="21"/>
        <v>6316.933051472357</v>
      </c>
      <c r="BB34" s="22"/>
      <c r="BC34" s="74">
        <f>'Op8'!AQ25</f>
        <v>19165.320756940051</v>
      </c>
      <c r="BD34" s="75">
        <f t="shared" si="22"/>
        <v>5421.8595616276125</v>
      </c>
      <c r="BE34" s="75"/>
      <c r="BF34" s="74">
        <v>18794.459743660827</v>
      </c>
      <c r="BG34" s="75">
        <v>5464.2354999048239</v>
      </c>
      <c r="BH34" s="75"/>
      <c r="BI34" s="75">
        <v>19355.728006480778</v>
      </c>
      <c r="BJ34" s="75">
        <v>6025.5037627247748</v>
      </c>
      <c r="BK34" s="75"/>
      <c r="BL34" s="74">
        <v>17610.284017924299</v>
      </c>
      <c r="BM34" s="75">
        <v>4280.0597741682959</v>
      </c>
      <c r="BN34" s="75"/>
      <c r="BO34" s="74">
        <v>17971.1915454013</v>
      </c>
      <c r="BP34" s="75">
        <v>4640.9673016452962</v>
      </c>
      <c r="BQ34" s="74">
        <v>15133.071393219685</v>
      </c>
      <c r="BR34" s="75">
        <v>1802.8471494636815</v>
      </c>
      <c r="BS34" s="75"/>
      <c r="BT34" s="74">
        <v>15296.163927405654</v>
      </c>
      <c r="BU34" s="75">
        <v>1965.9396836496508</v>
      </c>
      <c r="BV34" s="75"/>
      <c r="BW34" s="22"/>
      <c r="BX34" s="74">
        <f>'Op9'!AQ25</f>
        <v>19316.311817577178</v>
      </c>
      <c r="BY34" s="75">
        <f t="shared" si="23"/>
        <v>5572.8506222647393</v>
      </c>
      <c r="BZ34" s="22"/>
      <c r="CA34" s="74">
        <v>18861.889150159896</v>
      </c>
      <c r="CB34" s="75">
        <v>5531.664906403892</v>
      </c>
      <c r="CC34" s="22"/>
      <c r="CD34" s="74">
        <v>19434.395647396359</v>
      </c>
      <c r="CE34" s="75">
        <v>6104.1714036403555</v>
      </c>
      <c r="CF34" s="22"/>
      <c r="CG34" s="74">
        <v>17688.95165883988</v>
      </c>
      <c r="CH34" s="75">
        <v>4358.7274150838766</v>
      </c>
      <c r="CI34" s="22"/>
      <c r="CJ34" s="74">
        <v>18027.382717483859</v>
      </c>
      <c r="CK34" s="75">
        <v>4697.1584737278554</v>
      </c>
      <c r="CL34" s="22"/>
      <c r="CM34" s="74">
        <v>15245.205719474605</v>
      </c>
      <c r="CN34" s="75">
        <v>1914.9814757186014</v>
      </c>
      <c r="CO34" s="22"/>
      <c r="CP34" s="74">
        <v>15408.794289480971</v>
      </c>
      <c r="CQ34" s="75">
        <v>2078.5700457249677</v>
      </c>
    </row>
    <row r="35" spans="1:95" ht="15.75" customHeight="1" x14ac:dyDescent="0.5">
      <c r="A35" s="83" t="s">
        <v>116</v>
      </c>
      <c r="B35" s="59" t="s">
        <v>117</v>
      </c>
      <c r="C35" s="104" t="s">
        <v>118</v>
      </c>
      <c r="D35" s="85"/>
      <c r="E35" s="62">
        <f>AVERAGE('Avg master'!D24:F24)</f>
        <v>2288.3333333333335</v>
      </c>
      <c r="F35" s="62">
        <f>'Avg master'!H24</f>
        <v>2288.3333333333335</v>
      </c>
      <c r="G35" s="63">
        <f t="shared" si="0"/>
        <v>8.5610993124932162E-3</v>
      </c>
      <c r="H35" s="63">
        <f t="shared" si="1"/>
        <v>8.4645137744086864E-3</v>
      </c>
      <c r="I35" s="44">
        <f t="shared" si="2"/>
        <v>-1.1281908381039625E-2</v>
      </c>
      <c r="J35" s="64">
        <v>2373</v>
      </c>
      <c r="K35" s="64">
        <v>2279</v>
      </c>
      <c r="L35" s="64">
        <v>2213</v>
      </c>
      <c r="M35" s="65">
        <f t="shared" si="3"/>
        <v>2288.3333333333335</v>
      </c>
      <c r="N35" s="66">
        <f t="shared" si="4"/>
        <v>1.965229887525299E-2</v>
      </c>
      <c r="O35" s="18"/>
      <c r="P35" s="67">
        <v>2454.2436240000002</v>
      </c>
      <c r="Q35" s="22"/>
      <c r="R35" s="68">
        <v>2613.7694595600001</v>
      </c>
      <c r="S35" s="22"/>
      <c r="T35" s="68">
        <v>2666.0448487512003</v>
      </c>
      <c r="U35" s="69">
        <f t="shared" si="5"/>
        <v>1.1650596571381793</v>
      </c>
      <c r="V35" s="46"/>
      <c r="W35" s="68">
        <f t="shared" si="6"/>
        <v>2748.6922390624873</v>
      </c>
      <c r="X35" s="68">
        <f t="shared" si="7"/>
        <v>82.647390311286927</v>
      </c>
      <c r="Y35" s="70">
        <f t="shared" si="8"/>
        <v>3.0999999999999892E-2</v>
      </c>
      <c r="Z35" s="71"/>
      <c r="AA35" s="72">
        <f t="shared" si="25"/>
        <v>2717.6817450537096</v>
      </c>
      <c r="AB35" s="68">
        <f t="shared" si="10"/>
        <v>51.636896302509285</v>
      </c>
      <c r="AC35" s="73">
        <f t="shared" si="11"/>
        <v>1.9368352459148044E-2</v>
      </c>
      <c r="AD35" s="22"/>
      <c r="AE35" s="74">
        <f>'Options 1-3'!AQ26</f>
        <v>1875.8489150873022</v>
      </c>
      <c r="AF35" s="75">
        <f t="shared" si="12"/>
        <v>-872.84332397518506</v>
      </c>
      <c r="AG35" s="69">
        <f t="shared" si="13"/>
        <v>0.81974460965213491</v>
      </c>
      <c r="AH35" s="22"/>
      <c r="AI35" s="76">
        <v>4311.2482243032564</v>
      </c>
      <c r="AJ35" s="75">
        <f t="shared" si="14"/>
        <v>1562.5559852407691</v>
      </c>
      <c r="AK35" s="69">
        <f t="shared" si="15"/>
        <v>1.8840123339999661</v>
      </c>
      <c r="AL35" s="69">
        <f t="shared" si="16"/>
        <v>1.8840123339999661</v>
      </c>
      <c r="AM35" s="77"/>
      <c r="AN35" s="76">
        <f>SUM('Options 1-3'!T26*'Summary (2)'!$AN$3)</f>
        <v>3237.3455000000004</v>
      </c>
      <c r="AO35" s="75">
        <f t="shared" si="17"/>
        <v>488.6532609375131</v>
      </c>
      <c r="AP35" s="22"/>
      <c r="AQ35" s="74">
        <f>'Op4'!AQ26</f>
        <v>4317.5218802037562</v>
      </c>
      <c r="AR35" s="75">
        <f t="shared" si="18"/>
        <v>1568.8296411412689</v>
      </c>
      <c r="AS35" s="22"/>
      <c r="AT35" s="74">
        <f>'Op5'!AQ26</f>
        <v>3713.1118756094556</v>
      </c>
      <c r="AU35" s="75">
        <f t="shared" si="19"/>
        <v>964.41963654696838</v>
      </c>
      <c r="AV35" s="22"/>
      <c r="AW35" s="74">
        <f>'Op6'!AQ26</f>
        <v>2936.9760273438351</v>
      </c>
      <c r="AX35" s="75">
        <f t="shared" si="20"/>
        <v>188.28378828134782</v>
      </c>
      <c r="AY35" s="22"/>
      <c r="AZ35" s="74">
        <f>'Op7'!AQ26</f>
        <v>3713.1118756094556</v>
      </c>
      <c r="BA35" s="75">
        <f t="shared" si="21"/>
        <v>964.41963654696838</v>
      </c>
      <c r="BB35" s="22"/>
      <c r="BC35" s="74">
        <f>'Op8'!AQ26</f>
        <v>2590.1797758824537</v>
      </c>
      <c r="BD35" s="75">
        <f t="shared" si="22"/>
        <v>-158.51246318003359</v>
      </c>
      <c r="BE35" s="75"/>
      <c r="BF35" s="74">
        <v>2625.2325021291595</v>
      </c>
      <c r="BG35" s="75">
        <v>-40.812346622040877</v>
      </c>
      <c r="BH35" s="75"/>
      <c r="BI35" s="75">
        <v>2710.0786457163849</v>
      </c>
      <c r="BJ35" s="75">
        <v>44.033796965184592</v>
      </c>
      <c r="BK35" s="75"/>
      <c r="BL35" s="74">
        <v>2998.7771905751133</v>
      </c>
      <c r="BM35" s="75">
        <v>332.73234182391298</v>
      </c>
      <c r="BN35" s="75"/>
      <c r="BO35" s="74">
        <v>2688.8739984138406</v>
      </c>
      <c r="BP35" s="75">
        <v>22.829149662640248</v>
      </c>
      <c r="BQ35" s="74">
        <v>3657.5181076109111</v>
      </c>
      <c r="BR35" s="75">
        <v>991.47325885971077</v>
      </c>
      <c r="BS35" s="75"/>
      <c r="BT35" s="74">
        <v>3620.2731124901902</v>
      </c>
      <c r="BU35" s="75">
        <v>954.22826373898988</v>
      </c>
      <c r="BV35" s="75"/>
      <c r="BW35" s="22"/>
      <c r="BX35" s="74">
        <f>'Op9'!AQ26</f>
        <v>1940.1353173264031</v>
      </c>
      <c r="BY35" s="75">
        <f t="shared" si="23"/>
        <v>-808.55692173608418</v>
      </c>
      <c r="BZ35" s="22"/>
      <c r="CA35" s="74">
        <v>2009.740339264333</v>
      </c>
      <c r="CB35" s="75">
        <v>-656.30450948686735</v>
      </c>
      <c r="CC35" s="22"/>
      <c r="CD35" s="74">
        <v>1992.0044557074202</v>
      </c>
      <c r="CE35" s="75">
        <v>-674.04039304378011</v>
      </c>
      <c r="CF35" s="22"/>
      <c r="CG35" s="74">
        <v>2280.7030005661491</v>
      </c>
      <c r="CH35" s="75">
        <v>-385.34184818505128</v>
      </c>
      <c r="CI35" s="22"/>
      <c r="CJ35" s="74">
        <v>2175.9638626931514</v>
      </c>
      <c r="CK35" s="75">
        <v>-490.08098605804889</v>
      </c>
      <c r="CL35" s="22"/>
      <c r="CM35" s="74">
        <v>2633.9617309285704</v>
      </c>
      <c r="CN35" s="75">
        <v>-32.083117822629902</v>
      </c>
      <c r="CO35" s="22"/>
      <c r="CP35" s="74">
        <v>2592.1889462897748</v>
      </c>
      <c r="CQ35" s="75">
        <v>-73.855902461425558</v>
      </c>
    </row>
    <row r="36" spans="1:95" ht="17.25" customHeight="1" x14ac:dyDescent="0.5">
      <c r="A36" s="105" t="s">
        <v>119</v>
      </c>
      <c r="B36" s="106" t="s">
        <v>120</v>
      </c>
      <c r="C36" s="107" t="s">
        <v>84</v>
      </c>
      <c r="D36" s="85"/>
      <c r="E36" s="62">
        <f>AVERAGE('Avg master'!D25:F25)</f>
        <v>128.33333333333334</v>
      </c>
      <c r="F36" s="62">
        <f>'Avg master'!H25</f>
        <v>128.33333333333334</v>
      </c>
      <c r="G36" s="63">
        <f t="shared" si="0"/>
        <v>4.8011991774361086E-4</v>
      </c>
      <c r="H36" s="63">
        <f t="shared" si="1"/>
        <v>4.7470324881971509E-4</v>
      </c>
      <c r="I36" s="44">
        <f t="shared" si="2"/>
        <v>-1.1281908381039775E-2</v>
      </c>
      <c r="J36" s="64">
        <v>131</v>
      </c>
      <c r="K36" s="64">
        <v>128</v>
      </c>
      <c r="L36" s="64">
        <v>126</v>
      </c>
      <c r="M36" s="65">
        <f t="shared" si="3"/>
        <v>128.33333333333334</v>
      </c>
      <c r="N36" s="66">
        <f t="shared" si="4"/>
        <v>1.10213183786925E-3</v>
      </c>
      <c r="O36" s="18"/>
      <c r="P36" s="67">
        <v>923.26307760000009</v>
      </c>
      <c r="Q36" s="22"/>
      <c r="R36" s="68">
        <v>983.275177644</v>
      </c>
      <c r="S36" s="22"/>
      <c r="T36" s="68">
        <v>1002.9406811968801</v>
      </c>
      <c r="U36" s="69">
        <f t="shared" si="5"/>
        <v>7.8151221911445194</v>
      </c>
      <c r="V36" s="46"/>
      <c r="W36" s="68">
        <f t="shared" si="6"/>
        <v>1034.0318423139834</v>
      </c>
      <c r="X36" s="68">
        <f t="shared" si="7"/>
        <v>31.091161117103297</v>
      </c>
      <c r="Y36" s="70">
        <f t="shared" si="8"/>
        <v>3.1000000000000014E-2</v>
      </c>
      <c r="Z36" s="71"/>
      <c r="AA36" s="72">
        <f t="shared" si="25"/>
        <v>1022.3659898059192</v>
      </c>
      <c r="AB36" s="68">
        <f t="shared" si="10"/>
        <v>19.425308609039121</v>
      </c>
      <c r="AC36" s="73">
        <f t="shared" si="11"/>
        <v>1.9368352459147958E-2</v>
      </c>
      <c r="AD36" s="22"/>
      <c r="AE36" s="74">
        <f>'Options 1-3'!AQ27</f>
        <v>105.20055823869065</v>
      </c>
      <c r="AF36" s="75">
        <f t="shared" si="12"/>
        <v>-928.83128407529273</v>
      </c>
      <c r="AG36" s="69">
        <f t="shared" si="13"/>
        <v>0.8197446096521348</v>
      </c>
      <c r="AH36" s="22"/>
      <c r="AI36" s="76">
        <v>241.78158286332902</v>
      </c>
      <c r="AJ36" s="75">
        <f t="shared" si="14"/>
        <v>-792.25025945065431</v>
      </c>
      <c r="AK36" s="69">
        <f t="shared" si="15"/>
        <v>1.8840123339999661</v>
      </c>
      <c r="AL36" s="69">
        <f t="shared" si="16"/>
        <v>1.8840123339999661</v>
      </c>
      <c r="AM36" s="77"/>
      <c r="AN36" s="76">
        <f>SUM('Options 1-3'!T27*'Summary (2)'!$AN$3)</f>
        <v>1848.4695000000002</v>
      </c>
      <c r="AO36" s="75">
        <f t="shared" si="17"/>
        <v>814.43765768601679</v>
      </c>
      <c r="AP36" s="22"/>
      <c r="AQ36" s="74">
        <f>'Op4'!AQ27</f>
        <v>823.20254972737746</v>
      </c>
      <c r="AR36" s="75">
        <f t="shared" si="18"/>
        <v>-210.8292925866059</v>
      </c>
      <c r="AS36" s="22"/>
      <c r="AT36" s="74">
        <f>'Op5'!AQ27</f>
        <v>698.7167079468685</v>
      </c>
      <c r="AU36" s="75">
        <f t="shared" si="19"/>
        <v>-335.31513436711487</v>
      </c>
      <c r="AV36" s="22"/>
      <c r="AW36" s="74">
        <f>'Op6'!AQ27</f>
        <v>1864.1951936529108</v>
      </c>
      <c r="AX36" s="75">
        <f t="shared" si="20"/>
        <v>830.16335133892744</v>
      </c>
      <c r="AY36" s="22"/>
      <c r="AZ36" s="74">
        <f>'Op7'!AQ27</f>
        <v>698.7167079468685</v>
      </c>
      <c r="BA36" s="75">
        <f t="shared" si="21"/>
        <v>-335.31513436711487</v>
      </c>
      <c r="BB36" s="22"/>
      <c r="BC36" s="74">
        <f>'Op8'!AQ27</f>
        <v>1119.3596690964487</v>
      </c>
      <c r="BD36" s="75">
        <f t="shared" si="22"/>
        <v>85.327826782465308</v>
      </c>
      <c r="BE36" s="75"/>
      <c r="BF36" s="74">
        <v>1213.6680201296558</v>
      </c>
      <c r="BG36" s="75">
        <v>210.72733893277575</v>
      </c>
      <c r="BH36" s="75"/>
      <c r="BI36" s="75">
        <v>1027.7935146961029</v>
      </c>
      <c r="BJ36" s="75">
        <v>24.852833499222811</v>
      </c>
      <c r="BK36" s="75"/>
      <c r="BL36" s="74">
        <v>1359.0097259936567</v>
      </c>
      <c r="BM36" s="75">
        <v>356.06904479677667</v>
      </c>
      <c r="BN36" s="75"/>
      <c r="BO36" s="74">
        <v>1353.5253327279338</v>
      </c>
      <c r="BP36" s="75">
        <v>350.58465153105374</v>
      </c>
      <c r="BQ36" s="74">
        <v>1833.2288593409776</v>
      </c>
      <c r="BR36" s="75">
        <v>830.28817814409751</v>
      </c>
      <c r="BS36" s="75"/>
      <c r="BT36" s="74">
        <v>1844.3272827755768</v>
      </c>
      <c r="BU36" s="75">
        <v>841.38660157869674</v>
      </c>
      <c r="BV36" s="75"/>
      <c r="BW36" s="22"/>
      <c r="BX36" s="74">
        <f>'Op9'!AQ27</f>
        <v>1088.0398474979088</v>
      </c>
      <c r="BY36" s="75">
        <f t="shared" si="23"/>
        <v>54.008005183925434</v>
      </c>
      <c r="BZ36" s="22"/>
      <c r="CA36" s="74">
        <v>1179.1502513455396</v>
      </c>
      <c r="CB36" s="75">
        <v>176.20957014865951</v>
      </c>
      <c r="CC36" s="22"/>
      <c r="CD36" s="74">
        <v>987.52278444796718</v>
      </c>
      <c r="CE36" s="75">
        <v>-15.417896748912881</v>
      </c>
      <c r="CF36" s="22"/>
      <c r="CG36" s="74">
        <v>1318.7389957455212</v>
      </c>
      <c r="CH36" s="75">
        <v>315.79831454864109</v>
      </c>
      <c r="CI36" s="22"/>
      <c r="CJ36" s="74">
        <v>1324.7605254078371</v>
      </c>
      <c r="CK36" s="75">
        <v>321.81984421095706</v>
      </c>
      <c r="CL36" s="22"/>
      <c r="CM36" s="74">
        <v>1775.826207480424</v>
      </c>
      <c r="CN36" s="75">
        <v>772.88552628354398</v>
      </c>
      <c r="CO36" s="22"/>
      <c r="CP36" s="74">
        <v>1786.6707053557429</v>
      </c>
      <c r="CQ36" s="75">
        <v>783.73002415886288</v>
      </c>
    </row>
    <row r="37" spans="1:95" ht="15.75" customHeight="1" x14ac:dyDescent="0.5">
      <c r="A37" s="108" t="s">
        <v>121</v>
      </c>
      <c r="B37" s="106" t="s">
        <v>122</v>
      </c>
      <c r="C37" s="109" t="s">
        <v>69</v>
      </c>
      <c r="D37" s="61"/>
      <c r="E37" s="62">
        <f>AVERAGE('Avg master'!D26:F26)</f>
        <v>879</v>
      </c>
      <c r="F37" s="62">
        <f>'Avg master'!H26</f>
        <v>860</v>
      </c>
      <c r="G37" s="63">
        <f t="shared" si="0"/>
        <v>3.2885096703633809E-3</v>
      </c>
      <c r="H37" s="63">
        <f t="shared" si="1"/>
        <v>3.1811282648178305E-3</v>
      </c>
      <c r="I37" s="44">
        <f t="shared" si="2"/>
        <v>-3.2653516732302858E-2</v>
      </c>
      <c r="J37" s="64">
        <v>385</v>
      </c>
      <c r="K37" s="64">
        <v>316</v>
      </c>
      <c r="L37" s="64">
        <v>237</v>
      </c>
      <c r="M37" s="65">
        <f t="shared" si="3"/>
        <v>312.66666666666669</v>
      </c>
      <c r="N37" s="66">
        <f t="shared" si="4"/>
        <v>2.6851939322632638E-3</v>
      </c>
      <c r="O37" s="18"/>
      <c r="P37" s="110"/>
      <c r="Q37" s="22"/>
      <c r="R37" s="111">
        <v>1568.7449999999999</v>
      </c>
      <c r="S37" s="22"/>
      <c r="T37" s="111">
        <v>1600.1198999999999</v>
      </c>
      <c r="U37" s="69">
        <f t="shared" si="5"/>
        <v>1.8606045348837208</v>
      </c>
      <c r="V37" s="46"/>
      <c r="W37" s="68">
        <f t="shared" si="6"/>
        <v>1649.7236168999998</v>
      </c>
      <c r="X37" s="68">
        <f t="shared" si="7"/>
        <v>49.603716899999881</v>
      </c>
      <c r="Y37" s="70">
        <f t="shared" si="8"/>
        <v>3.0999999999999927E-2</v>
      </c>
      <c r="Z37" s="71"/>
      <c r="AA37" s="72">
        <f t="shared" si="25"/>
        <v>1595.8543391718804</v>
      </c>
      <c r="AB37" s="68">
        <f t="shared" si="10"/>
        <v>-4.2655608281195327</v>
      </c>
      <c r="AC37" s="73">
        <f t="shared" si="11"/>
        <v>-2.6657757510043672E-3</v>
      </c>
      <c r="AD37" s="22"/>
      <c r="AE37" s="74">
        <f>'Options 1-3'!AQ28</f>
        <v>704.98036430083596</v>
      </c>
      <c r="AF37" s="75">
        <f t="shared" si="12"/>
        <v>-944.74325259916384</v>
      </c>
      <c r="AG37" s="69">
        <f t="shared" si="13"/>
        <v>0.8197446096521348</v>
      </c>
      <c r="AH37" s="22"/>
      <c r="AI37" s="76">
        <v>589.06785643065621</v>
      </c>
      <c r="AJ37" s="75">
        <f t="shared" si="14"/>
        <v>-1060.6557604693435</v>
      </c>
      <c r="AK37" s="69">
        <f t="shared" si="15"/>
        <v>0.68496262375657702</v>
      </c>
      <c r="AL37" s="69">
        <f t="shared" si="16"/>
        <v>1.8840123339999664</v>
      </c>
      <c r="AM37" s="77"/>
      <c r="AN37" s="76">
        <f>SUM('Options 1-3'!T28*'Summary (2)'!$AN$3)</f>
        <v>662</v>
      </c>
      <c r="AO37" s="75">
        <f t="shared" si="17"/>
        <v>-987.7236168999998</v>
      </c>
      <c r="AP37" s="22"/>
      <c r="AQ37" s="74">
        <f>'Op4'!AQ28</f>
        <v>1121.4060358004388</v>
      </c>
      <c r="AR37" s="75">
        <f t="shared" si="18"/>
        <v>-528.31758109956104</v>
      </c>
      <c r="AS37" s="22"/>
      <c r="AT37" s="74">
        <f>'Op5'!AQ28</f>
        <v>1171.5317921722335</v>
      </c>
      <c r="AU37" s="75">
        <f t="shared" si="19"/>
        <v>-478.19182472776629</v>
      </c>
      <c r="AV37" s="22"/>
      <c r="AW37" s="74">
        <f>'Op6'!AQ28</f>
        <v>1224.8064096300852</v>
      </c>
      <c r="AX37" s="75">
        <f t="shared" si="20"/>
        <v>-424.91720726991457</v>
      </c>
      <c r="AY37" s="22"/>
      <c r="AZ37" s="74">
        <f>'Op7'!AQ28</f>
        <v>1171.5317921722335</v>
      </c>
      <c r="BA37" s="75">
        <f t="shared" si="21"/>
        <v>-478.19182472776629</v>
      </c>
      <c r="BB37" s="22"/>
      <c r="BC37" s="74">
        <f>'Op8'!AQ28</f>
        <v>1288.7758970044997</v>
      </c>
      <c r="BD37" s="75">
        <f t="shared" si="22"/>
        <v>-360.94771989550009</v>
      </c>
      <c r="BE37" s="75"/>
      <c r="BF37" s="74">
        <v>1433.70431168099</v>
      </c>
      <c r="BG37" s="75">
        <v>-166.41558831900988</v>
      </c>
      <c r="BH37" s="75"/>
      <c r="BI37" s="75">
        <v>1151.0738403066525</v>
      </c>
      <c r="BJ37" s="75">
        <v>-449.04605969334739</v>
      </c>
      <c r="BK37" s="75"/>
      <c r="BL37" s="74">
        <v>1461.650987670783</v>
      </c>
      <c r="BM37" s="75">
        <v>-138.46891232921689</v>
      </c>
      <c r="BN37" s="75"/>
      <c r="BO37" s="74">
        <v>1447.1982717134977</v>
      </c>
      <c r="BP37" s="75">
        <v>-152.92162828650225</v>
      </c>
      <c r="BQ37" s="74">
        <v>2170.7212188321319</v>
      </c>
      <c r="BR37" s="75">
        <v>570.60131883213194</v>
      </c>
      <c r="BS37" s="75"/>
      <c r="BT37" s="74">
        <v>2245.2230511461921</v>
      </c>
      <c r="BU37" s="75">
        <v>645.1031511461922</v>
      </c>
      <c r="BV37" s="75"/>
      <c r="BW37" s="22"/>
      <c r="BX37" s="74">
        <f>'Op9'!AQ28</f>
        <v>1351.8854305690702</v>
      </c>
      <c r="BY37" s="75">
        <f t="shared" si="23"/>
        <v>-297.8381863309296</v>
      </c>
      <c r="BZ37" s="22"/>
      <c r="CA37" s="74">
        <v>1482.5186599762026</v>
      </c>
      <c r="CB37" s="75">
        <v>-117.60124002379735</v>
      </c>
      <c r="CC37" s="22"/>
      <c r="CD37" s="74">
        <v>1208.0239133177338</v>
      </c>
      <c r="CE37" s="75">
        <v>-392.09598668226613</v>
      </c>
      <c r="CF37" s="22"/>
      <c r="CG37" s="74">
        <v>1518.6010606818645</v>
      </c>
      <c r="CH37" s="75">
        <v>-81.518839318135406</v>
      </c>
      <c r="CI37" s="22"/>
      <c r="CJ37" s="74">
        <v>1487.8768952928415</v>
      </c>
      <c r="CK37" s="75">
        <v>-112.24300470715843</v>
      </c>
      <c r="CL37" s="22"/>
      <c r="CM37" s="74">
        <v>2251.8989177301933</v>
      </c>
      <c r="CN37" s="75">
        <v>651.77901773019335</v>
      </c>
      <c r="CO37" s="22"/>
      <c r="CP37" s="74">
        <v>2326.7598465655055</v>
      </c>
      <c r="CQ37" s="75">
        <v>726.63994656550562</v>
      </c>
    </row>
    <row r="38" spans="1:95" ht="15.75" customHeight="1" x14ac:dyDescent="0.5">
      <c r="A38" s="83" t="s">
        <v>123</v>
      </c>
      <c r="B38" s="90" t="s">
        <v>124</v>
      </c>
      <c r="C38" s="61" t="s">
        <v>89</v>
      </c>
      <c r="D38" s="85"/>
      <c r="E38" s="62">
        <f>AVERAGE('Avg master'!D27:F27)</f>
        <v>2</v>
      </c>
      <c r="F38" s="62">
        <f>'Avg master'!H27</f>
        <v>2</v>
      </c>
      <c r="G38" s="63">
        <f t="shared" si="0"/>
        <v>7.4823883284718564E-6</v>
      </c>
      <c r="H38" s="63">
        <f t="shared" si="1"/>
        <v>7.3979727088786762E-6</v>
      </c>
      <c r="I38" s="44">
        <f t="shared" si="2"/>
        <v>-1.1281908381039683E-2</v>
      </c>
      <c r="J38" s="64">
        <v>2</v>
      </c>
      <c r="K38" s="64">
        <v>2</v>
      </c>
      <c r="L38" s="64">
        <v>2</v>
      </c>
      <c r="M38" s="65">
        <f t="shared" si="3"/>
        <v>2</v>
      </c>
      <c r="N38" s="66">
        <f t="shared" si="4"/>
        <v>1.717608059017013E-5</v>
      </c>
      <c r="O38" s="18"/>
      <c r="P38" s="67">
        <v>368.1365436000001</v>
      </c>
      <c r="Q38" s="22"/>
      <c r="R38" s="68">
        <v>392.06541893400009</v>
      </c>
      <c r="S38" s="22"/>
      <c r="T38" s="68">
        <v>399.90672731268012</v>
      </c>
      <c r="U38" s="69">
        <f t="shared" si="5"/>
        <v>199.95336365634006</v>
      </c>
      <c r="V38" s="46"/>
      <c r="W38" s="68">
        <f t="shared" si="6"/>
        <v>412.30383585937318</v>
      </c>
      <c r="X38" s="68">
        <f t="shared" si="7"/>
        <v>12.397108546693062</v>
      </c>
      <c r="Y38" s="70">
        <f t="shared" si="8"/>
        <v>3.0999999999999944E-2</v>
      </c>
      <c r="Z38" s="71"/>
      <c r="AA38" s="92">
        <f>$AA$7</f>
        <v>424</v>
      </c>
      <c r="AB38" s="68">
        <f t="shared" si="10"/>
        <v>24.093272687319882</v>
      </c>
      <c r="AC38" s="73">
        <f t="shared" si="11"/>
        <v>6.0247230270977087E-2</v>
      </c>
      <c r="AD38" s="22"/>
      <c r="AE38" s="74">
        <f>'Options 1-3'!AQ29</f>
        <v>1.6394892193042698</v>
      </c>
      <c r="AF38" s="75">
        <f t="shared" si="12"/>
        <v>-410.66434664006891</v>
      </c>
      <c r="AG38" s="69">
        <f t="shared" si="13"/>
        <v>0.81974460965213491</v>
      </c>
      <c r="AH38" s="22"/>
      <c r="AI38" s="76">
        <v>3.7680246679999327</v>
      </c>
      <c r="AJ38" s="75">
        <f t="shared" si="14"/>
        <v>-408.53581119137323</v>
      </c>
      <c r="AK38" s="69">
        <f t="shared" si="15"/>
        <v>1.8840123339999664</v>
      </c>
      <c r="AL38" s="69">
        <f t="shared" si="16"/>
        <v>1.8840123339999664</v>
      </c>
      <c r="AM38" s="77"/>
      <c r="AN38" s="76">
        <f>SUM('Options 1-3'!T29*'Summary (2)'!$AN$3)</f>
        <v>323.387</v>
      </c>
      <c r="AO38" s="75">
        <f t="shared" si="17"/>
        <v>-88.91683585937318</v>
      </c>
      <c r="AP38" s="22"/>
      <c r="AQ38" s="74">
        <f>'Op4'!AQ29</f>
        <v>618.82800863933005</v>
      </c>
      <c r="AR38" s="75">
        <f t="shared" si="18"/>
        <v>206.52417277995687</v>
      </c>
      <c r="AS38" s="22"/>
      <c r="AT38" s="74">
        <f>'Op5'!AQ29</f>
        <v>565.2397464808389</v>
      </c>
      <c r="AU38" s="75">
        <f t="shared" si="19"/>
        <v>152.93591062146572</v>
      </c>
      <c r="AV38" s="22"/>
      <c r="AW38" s="74">
        <f>'Op6'!AQ29</f>
        <v>797.060389128314</v>
      </c>
      <c r="AX38" s="75">
        <f t="shared" si="20"/>
        <v>384.75655326894082</v>
      </c>
      <c r="AY38" s="22"/>
      <c r="AZ38" s="74">
        <f>'Op7'!AQ29</f>
        <v>565.2397464808389</v>
      </c>
      <c r="BA38" s="75">
        <f t="shared" si="21"/>
        <v>152.93591062146572</v>
      </c>
      <c r="BB38" s="22"/>
      <c r="BC38" s="93">
        <f>'Op8'!AQ29</f>
        <v>793.53622544658322</v>
      </c>
      <c r="BD38" s="75">
        <f t="shared" si="22"/>
        <v>381.23238958721004</v>
      </c>
      <c r="BE38" s="75"/>
      <c r="BF38" s="93">
        <v>952.91137609938198</v>
      </c>
      <c r="BG38" s="75">
        <v>553.00464878670186</v>
      </c>
      <c r="BH38" s="75"/>
      <c r="BI38" s="75">
        <v>634.03794373415019</v>
      </c>
      <c r="BJ38" s="75">
        <v>234.13121642147007</v>
      </c>
      <c r="BK38" s="75"/>
      <c r="BL38" s="93">
        <v>979.81499970253492</v>
      </c>
      <c r="BM38" s="75">
        <v>579.9082723898548</v>
      </c>
      <c r="BN38" s="75"/>
      <c r="BO38" s="93">
        <v>980.06126182180355</v>
      </c>
      <c r="BP38" s="75">
        <v>580.15453450912344</v>
      </c>
      <c r="BQ38" s="93">
        <v>1756.4960558147345</v>
      </c>
      <c r="BR38" s="75">
        <v>1356.5893285020543</v>
      </c>
      <c r="BS38" s="75"/>
      <c r="BT38" s="93">
        <v>1796.1466637605167</v>
      </c>
      <c r="BU38" s="75">
        <v>1396.2399364478365</v>
      </c>
      <c r="BV38" s="75"/>
      <c r="BW38" s="22"/>
      <c r="BX38" s="74">
        <f>'Op9'!AQ29</f>
        <v>810.64277033641417</v>
      </c>
      <c r="BY38" s="75">
        <f t="shared" si="23"/>
        <v>398.33893447704099</v>
      </c>
      <c r="BZ38" s="22"/>
      <c r="CA38" s="74">
        <v>952.37343684560346</v>
      </c>
      <c r="CB38" s="75">
        <v>552.46670953292335</v>
      </c>
      <c r="CC38" s="22"/>
      <c r="CD38" s="74">
        <v>633.41034793807535</v>
      </c>
      <c r="CE38" s="75">
        <v>233.50362062539523</v>
      </c>
      <c r="CF38" s="22"/>
      <c r="CG38" s="74">
        <v>979.18740390646008</v>
      </c>
      <c r="CH38" s="75">
        <v>579.28067659377996</v>
      </c>
      <c r="CI38" s="22"/>
      <c r="CJ38" s="74">
        <v>979.61297911032148</v>
      </c>
      <c r="CK38" s="75">
        <v>579.70625179764136</v>
      </c>
      <c r="CL38" s="22"/>
      <c r="CM38" s="74">
        <v>1755.6014690324921</v>
      </c>
      <c r="CN38" s="75">
        <v>1355.6947417198121</v>
      </c>
      <c r="CO38" s="22"/>
      <c r="CP38" s="74">
        <v>1795.2481196968311</v>
      </c>
      <c r="CQ38" s="75">
        <v>1395.3413923841508</v>
      </c>
    </row>
    <row r="39" spans="1:95" ht="15.75" customHeight="1" x14ac:dyDescent="0.5">
      <c r="A39" s="83" t="s">
        <v>125</v>
      </c>
      <c r="B39" s="59" t="s">
        <v>126</v>
      </c>
      <c r="C39" s="112" t="s">
        <v>69</v>
      </c>
      <c r="D39" s="85"/>
      <c r="E39" s="62">
        <f>AVERAGE('Avg master'!D28:F28)</f>
        <v>1120</v>
      </c>
      <c r="F39" s="62">
        <f>'Avg master'!H28</f>
        <v>1120</v>
      </c>
      <c r="G39" s="63">
        <f t="shared" si="0"/>
        <v>4.1901374639442398E-3</v>
      </c>
      <c r="H39" s="63">
        <f t="shared" si="1"/>
        <v>4.1428647169720586E-3</v>
      </c>
      <c r="I39" s="44">
        <f t="shared" si="2"/>
        <v>-1.1281908381039776E-2</v>
      </c>
      <c r="J39" s="64">
        <v>827</v>
      </c>
      <c r="K39" s="64">
        <v>608</v>
      </c>
      <c r="L39" s="64">
        <v>475</v>
      </c>
      <c r="M39" s="65">
        <f t="shared" si="3"/>
        <v>636.66666666666663</v>
      </c>
      <c r="N39" s="66">
        <f t="shared" si="4"/>
        <v>5.4677189878708241E-3</v>
      </c>
      <c r="O39" s="18"/>
      <c r="P39" s="67">
        <v>1473</v>
      </c>
      <c r="Q39" s="22"/>
      <c r="R39" s="68">
        <v>1568.7449999999999</v>
      </c>
      <c r="S39" s="22"/>
      <c r="T39" s="68">
        <v>1600.1198999999999</v>
      </c>
      <c r="U39" s="69">
        <f t="shared" si="5"/>
        <v>1.4286784821428571</v>
      </c>
      <c r="V39" s="46"/>
      <c r="W39" s="68">
        <f t="shared" si="6"/>
        <v>1649.7236168999998</v>
      </c>
      <c r="X39" s="68">
        <f t="shared" si="7"/>
        <v>49.603716899999881</v>
      </c>
      <c r="Y39" s="70">
        <f t="shared" si="8"/>
        <v>3.0999999999999927E-2</v>
      </c>
      <c r="Z39" s="71"/>
      <c r="AA39" s="72">
        <f>SUM(W39*(1+I39))</f>
        <v>1631.1115862000963</v>
      </c>
      <c r="AB39" s="68">
        <f t="shared" si="10"/>
        <v>30.99168620009641</v>
      </c>
      <c r="AC39" s="73">
        <f t="shared" si="11"/>
        <v>1.936835245914785E-2</v>
      </c>
      <c r="AD39" s="22"/>
      <c r="AE39" s="74">
        <f>'Options 1-3'!AQ30</f>
        <v>918.11396281039106</v>
      </c>
      <c r="AF39" s="75">
        <f t="shared" si="12"/>
        <v>-731.60965408960874</v>
      </c>
      <c r="AG39" s="69">
        <f t="shared" si="13"/>
        <v>0.81974460965213491</v>
      </c>
      <c r="AH39" s="22"/>
      <c r="AI39" s="76">
        <v>1199.487852646645</v>
      </c>
      <c r="AJ39" s="75">
        <f t="shared" si="14"/>
        <v>-450.23576425335477</v>
      </c>
      <c r="AK39" s="69">
        <f t="shared" si="15"/>
        <v>1.0709712970059331</v>
      </c>
      <c r="AL39" s="69">
        <f t="shared" si="16"/>
        <v>1.8840123339999661</v>
      </c>
      <c r="AM39" s="77"/>
      <c r="AN39" s="76">
        <f>SUM('Options 1-3'!T30*'Summary (2)'!$AN$3)</f>
        <v>2367.8085000000001</v>
      </c>
      <c r="AO39" s="75">
        <f t="shared" si="17"/>
        <v>718.0848831000003</v>
      </c>
      <c r="AP39" s="22"/>
      <c r="AQ39" s="74">
        <f>'Op4'!AQ30</f>
        <v>1645.5539353718955</v>
      </c>
      <c r="AR39" s="75">
        <f t="shared" si="18"/>
        <v>-4.16968152810432</v>
      </c>
      <c r="AS39" s="22"/>
      <c r="AT39" s="74">
        <f>'Op5'!AQ30</f>
        <v>2141.8937902906664</v>
      </c>
      <c r="AU39" s="75">
        <f t="shared" si="19"/>
        <v>492.1701733906666</v>
      </c>
      <c r="AV39" s="22"/>
      <c r="AW39" s="74">
        <f>'Op6'!AQ30</f>
        <v>2990.0397766333226</v>
      </c>
      <c r="AX39" s="75">
        <f t="shared" si="20"/>
        <v>1340.3161597333228</v>
      </c>
      <c r="AY39" s="22"/>
      <c r="AZ39" s="74">
        <f>'Op7'!AQ30</f>
        <v>2141.8937902906664</v>
      </c>
      <c r="BA39" s="75">
        <f t="shared" si="21"/>
        <v>492.1701733906666</v>
      </c>
      <c r="BB39" s="22"/>
      <c r="BC39" s="74">
        <f>'Op8'!AQ30</f>
        <v>2625.4097297526732</v>
      </c>
      <c r="BD39" s="75">
        <f t="shared" si="22"/>
        <v>975.68611285267343</v>
      </c>
      <c r="BE39" s="75"/>
      <c r="BF39" s="74">
        <v>2697.5607701829199</v>
      </c>
      <c r="BG39" s="75">
        <v>1097.44087018292</v>
      </c>
      <c r="BH39" s="75"/>
      <c r="BI39" s="75">
        <v>2526.2756549627265</v>
      </c>
      <c r="BJ39" s="75">
        <v>926.15575496272663</v>
      </c>
      <c r="BK39" s="75"/>
      <c r="BL39" s="74">
        <v>2716.3935478500161</v>
      </c>
      <c r="BM39" s="75">
        <v>1116.2736478500162</v>
      </c>
      <c r="BN39" s="75"/>
      <c r="BO39" s="74">
        <v>2770.3596165694153</v>
      </c>
      <c r="BP39" s="75">
        <v>1170.2397165694154</v>
      </c>
      <c r="BQ39" s="74">
        <v>2857.8744871567715</v>
      </c>
      <c r="BR39" s="75">
        <v>1257.7545871567715</v>
      </c>
      <c r="BS39" s="75"/>
      <c r="BT39" s="74">
        <v>3134.5248066875338</v>
      </c>
      <c r="BU39" s="75">
        <v>1534.4049066875339</v>
      </c>
      <c r="BV39" s="75"/>
      <c r="BW39" s="22"/>
      <c r="BX39" s="74">
        <f>'Op9'!AQ30</f>
        <v>2688.4178565234433</v>
      </c>
      <c r="BY39" s="75">
        <f t="shared" si="23"/>
        <v>1038.6942396234435</v>
      </c>
      <c r="BZ39" s="22"/>
      <c r="CA39" s="74">
        <v>2676.4727719381162</v>
      </c>
      <c r="CB39" s="75">
        <v>1076.3528719381163</v>
      </c>
      <c r="CC39" s="22"/>
      <c r="CD39" s="74">
        <v>2501.672990343789</v>
      </c>
      <c r="CE39" s="75">
        <v>901.55309034378911</v>
      </c>
      <c r="CF39" s="22"/>
      <c r="CG39" s="74">
        <v>2691.7908832310786</v>
      </c>
      <c r="CH39" s="75">
        <v>1091.6709832310787</v>
      </c>
      <c r="CI39" s="22"/>
      <c r="CJ39" s="74">
        <v>2752.7862846987455</v>
      </c>
      <c r="CK39" s="75">
        <v>1152.6663846987456</v>
      </c>
      <c r="CL39" s="22"/>
      <c r="CM39" s="74">
        <v>2822.805388998856</v>
      </c>
      <c r="CN39" s="75">
        <v>1222.685488998856</v>
      </c>
      <c r="CO39" s="22"/>
      <c r="CP39" s="74">
        <v>3099.3005773627719</v>
      </c>
      <c r="CQ39" s="75">
        <v>1499.180677362772</v>
      </c>
    </row>
    <row r="40" spans="1:95" ht="15.75" customHeight="1" x14ac:dyDescent="0.5">
      <c r="A40" s="95" t="s">
        <v>127</v>
      </c>
      <c r="B40" s="90" t="s">
        <v>128</v>
      </c>
      <c r="C40" s="61" t="s">
        <v>89</v>
      </c>
      <c r="D40" s="61"/>
      <c r="E40" s="62">
        <f>AVERAGE('Avg master'!D29:F29)</f>
        <v>1</v>
      </c>
      <c r="F40" s="62">
        <f>'Avg master'!H29</f>
        <v>1</v>
      </c>
      <c r="G40" s="63">
        <f t="shared" si="0"/>
        <v>3.7411941642359282E-6</v>
      </c>
      <c r="H40" s="63">
        <f t="shared" si="1"/>
        <v>3.6989863544393381E-6</v>
      </c>
      <c r="I40" s="44">
        <f t="shared" si="2"/>
        <v>-1.1281908381039683E-2</v>
      </c>
      <c r="J40" s="64">
        <v>1</v>
      </c>
      <c r="K40" s="64">
        <v>1</v>
      </c>
      <c r="L40" s="64">
        <v>1</v>
      </c>
      <c r="M40" s="65">
        <f t="shared" si="3"/>
        <v>1</v>
      </c>
      <c r="N40" s="66">
        <f t="shared" si="4"/>
        <v>8.5880402950850649E-6</v>
      </c>
      <c r="O40" s="18"/>
      <c r="P40" s="67">
        <v>368.1365436000001</v>
      </c>
      <c r="Q40" s="22"/>
      <c r="R40" s="68">
        <v>392.06541893400009</v>
      </c>
      <c r="S40" s="22"/>
      <c r="T40" s="68">
        <v>399.90672731268012</v>
      </c>
      <c r="U40" s="69">
        <f t="shared" si="5"/>
        <v>399.90672731268012</v>
      </c>
      <c r="V40" s="46"/>
      <c r="W40" s="68">
        <f t="shared" si="6"/>
        <v>412.30383585937318</v>
      </c>
      <c r="X40" s="68">
        <f t="shared" si="7"/>
        <v>12.397108546693062</v>
      </c>
      <c r="Y40" s="70">
        <f t="shared" si="8"/>
        <v>3.0999999999999944E-2</v>
      </c>
      <c r="Z40" s="71"/>
      <c r="AA40" s="92">
        <f>$AA$7</f>
        <v>424</v>
      </c>
      <c r="AB40" s="68">
        <f t="shared" si="10"/>
        <v>24.093272687319882</v>
      </c>
      <c r="AC40" s="73">
        <f t="shared" si="11"/>
        <v>6.0247230270977087E-2</v>
      </c>
      <c r="AD40" s="22"/>
      <c r="AE40" s="74">
        <f>'Options 1-3'!AQ31</f>
        <v>0.81974460965213491</v>
      </c>
      <c r="AF40" s="75">
        <f t="shared" si="12"/>
        <v>-411.48409124972102</v>
      </c>
      <c r="AG40" s="69">
        <f t="shared" si="13"/>
        <v>0.81974460965213491</v>
      </c>
      <c r="AH40" s="22"/>
      <c r="AI40" s="76">
        <v>1.8840123339999664</v>
      </c>
      <c r="AJ40" s="75">
        <f t="shared" si="14"/>
        <v>-410.4198235253732</v>
      </c>
      <c r="AK40" s="69">
        <f t="shared" si="15"/>
        <v>1.8840123339999664</v>
      </c>
      <c r="AL40" s="69">
        <f t="shared" si="16"/>
        <v>1.8840123339999664</v>
      </c>
      <c r="AM40" s="77"/>
      <c r="AN40" s="76">
        <f>SUM('Options 1-3'!T31*'Summary (2)'!$AN$3)</f>
        <v>317.09800000000001</v>
      </c>
      <c r="AO40" s="75">
        <f t="shared" si="17"/>
        <v>-95.205835859373167</v>
      </c>
      <c r="AP40" s="22"/>
      <c r="AQ40" s="74">
        <f>'Op4'!AQ31</f>
        <v>617.21026820855388</v>
      </c>
      <c r="AR40" s="75">
        <f t="shared" si="18"/>
        <v>204.9064323491807</v>
      </c>
      <c r="AS40" s="22"/>
      <c r="AT40" s="74">
        <f>'Op5'!AQ31</f>
        <v>520.88209257191772</v>
      </c>
      <c r="AU40" s="75">
        <f t="shared" si="19"/>
        <v>108.57825671254454</v>
      </c>
      <c r="AV40" s="22"/>
      <c r="AW40" s="74">
        <f>'Op6'!AQ31</f>
        <v>749.5066105671192</v>
      </c>
      <c r="AX40" s="75">
        <f t="shared" si="20"/>
        <v>337.20277470774602</v>
      </c>
      <c r="AY40" s="22"/>
      <c r="AZ40" s="74">
        <f>'Op7'!AQ31</f>
        <v>520.88209257191772</v>
      </c>
      <c r="BA40" s="75">
        <f t="shared" si="21"/>
        <v>108.57825671254454</v>
      </c>
      <c r="BB40" s="22"/>
      <c r="BC40" s="93">
        <f>'Op8'!AQ31</f>
        <v>747.28620901503155</v>
      </c>
      <c r="BD40" s="75">
        <f t="shared" si="22"/>
        <v>334.98237315565837</v>
      </c>
      <c r="BE40" s="75"/>
      <c r="BF40" s="93">
        <v>906.92967636729259</v>
      </c>
      <c r="BG40" s="75">
        <v>507.02294905461247</v>
      </c>
      <c r="BH40" s="75"/>
      <c r="BI40" s="75">
        <v>587.72305102974622</v>
      </c>
      <c r="BJ40" s="75">
        <v>187.8163237170661</v>
      </c>
      <c r="BK40" s="75"/>
      <c r="BL40" s="93">
        <v>934.06760658530175</v>
      </c>
      <c r="BM40" s="75">
        <v>534.16087927262163</v>
      </c>
      <c r="BN40" s="75"/>
      <c r="BO40" s="93">
        <v>933.90698785135066</v>
      </c>
      <c r="BP40" s="75">
        <v>534.00026053867055</v>
      </c>
      <c r="BQ40" s="93">
        <v>1728.7023398314579</v>
      </c>
      <c r="BR40" s="75">
        <v>1328.7956125187779</v>
      </c>
      <c r="BS40" s="75"/>
      <c r="BT40" s="93">
        <v>1736.3494030636084</v>
      </c>
      <c r="BU40" s="75">
        <v>1336.4426757509282</v>
      </c>
      <c r="BV40" s="75"/>
      <c r="BW40" s="22"/>
      <c r="BX40" s="74">
        <f>'Op9'!AQ31</f>
        <v>748.66048415708201</v>
      </c>
      <c r="BY40" s="75">
        <f t="shared" si="23"/>
        <v>336.35664829770883</v>
      </c>
      <c r="BZ40" s="22"/>
      <c r="CA40" s="74">
        <v>906.66070674040338</v>
      </c>
      <c r="CB40" s="75">
        <v>506.75397942772327</v>
      </c>
      <c r="CC40" s="22"/>
      <c r="CD40" s="74">
        <v>587.40925313170885</v>
      </c>
      <c r="CE40" s="75">
        <v>187.50252581902873</v>
      </c>
      <c r="CF40" s="22"/>
      <c r="CG40" s="74">
        <v>933.75380868726438</v>
      </c>
      <c r="CH40" s="75">
        <v>533.84708137458426</v>
      </c>
      <c r="CI40" s="22"/>
      <c r="CJ40" s="74">
        <v>933.68284649560974</v>
      </c>
      <c r="CK40" s="75">
        <v>533.77611918292962</v>
      </c>
      <c r="CL40" s="22"/>
      <c r="CM40" s="74">
        <v>1728.2550464403369</v>
      </c>
      <c r="CN40" s="75">
        <v>1328.3483191276569</v>
      </c>
      <c r="CO40" s="22"/>
      <c r="CP40" s="74">
        <v>1735.9001310317656</v>
      </c>
      <c r="CQ40" s="75">
        <v>1335.9934037190856</v>
      </c>
    </row>
    <row r="41" spans="1:95" ht="15.75" customHeight="1" x14ac:dyDescent="0.5">
      <c r="A41" s="86" t="s">
        <v>129</v>
      </c>
      <c r="B41" s="89" t="s">
        <v>130</v>
      </c>
      <c r="C41" s="113" t="s">
        <v>78</v>
      </c>
      <c r="D41" s="114"/>
      <c r="E41" s="62">
        <f>AVERAGE('Avg master'!D30:F30)</f>
        <v>1470</v>
      </c>
      <c r="F41" s="62">
        <f>'Avg master'!H30</f>
        <v>1470</v>
      </c>
      <c r="G41" s="63">
        <f t="shared" si="0"/>
        <v>5.499555421426815E-3</v>
      </c>
      <c r="H41" s="63">
        <f t="shared" si="1"/>
        <v>5.4375099410258268E-3</v>
      </c>
      <c r="I41" s="44">
        <f t="shared" si="2"/>
        <v>-1.1281908381039834E-2</v>
      </c>
      <c r="J41" s="64">
        <v>2443</v>
      </c>
      <c r="K41" s="64">
        <v>1271</v>
      </c>
      <c r="L41" s="64">
        <v>696</v>
      </c>
      <c r="M41" s="65">
        <f t="shared" si="3"/>
        <v>1470</v>
      </c>
      <c r="N41" s="66">
        <f t="shared" si="4"/>
        <v>1.2624419233775044E-2</v>
      </c>
      <c r="O41" s="18"/>
      <c r="P41" s="67">
        <v>4908.4872480000004</v>
      </c>
      <c r="Q41" s="22"/>
      <c r="R41" s="68">
        <v>5227.5389191200002</v>
      </c>
      <c r="S41" s="22"/>
      <c r="T41" s="68">
        <v>5332.0896975024007</v>
      </c>
      <c r="U41" s="69">
        <f t="shared" si="5"/>
        <v>3.6272719030628577</v>
      </c>
      <c r="V41" s="46"/>
      <c r="W41" s="68">
        <f t="shared" si="6"/>
        <v>5497.3844781249745</v>
      </c>
      <c r="X41" s="68">
        <f t="shared" si="7"/>
        <v>165.29478062257385</v>
      </c>
      <c r="Y41" s="70">
        <f t="shared" si="8"/>
        <v>3.0999999999999892E-2</v>
      </c>
      <c r="Z41" s="71"/>
      <c r="AA41" s="72">
        <f t="shared" ref="AA41:AA55" si="26">SUM(W41*(1+I41))</f>
        <v>5435.3634901074183</v>
      </c>
      <c r="AB41" s="68">
        <f t="shared" si="10"/>
        <v>103.27379260501766</v>
      </c>
      <c r="AC41" s="73">
        <f t="shared" si="11"/>
        <v>1.9368352459147874E-2</v>
      </c>
      <c r="AD41" s="22"/>
      <c r="AE41" s="74">
        <f>'Options 1-3'!AQ32</f>
        <v>1205.0245761886383</v>
      </c>
      <c r="AF41" s="75">
        <f t="shared" si="12"/>
        <v>-4292.3599019363364</v>
      </c>
      <c r="AG41" s="69">
        <f t="shared" si="13"/>
        <v>0.81974460965213491</v>
      </c>
      <c r="AH41" s="22"/>
      <c r="AI41" s="76">
        <v>2769.49813097995</v>
      </c>
      <c r="AJ41" s="75">
        <f t="shared" si="14"/>
        <v>-2727.8863471450245</v>
      </c>
      <c r="AK41" s="69">
        <f t="shared" si="15"/>
        <v>1.8840123339999659</v>
      </c>
      <c r="AL41" s="69">
        <f t="shared" si="16"/>
        <v>1.8840123339999659</v>
      </c>
      <c r="AM41" s="77"/>
      <c r="AN41" s="76">
        <f>SUM('Options 1-3'!T32*'Summary (2)'!$AN$3)</f>
        <v>1263.2615000000001</v>
      </c>
      <c r="AO41" s="75">
        <f t="shared" si="17"/>
        <v>-4234.1229781249749</v>
      </c>
      <c r="AP41" s="22"/>
      <c r="AQ41" s="74">
        <f>'Op4'!AQ32</f>
        <v>2993.6709610186463</v>
      </c>
      <c r="AR41" s="75">
        <f t="shared" si="18"/>
        <v>-2503.7135171063283</v>
      </c>
      <c r="AS41" s="22"/>
      <c r="AT41" s="74">
        <f>'Op5'!AQ32</f>
        <v>2463.2792382814087</v>
      </c>
      <c r="AU41" s="75">
        <f t="shared" si="19"/>
        <v>-3034.1052398435659</v>
      </c>
      <c r="AV41" s="22"/>
      <c r="AW41" s="74">
        <f>'Op6'!AQ32</f>
        <v>1372.5861375339671</v>
      </c>
      <c r="AX41" s="75">
        <f t="shared" si="20"/>
        <v>-4124.7983405910072</v>
      </c>
      <c r="AY41" s="22"/>
      <c r="AZ41" s="74">
        <f>'Op7'!AQ32</f>
        <v>2463.2792382814087</v>
      </c>
      <c r="BA41" s="75">
        <f t="shared" si="21"/>
        <v>-3034.1052398435659</v>
      </c>
      <c r="BB41" s="22"/>
      <c r="BC41" s="74">
        <f>'Op8'!AQ32</f>
        <v>1650.6560989188365</v>
      </c>
      <c r="BD41" s="75">
        <f t="shared" si="22"/>
        <v>-3846.728379206138</v>
      </c>
      <c r="BE41" s="75"/>
      <c r="BF41" s="74">
        <v>1769.9320249335822</v>
      </c>
      <c r="BG41" s="75">
        <v>-3562.1576725688183</v>
      </c>
      <c r="BH41" s="75"/>
      <c r="BI41" s="75">
        <v>1633.2313357244557</v>
      </c>
      <c r="BJ41" s="75">
        <v>-3698.858361777945</v>
      </c>
      <c r="BK41" s="75"/>
      <c r="BL41" s="74">
        <v>1947.1686780126242</v>
      </c>
      <c r="BM41" s="75">
        <v>-3384.9210194897764</v>
      </c>
      <c r="BN41" s="75"/>
      <c r="BO41" s="74">
        <v>1743.4663523718948</v>
      </c>
      <c r="BP41" s="75">
        <v>-3588.6233451305061</v>
      </c>
      <c r="BQ41" s="74">
        <v>2931.1746727688164</v>
      </c>
      <c r="BR41" s="75">
        <v>-2400.9150247335842</v>
      </c>
      <c r="BS41" s="75"/>
      <c r="BT41" s="74">
        <v>2767.0289203260754</v>
      </c>
      <c r="BU41" s="75">
        <v>-2565.0607771763252</v>
      </c>
      <c r="BV41" s="75"/>
      <c r="BW41" s="22"/>
      <c r="BX41" s="74">
        <f>'Op9'!AQ32</f>
        <v>1161.8066412424198</v>
      </c>
      <c r="BY41" s="75">
        <f t="shared" si="23"/>
        <v>-4335.5778368825549</v>
      </c>
      <c r="BZ41" s="22"/>
      <c r="CA41" s="74">
        <v>1374.5466734064319</v>
      </c>
      <c r="CB41" s="75">
        <v>-3957.5430240959686</v>
      </c>
      <c r="CC41" s="22"/>
      <c r="CD41" s="74">
        <v>1171.9484256094472</v>
      </c>
      <c r="CE41" s="75">
        <v>-4160.1412718929532</v>
      </c>
      <c r="CF41" s="22"/>
      <c r="CG41" s="74">
        <v>1485.8857678976156</v>
      </c>
      <c r="CH41" s="75">
        <v>-3846.2039296047851</v>
      </c>
      <c r="CI41" s="22"/>
      <c r="CJ41" s="74">
        <v>1413.9785594326029</v>
      </c>
      <c r="CK41" s="75">
        <v>-3918.1111380697976</v>
      </c>
      <c r="CL41" s="22"/>
      <c r="CM41" s="74">
        <v>2273.653387820656</v>
      </c>
      <c r="CN41" s="75">
        <v>-3058.4363096817447</v>
      </c>
      <c r="CO41" s="22"/>
      <c r="CP41" s="74">
        <v>2106.5990335170682</v>
      </c>
      <c r="CQ41" s="75">
        <v>-3225.4906639853325</v>
      </c>
    </row>
    <row r="42" spans="1:95" ht="15.75" customHeight="1" x14ac:dyDescent="0.5">
      <c r="A42" s="83" t="s">
        <v>131</v>
      </c>
      <c r="B42" s="59" t="s">
        <v>132</v>
      </c>
      <c r="C42" s="85" t="s">
        <v>72</v>
      </c>
      <c r="D42" s="85"/>
      <c r="E42" s="62">
        <f>AVERAGE('Avg master'!D31:F31)</f>
        <v>20232.666666666668</v>
      </c>
      <c r="F42" s="62">
        <f>'Avg master'!H31</f>
        <v>20858.333333333332</v>
      </c>
      <c r="G42" s="63">
        <f t="shared" si="0"/>
        <v>7.5694334460264134E-2</v>
      </c>
      <c r="H42" s="63">
        <f t="shared" si="1"/>
        <v>7.7154690376347188E-2</v>
      </c>
      <c r="I42" s="44">
        <f t="shared" si="2"/>
        <v>1.9292803437616184E-2</v>
      </c>
      <c r="J42" s="64">
        <v>14795</v>
      </c>
      <c r="K42" s="64">
        <v>9432</v>
      </c>
      <c r="L42" s="64">
        <v>7407</v>
      </c>
      <c r="M42" s="65">
        <f t="shared" si="3"/>
        <v>10544.666666666666</v>
      </c>
      <c r="N42" s="66">
        <f t="shared" si="4"/>
        <v>9.0558022231573637E-2</v>
      </c>
      <c r="O42" s="18"/>
      <c r="P42" s="67">
        <v>12271.218120000003</v>
      </c>
      <c r="Q42" s="22"/>
      <c r="R42" s="68">
        <v>13068.847297800003</v>
      </c>
      <c r="S42" s="22"/>
      <c r="T42" s="68">
        <v>13330.224243756003</v>
      </c>
      <c r="U42" s="69">
        <f t="shared" si="5"/>
        <v>0.63908386306461062</v>
      </c>
      <c r="V42" s="46"/>
      <c r="W42" s="68">
        <f t="shared" si="6"/>
        <v>13743.461195312439</v>
      </c>
      <c r="X42" s="68">
        <f t="shared" si="7"/>
        <v>413.23695155643509</v>
      </c>
      <c r="Y42" s="70">
        <f t="shared" si="8"/>
        <v>3.0999999999999923E-2</v>
      </c>
      <c r="Z42" s="71"/>
      <c r="AA42" s="72">
        <f t="shared" si="26"/>
        <v>14008.611090706105</v>
      </c>
      <c r="AB42" s="68">
        <f t="shared" si="10"/>
        <v>678.38684695010124</v>
      </c>
      <c r="AC42" s="73">
        <f t="shared" si="11"/>
        <v>5.0890880344182036E-2</v>
      </c>
      <c r="AD42" s="22"/>
      <c r="AE42" s="74">
        <f>'Options 1-3'!AQ33</f>
        <v>17098.506316327446</v>
      </c>
      <c r="AF42" s="75">
        <f t="shared" si="12"/>
        <v>3355.0451210150077</v>
      </c>
      <c r="AG42" s="69">
        <f t="shared" si="13"/>
        <v>0.81974460965213491</v>
      </c>
      <c r="AH42" s="22"/>
      <c r="AI42" s="76">
        <v>19866.28205791831</v>
      </c>
      <c r="AJ42" s="75">
        <f t="shared" si="14"/>
        <v>6122.8208626058713</v>
      </c>
      <c r="AK42" s="69">
        <f t="shared" si="15"/>
        <v>0.95243861244514472</v>
      </c>
      <c r="AL42" s="69">
        <f t="shared" si="16"/>
        <v>1.8840123339999664</v>
      </c>
      <c r="AM42" s="77"/>
      <c r="AN42" s="76">
        <f>SUM('Options 1-3'!T33*'Summary (2)'!$AN$3)</f>
        <v>9780.5535</v>
      </c>
      <c r="AO42" s="75">
        <f t="shared" si="17"/>
        <v>-3962.9076953124386</v>
      </c>
      <c r="AP42" s="22"/>
      <c r="AQ42" s="74">
        <f>'Op4'!AQ33</f>
        <v>17674.126123501504</v>
      </c>
      <c r="AR42" s="75">
        <f t="shared" si="18"/>
        <v>3930.6649281890659</v>
      </c>
      <c r="AS42" s="22"/>
      <c r="AT42" s="74">
        <f>'Op5'!AQ33</f>
        <v>19137.797285310182</v>
      </c>
      <c r="AU42" s="75">
        <f t="shared" si="19"/>
        <v>5394.3360899977433</v>
      </c>
      <c r="AV42" s="22"/>
      <c r="AW42" s="74">
        <f>'Op6'!AQ33</f>
        <v>11835.3859060625</v>
      </c>
      <c r="AX42" s="75">
        <f t="shared" si="20"/>
        <v>-1908.0752892499386</v>
      </c>
      <c r="AY42" s="22"/>
      <c r="AZ42" s="74">
        <f>'Op7'!AQ33</f>
        <v>19137.797285310182</v>
      </c>
      <c r="BA42" s="75">
        <f t="shared" si="21"/>
        <v>5394.3360899977433</v>
      </c>
      <c r="BB42" s="22"/>
      <c r="BC42" s="74">
        <f>'Op8'!AQ33</f>
        <v>17469.471616524745</v>
      </c>
      <c r="BD42" s="75">
        <f t="shared" si="22"/>
        <v>3726.010421212306</v>
      </c>
      <c r="BE42" s="75"/>
      <c r="BF42" s="74">
        <v>17225.361999878325</v>
      </c>
      <c r="BG42" s="75">
        <v>3895.1377561223217</v>
      </c>
      <c r="BH42" s="75"/>
      <c r="BI42" s="75">
        <v>17593.001685309195</v>
      </c>
      <c r="BJ42" s="75">
        <v>4262.7774415531912</v>
      </c>
      <c r="BK42" s="75"/>
      <c r="BL42" s="74">
        <v>16004.516135204438</v>
      </c>
      <c r="BM42" s="75">
        <v>2674.2918914484344</v>
      </c>
      <c r="BN42" s="75"/>
      <c r="BO42" s="74">
        <v>16245.675230928387</v>
      </c>
      <c r="BP42" s="75">
        <v>2915.450987172384</v>
      </c>
      <c r="BQ42" s="74">
        <v>13419.843737289104</v>
      </c>
      <c r="BR42" s="75">
        <v>89.619493533100467</v>
      </c>
      <c r="BS42" s="75"/>
      <c r="BT42" s="74">
        <v>15424.615079483707</v>
      </c>
      <c r="BU42" s="75">
        <v>2094.3908357277032</v>
      </c>
      <c r="BV42" s="75"/>
      <c r="BW42" s="22"/>
      <c r="BX42" s="74">
        <f>'Op9'!AQ33</f>
        <v>17724.890910209993</v>
      </c>
      <c r="BY42" s="75">
        <f t="shared" si="23"/>
        <v>3981.4297148975547</v>
      </c>
      <c r="BZ42" s="22"/>
      <c r="CA42" s="74">
        <v>16433.942493403818</v>
      </c>
      <c r="CB42" s="75">
        <v>3103.7182496478144</v>
      </c>
      <c r="CC42" s="22"/>
      <c r="CD42" s="74">
        <v>16669.678927755602</v>
      </c>
      <c r="CE42" s="75">
        <v>3339.4546839995983</v>
      </c>
      <c r="CF42" s="22"/>
      <c r="CG42" s="74">
        <v>15081.193377650849</v>
      </c>
      <c r="CH42" s="75">
        <v>1750.9691338948451</v>
      </c>
      <c r="CI42" s="22"/>
      <c r="CJ42" s="74">
        <v>15586.158975532968</v>
      </c>
      <c r="CK42" s="75">
        <v>2255.9347317769643</v>
      </c>
      <c r="CL42" s="22"/>
      <c r="CM42" s="74">
        <v>12103.722214778874</v>
      </c>
      <c r="CN42" s="75">
        <v>-1226.5020289771292</v>
      </c>
      <c r="CO42" s="22"/>
      <c r="CP42" s="74">
        <v>14102.671580412252</v>
      </c>
      <c r="CQ42" s="75">
        <v>772.44733665624881</v>
      </c>
    </row>
    <row r="43" spans="1:95" ht="15.75" customHeight="1" x14ac:dyDescent="0.5">
      <c r="A43" s="83" t="s">
        <v>133</v>
      </c>
      <c r="B43" s="59" t="s">
        <v>134</v>
      </c>
      <c r="C43" s="115" t="s">
        <v>135</v>
      </c>
      <c r="D43" s="85"/>
      <c r="E43" s="62">
        <f>AVERAGE('Avg master'!D32:F32)</f>
        <v>8083.333333333333</v>
      </c>
      <c r="F43" s="62">
        <f>'Avg master'!H32</f>
        <v>8105</v>
      </c>
      <c r="G43" s="63">
        <f t="shared" si="0"/>
        <v>3.0241319494240419E-2</v>
      </c>
      <c r="H43" s="63">
        <f t="shared" si="1"/>
        <v>2.9980284402730834E-2</v>
      </c>
      <c r="I43" s="44">
        <f t="shared" si="2"/>
        <v>-8.631736176700211E-3</v>
      </c>
      <c r="J43" s="64">
        <v>3859</v>
      </c>
      <c r="K43" s="64">
        <v>3089</v>
      </c>
      <c r="L43" s="64">
        <v>2117</v>
      </c>
      <c r="M43" s="65">
        <f t="shared" si="3"/>
        <v>3021.6666666666665</v>
      </c>
      <c r="N43" s="66">
        <f t="shared" si="4"/>
        <v>2.5950195091648701E-2</v>
      </c>
      <c r="O43" s="18"/>
      <c r="P43" s="67">
        <v>9793.6007472000019</v>
      </c>
      <c r="Q43" s="22"/>
      <c r="R43" s="68">
        <v>10430.184795768002</v>
      </c>
      <c r="S43" s="22"/>
      <c r="T43" s="68">
        <v>10638.788491683363</v>
      </c>
      <c r="U43" s="69">
        <f t="shared" si="5"/>
        <v>1.3126204184680275</v>
      </c>
      <c r="V43" s="46"/>
      <c r="W43" s="68">
        <f t="shared" si="6"/>
        <v>10968.590934925545</v>
      </c>
      <c r="X43" s="68">
        <f t="shared" si="7"/>
        <v>329.80244324218256</v>
      </c>
      <c r="Y43" s="70">
        <f t="shared" si="8"/>
        <v>3.099999999999984E-2</v>
      </c>
      <c r="Z43" s="71"/>
      <c r="AA43" s="72">
        <f t="shared" si="26"/>
        <v>10873.912951745122</v>
      </c>
      <c r="AB43" s="68">
        <f t="shared" si="10"/>
        <v>235.12446006175924</v>
      </c>
      <c r="AC43" s="73">
        <f t="shared" si="11"/>
        <v>2.2100680001821877E-2</v>
      </c>
      <c r="AD43" s="22"/>
      <c r="AE43" s="74">
        <f>'Options 1-3'!AQ34</f>
        <v>6644.0300612305527</v>
      </c>
      <c r="AF43" s="75">
        <f t="shared" si="12"/>
        <v>-4324.5608736949926</v>
      </c>
      <c r="AG43" s="69">
        <f t="shared" si="13"/>
        <v>0.8197446096521348</v>
      </c>
      <c r="AH43" s="22"/>
      <c r="AI43" s="76">
        <v>5692.8572692365642</v>
      </c>
      <c r="AJ43" s="75">
        <f t="shared" si="14"/>
        <v>-5275.7336656889811</v>
      </c>
      <c r="AK43" s="69">
        <f t="shared" si="15"/>
        <v>0.70238831205879881</v>
      </c>
      <c r="AL43" s="69">
        <f t="shared" si="16"/>
        <v>1.8840123339999661</v>
      </c>
      <c r="AM43" s="77"/>
      <c r="AN43" s="76">
        <f>SUM('Options 1-3'!T34*'Summary (2)'!$AN$3)</f>
        <v>7962.0395000000008</v>
      </c>
      <c r="AO43" s="75">
        <f t="shared" si="17"/>
        <v>-3006.5514349255445</v>
      </c>
      <c r="AP43" s="22"/>
      <c r="AQ43" s="74">
        <f>'Op4'!AQ34</f>
        <v>5503.8648627728962</v>
      </c>
      <c r="AR43" s="75">
        <f t="shared" si="18"/>
        <v>-5464.7260721526491</v>
      </c>
      <c r="AS43" s="22"/>
      <c r="AT43" s="74">
        <f>'Op5'!AQ34</f>
        <v>6352.4142381552037</v>
      </c>
      <c r="AU43" s="75">
        <f t="shared" si="19"/>
        <v>-4616.1766967703416</v>
      </c>
      <c r="AV43" s="22"/>
      <c r="AW43" s="74">
        <f>'Op6'!AQ34</f>
        <v>8001.8879478105318</v>
      </c>
      <c r="AX43" s="75">
        <f t="shared" si="20"/>
        <v>-2966.7029871150135</v>
      </c>
      <c r="AY43" s="22"/>
      <c r="AZ43" s="74">
        <f>'Op7'!AQ34</f>
        <v>6352.4142381552037</v>
      </c>
      <c r="BA43" s="75">
        <f t="shared" si="21"/>
        <v>-4616.1766967703416</v>
      </c>
      <c r="BB43" s="22"/>
      <c r="BC43" s="74">
        <f>'Op8'!AQ34</f>
        <v>6931.7552211616576</v>
      </c>
      <c r="BD43" s="75">
        <f t="shared" si="22"/>
        <v>-4036.8357137638877</v>
      </c>
      <c r="BE43" s="75"/>
      <c r="BF43" s="74">
        <v>6765.2314964544721</v>
      </c>
      <c r="BG43" s="75">
        <v>-3873.5569952288906</v>
      </c>
      <c r="BH43" s="75"/>
      <c r="BI43" s="75">
        <v>7054.8302188480557</v>
      </c>
      <c r="BJ43" s="75">
        <v>-3583.9582728353071</v>
      </c>
      <c r="BK43" s="75"/>
      <c r="BL43" s="74">
        <v>6828.9410459397996</v>
      </c>
      <c r="BM43" s="75">
        <v>-3809.8474457435632</v>
      </c>
      <c r="BN43" s="75"/>
      <c r="BO43" s="74">
        <v>6915.8384999813716</v>
      </c>
      <c r="BP43" s="75">
        <v>-3722.9499917019912</v>
      </c>
      <c r="BQ43" s="74">
        <v>5559.9240105702165</v>
      </c>
      <c r="BR43" s="75">
        <v>-5078.8644811131462</v>
      </c>
      <c r="BS43" s="75"/>
      <c r="BT43" s="74">
        <v>6172.0284721128137</v>
      </c>
      <c r="BU43" s="75">
        <v>-4466.760019570549</v>
      </c>
      <c r="BV43" s="75"/>
      <c r="BW43" s="22"/>
      <c r="BX43" s="74">
        <f>'Op9'!AQ34</f>
        <v>7466.7780754319137</v>
      </c>
      <c r="BY43" s="75">
        <f t="shared" si="23"/>
        <v>-3501.8128594936315</v>
      </c>
      <c r="BZ43" s="22"/>
      <c r="CA43" s="74">
        <v>7022.6047906903341</v>
      </c>
      <c r="CB43" s="75">
        <v>-3616.1837009930287</v>
      </c>
      <c r="CC43" s="22"/>
      <c r="CD43" s="74">
        <v>7355.0990621232277</v>
      </c>
      <c r="CE43" s="75">
        <v>-3283.6894295601351</v>
      </c>
      <c r="CF43" s="22"/>
      <c r="CG43" s="74">
        <v>7129.2098892149706</v>
      </c>
      <c r="CH43" s="75">
        <v>-3509.5786024683921</v>
      </c>
      <c r="CI43" s="22"/>
      <c r="CJ43" s="74">
        <v>7130.3162451779226</v>
      </c>
      <c r="CK43" s="75">
        <v>-3508.4722465054401</v>
      </c>
      <c r="CL43" s="22"/>
      <c r="CM43" s="74">
        <v>5987.9328340728352</v>
      </c>
      <c r="CN43" s="75">
        <v>-4650.8556576105275</v>
      </c>
      <c r="CO43" s="22"/>
      <c r="CP43" s="74">
        <v>6601.9306293964009</v>
      </c>
      <c r="CQ43" s="75">
        <v>-4036.8578622869618</v>
      </c>
    </row>
    <row r="44" spans="1:95" ht="15.75" customHeight="1" x14ac:dyDescent="0.5">
      <c r="A44" s="80" t="s">
        <v>136</v>
      </c>
      <c r="B44" s="59" t="s">
        <v>137</v>
      </c>
      <c r="C44" s="82" t="s">
        <v>135</v>
      </c>
      <c r="D44" s="82"/>
      <c r="E44" s="62">
        <f>AVERAGE('Avg master'!D33:F33)</f>
        <v>10123.333333333334</v>
      </c>
      <c r="F44" s="62">
        <f>'Avg master'!H33</f>
        <v>10140.333333333334</v>
      </c>
      <c r="G44" s="63">
        <f t="shared" si="0"/>
        <v>3.7873355589281718E-2</v>
      </c>
      <c r="H44" s="63">
        <f t="shared" si="1"/>
        <v>3.7508954629466372E-2</v>
      </c>
      <c r="I44" s="44">
        <f t="shared" si="2"/>
        <v>-9.6215651912943453E-3</v>
      </c>
      <c r="J44" s="64">
        <v>4864</v>
      </c>
      <c r="K44" s="64">
        <v>4164</v>
      </c>
      <c r="L44" s="64">
        <v>3092</v>
      </c>
      <c r="M44" s="65">
        <f t="shared" si="3"/>
        <v>4040</v>
      </c>
      <c r="N44" s="66">
        <f t="shared" si="4"/>
        <v>3.4695682792143662E-2</v>
      </c>
      <c r="O44" s="18"/>
      <c r="P44" s="67">
        <v>9793.6007472000019</v>
      </c>
      <c r="Q44" s="22"/>
      <c r="R44" s="68">
        <v>10430.184795768002</v>
      </c>
      <c r="S44" s="22"/>
      <c r="T44" s="68">
        <v>10638.788491683363</v>
      </c>
      <c r="U44" s="69">
        <f t="shared" si="5"/>
        <v>1.0491556975461058</v>
      </c>
      <c r="V44" s="46"/>
      <c r="W44" s="68">
        <f t="shared" si="6"/>
        <v>10968.590934925545</v>
      </c>
      <c r="X44" s="68">
        <f t="shared" si="7"/>
        <v>329.80244324218256</v>
      </c>
      <c r="Y44" s="70">
        <f t="shared" si="8"/>
        <v>3.099999999999984E-2</v>
      </c>
      <c r="Z44" s="71"/>
      <c r="AA44" s="72">
        <f t="shared" si="26"/>
        <v>10863.05592218852</v>
      </c>
      <c r="AB44" s="68">
        <f t="shared" si="10"/>
        <v>224.26743050515688</v>
      </c>
      <c r="AC44" s="73">
        <f t="shared" si="11"/>
        <v>2.1080166287775433E-2</v>
      </c>
      <c r="AD44" s="22"/>
      <c r="AE44" s="74">
        <f>'Options 1-3'!AQ35</f>
        <v>8312.4835900758662</v>
      </c>
      <c r="AF44" s="75">
        <f t="shared" si="12"/>
        <v>-2656.1073448496791</v>
      </c>
      <c r="AG44" s="69">
        <f t="shared" si="13"/>
        <v>0.81974460965213491</v>
      </c>
      <c r="AH44" s="22"/>
      <c r="AI44" s="76">
        <v>7611.4098293598636</v>
      </c>
      <c r="AJ44" s="75">
        <f t="shared" si="14"/>
        <v>-3357.1811055656817</v>
      </c>
      <c r="AK44" s="69">
        <f t="shared" si="15"/>
        <v>0.75060745827157516</v>
      </c>
      <c r="AL44" s="69">
        <f t="shared" si="16"/>
        <v>1.8840123339999661</v>
      </c>
      <c r="AM44" s="77"/>
      <c r="AN44" s="76">
        <f>SUM('Options 1-3'!T35*'Summary (2)'!$AN$3)</f>
        <v>5560.6345000000001</v>
      </c>
      <c r="AO44" s="75">
        <f t="shared" si="17"/>
        <v>-5407.9564349255452</v>
      </c>
      <c r="AP44" s="22"/>
      <c r="AQ44" s="74">
        <f>'Op4'!AQ35</f>
        <v>7151.2638681132266</v>
      </c>
      <c r="AR44" s="75">
        <f t="shared" si="18"/>
        <v>-3817.3270668123187</v>
      </c>
      <c r="AS44" s="22"/>
      <c r="AT44" s="74">
        <f>'Op5'!AQ35</f>
        <v>7764.9386817326822</v>
      </c>
      <c r="AU44" s="75">
        <f t="shared" si="19"/>
        <v>-3203.6522531928631</v>
      </c>
      <c r="AV44" s="22"/>
      <c r="AW44" s="74">
        <f>'Op6'!AQ35</f>
        <v>6282.3949722976231</v>
      </c>
      <c r="AX44" s="75">
        <f t="shared" si="20"/>
        <v>-4686.1959626279222</v>
      </c>
      <c r="AY44" s="22"/>
      <c r="AZ44" s="74">
        <f>'Op7'!AQ35</f>
        <v>7764.9386817326822</v>
      </c>
      <c r="BA44" s="75">
        <f t="shared" si="21"/>
        <v>-3203.6522531928631</v>
      </c>
      <c r="BB44" s="22"/>
      <c r="BC44" s="74">
        <f>'Op8'!AQ35</f>
        <v>7382.3431610007483</v>
      </c>
      <c r="BD44" s="75">
        <f t="shared" si="22"/>
        <v>-3586.247773924797</v>
      </c>
      <c r="BE44" s="75"/>
      <c r="BF44" s="74">
        <v>7318.2740496934839</v>
      </c>
      <c r="BG44" s="75">
        <v>-3320.5144419898788</v>
      </c>
      <c r="BH44" s="75"/>
      <c r="BI44" s="75">
        <v>7426.8304243665762</v>
      </c>
      <c r="BJ44" s="75">
        <v>-3211.9580673167866</v>
      </c>
      <c r="BK44" s="75"/>
      <c r="BL44" s="74">
        <v>7085.1115988768197</v>
      </c>
      <c r="BM44" s="75">
        <v>-3553.676892806543</v>
      </c>
      <c r="BN44" s="75"/>
      <c r="BO44" s="74">
        <v>7124.2752947596891</v>
      </c>
      <c r="BP44" s="75">
        <v>-3514.5131969236736</v>
      </c>
      <c r="BQ44" s="74">
        <v>6516.2884177207097</v>
      </c>
      <c r="BR44" s="75">
        <v>-4122.500073962653</v>
      </c>
      <c r="BS44" s="75"/>
      <c r="BT44" s="74">
        <v>6895.7525793116856</v>
      </c>
      <c r="BU44" s="75">
        <v>-3743.0359123716771</v>
      </c>
      <c r="BV44" s="75"/>
      <c r="BW44" s="22"/>
      <c r="BX44" s="74">
        <f>'Op9'!AQ35</f>
        <v>7731.7627238112646</v>
      </c>
      <c r="BY44" s="75">
        <f t="shared" si="23"/>
        <v>-3236.8282111142807</v>
      </c>
      <c r="BZ44" s="22"/>
      <c r="CA44" s="74">
        <v>7506.5434923292705</v>
      </c>
      <c r="CB44" s="75">
        <v>-3132.2449993540922</v>
      </c>
      <c r="CC44" s="22"/>
      <c r="CD44" s="74">
        <v>7646.4781074416605</v>
      </c>
      <c r="CE44" s="75">
        <v>-2992.3103842417022</v>
      </c>
      <c r="CF44" s="22"/>
      <c r="CG44" s="74">
        <v>7304.7592819519041</v>
      </c>
      <c r="CH44" s="75">
        <v>-3334.0292097314586</v>
      </c>
      <c r="CI44" s="22"/>
      <c r="CJ44" s="74">
        <v>7281.1664969561789</v>
      </c>
      <c r="CK44" s="75">
        <v>-3357.6219947271838</v>
      </c>
      <c r="CL44" s="22"/>
      <c r="CM44" s="74">
        <v>6829.3783320542116</v>
      </c>
      <c r="CN44" s="75">
        <v>-3809.4101596291512</v>
      </c>
      <c r="CO44" s="22"/>
      <c r="CP44" s="74">
        <v>7210.2274737641419</v>
      </c>
      <c r="CQ44" s="75">
        <v>-3428.5610179192208</v>
      </c>
    </row>
    <row r="45" spans="1:95" ht="15.75" customHeight="1" x14ac:dyDescent="0.5">
      <c r="A45" s="96" t="s">
        <v>138</v>
      </c>
      <c r="B45" s="59" t="s">
        <v>139</v>
      </c>
      <c r="C45" s="60" t="s">
        <v>64</v>
      </c>
      <c r="D45" s="61"/>
      <c r="E45" s="62">
        <f>AVERAGE('Avg master'!D34:F34)</f>
        <v>679.66666666666663</v>
      </c>
      <c r="F45" s="62">
        <f>'Avg master'!H34</f>
        <v>699</v>
      </c>
      <c r="G45" s="63">
        <f t="shared" si="0"/>
        <v>2.5427649669590192E-3</v>
      </c>
      <c r="H45" s="63">
        <f t="shared" si="1"/>
        <v>2.5855914617530971E-3</v>
      </c>
      <c r="I45" s="44">
        <f t="shared" si="2"/>
        <v>1.6842490497773182E-2</v>
      </c>
      <c r="J45" s="64">
        <v>126</v>
      </c>
      <c r="K45" s="64">
        <v>126</v>
      </c>
      <c r="L45" s="64">
        <v>112</v>
      </c>
      <c r="M45" s="65">
        <f t="shared" si="3"/>
        <v>121.33333333333333</v>
      </c>
      <c r="N45" s="66">
        <f t="shared" si="4"/>
        <v>1.0420155558036545E-3</v>
      </c>
      <c r="O45" s="18"/>
      <c r="P45" s="67">
        <v>1227.1218120000001</v>
      </c>
      <c r="Q45" s="22"/>
      <c r="R45" s="68">
        <v>1306.88472978</v>
      </c>
      <c r="S45" s="22"/>
      <c r="T45" s="68">
        <v>1333.0224243756002</v>
      </c>
      <c r="U45" s="69">
        <f t="shared" si="5"/>
        <v>1.9070420949579401</v>
      </c>
      <c r="V45" s="46"/>
      <c r="W45" s="68">
        <f t="shared" si="6"/>
        <v>1374.3461195312436</v>
      </c>
      <c r="X45" s="68">
        <f t="shared" si="7"/>
        <v>41.323695155643463</v>
      </c>
      <c r="Y45" s="70">
        <f t="shared" si="8"/>
        <v>3.0999999999999892E-2</v>
      </c>
      <c r="Z45" s="71"/>
      <c r="AA45" s="72">
        <f t="shared" si="26"/>
        <v>1397.4935309901</v>
      </c>
      <c r="AB45" s="68">
        <f t="shared" si="10"/>
        <v>64.471106614499831</v>
      </c>
      <c r="AC45" s="73">
        <f t="shared" si="11"/>
        <v>4.8364607703204006E-2</v>
      </c>
      <c r="AD45" s="22"/>
      <c r="AE45" s="74">
        <f>'Options 1-3'!AQ36</f>
        <v>573.00148214684225</v>
      </c>
      <c r="AF45" s="75">
        <f t="shared" si="12"/>
        <v>-801.34463738440138</v>
      </c>
      <c r="AG45" s="69">
        <f t="shared" si="13"/>
        <v>0.8197446096521348</v>
      </c>
      <c r="AH45" s="22"/>
      <c r="AI45" s="76">
        <v>228.59349652532924</v>
      </c>
      <c r="AJ45" s="75">
        <f t="shared" si="14"/>
        <v>-1145.7526230059143</v>
      </c>
      <c r="AK45" s="69">
        <f t="shared" si="15"/>
        <v>0.32702932263995599</v>
      </c>
      <c r="AL45" s="69">
        <f t="shared" si="16"/>
        <v>1.8840123339999664</v>
      </c>
      <c r="AM45" s="77"/>
      <c r="AN45" s="76">
        <f>SUM('Options 1-3'!T36*'Summary (2)'!$AN$3)</f>
        <v>1035.037</v>
      </c>
      <c r="AO45" s="75">
        <f t="shared" si="17"/>
        <v>-339.3091195312436</v>
      </c>
      <c r="AP45" s="22"/>
      <c r="AQ45" s="74">
        <f>'Op4'!AQ36</f>
        <v>811.87836671194475</v>
      </c>
      <c r="AR45" s="75">
        <f t="shared" si="18"/>
        <v>-562.46775281929888</v>
      </c>
      <c r="AS45" s="22"/>
      <c r="AT45" s="74">
        <f>'Op5'!AQ36</f>
        <v>771.24148594671146</v>
      </c>
      <c r="AU45" s="75">
        <f t="shared" si="19"/>
        <v>-603.10463358453217</v>
      </c>
      <c r="AV45" s="22"/>
      <c r="AW45" s="74">
        <f>'Op6'!AQ36</f>
        <v>1356.2977909658207</v>
      </c>
      <c r="AX45" s="75">
        <f t="shared" si="20"/>
        <v>-18.048328565422935</v>
      </c>
      <c r="AY45" s="22"/>
      <c r="AZ45" s="74">
        <f>'Op7'!AQ36</f>
        <v>771.24148594671146</v>
      </c>
      <c r="BA45" s="75">
        <f t="shared" si="21"/>
        <v>-603.10463358453217</v>
      </c>
      <c r="BB45" s="22"/>
      <c r="BC45" s="74">
        <f>'Op8'!AQ36</f>
        <v>1115.2566215343245</v>
      </c>
      <c r="BD45" s="75">
        <f t="shared" si="22"/>
        <v>-259.08949799691914</v>
      </c>
      <c r="BE45" s="75"/>
      <c r="BF45" s="74">
        <v>1244.269619353239</v>
      </c>
      <c r="BG45" s="75">
        <v>-88.752805022361144</v>
      </c>
      <c r="BH45" s="75"/>
      <c r="BI45" s="75">
        <v>979.08977999044873</v>
      </c>
      <c r="BJ45" s="75">
        <v>-353.93264438515143</v>
      </c>
      <c r="BK45" s="75"/>
      <c r="BL45" s="74">
        <v>1291.6382417100149</v>
      </c>
      <c r="BM45" s="75">
        <v>-41.384182665585286</v>
      </c>
      <c r="BN45" s="75"/>
      <c r="BO45" s="74">
        <v>1305.9459291599378</v>
      </c>
      <c r="BP45" s="75">
        <v>-27.076495215662362</v>
      </c>
      <c r="BQ45" s="74">
        <v>1927.0798944101148</v>
      </c>
      <c r="BR45" s="75">
        <v>594.05747003451461</v>
      </c>
      <c r="BS45" s="75"/>
      <c r="BT45" s="74">
        <v>1903.4035048492915</v>
      </c>
      <c r="BU45" s="75">
        <v>570.38108047369133</v>
      </c>
      <c r="BV45" s="75"/>
      <c r="BW45" s="22"/>
      <c r="BX45" s="74">
        <f>'Op9'!AQ36</f>
        <v>1188.4507396120705</v>
      </c>
      <c r="BY45" s="75">
        <f t="shared" si="23"/>
        <v>-185.89537991917314</v>
      </c>
      <c r="BZ45" s="22"/>
      <c r="CA45" s="74">
        <v>1330.4963089789592</v>
      </c>
      <c r="CB45" s="75">
        <v>-2.5261153966409893</v>
      </c>
      <c r="CC45" s="22"/>
      <c r="CD45" s="74">
        <v>1079.6875845537891</v>
      </c>
      <c r="CE45" s="75">
        <v>-253.3348398218111</v>
      </c>
      <c r="CF45" s="22"/>
      <c r="CG45" s="74">
        <v>1392.2360462733552</v>
      </c>
      <c r="CH45" s="75">
        <v>59.213621897755047</v>
      </c>
      <c r="CI45" s="22"/>
      <c r="CJ45" s="74">
        <v>1377.8015038480378</v>
      </c>
      <c r="CK45" s="75">
        <v>44.779079472437616</v>
      </c>
      <c r="CL45" s="22"/>
      <c r="CM45" s="74">
        <v>2070.4738859693507</v>
      </c>
      <c r="CN45" s="75">
        <v>737.45146159375054</v>
      </c>
      <c r="CO45" s="22"/>
      <c r="CP45" s="74">
        <v>2047.4318120424562</v>
      </c>
      <c r="CQ45" s="75">
        <v>714.40938766685599</v>
      </c>
    </row>
    <row r="46" spans="1:95" ht="15.75" customHeight="1" x14ac:dyDescent="0.5">
      <c r="A46" s="83" t="s">
        <v>140</v>
      </c>
      <c r="B46" s="59" t="s">
        <v>141</v>
      </c>
      <c r="C46" s="94" t="s">
        <v>92</v>
      </c>
      <c r="D46" s="85"/>
      <c r="E46" s="62">
        <f>AVERAGE('Avg master'!D35:F35)</f>
        <v>3293.3333333333335</v>
      </c>
      <c r="F46" s="62">
        <f>'Avg master'!H35</f>
        <v>3305</v>
      </c>
      <c r="G46" s="63">
        <f t="shared" si="0"/>
        <v>1.2320999447550324E-2</v>
      </c>
      <c r="H46" s="63">
        <f t="shared" si="1"/>
        <v>1.2225149901422011E-2</v>
      </c>
      <c r="I46" s="44">
        <f t="shared" si="2"/>
        <v>-7.7793645342115417E-3</v>
      </c>
      <c r="J46" s="64">
        <v>1348</v>
      </c>
      <c r="K46" s="64">
        <v>1119</v>
      </c>
      <c r="L46" s="64">
        <v>807</v>
      </c>
      <c r="M46" s="65">
        <f t="shared" si="3"/>
        <v>1091.3333333333333</v>
      </c>
      <c r="N46" s="66">
        <f t="shared" si="4"/>
        <v>9.3724146420361663E-3</v>
      </c>
      <c r="O46" s="18"/>
      <c r="P46" s="67">
        <v>1659.5361648000001</v>
      </c>
      <c r="Q46" s="22"/>
      <c r="R46" s="68">
        <v>1767.4060155120001</v>
      </c>
      <c r="S46" s="22"/>
      <c r="T46" s="68">
        <v>1802.7541358222402</v>
      </c>
      <c r="U46" s="69">
        <f t="shared" si="5"/>
        <v>0.54546267347117705</v>
      </c>
      <c r="V46" s="46"/>
      <c r="W46" s="68">
        <f t="shared" si="6"/>
        <v>1858.6395140327295</v>
      </c>
      <c r="X46" s="68">
        <f t="shared" si="7"/>
        <v>55.885378210489307</v>
      </c>
      <c r="Y46" s="70">
        <f t="shared" si="8"/>
        <v>3.0999999999999923E-2</v>
      </c>
      <c r="Z46" s="71"/>
      <c r="AA46" s="72">
        <f t="shared" si="26"/>
        <v>1844.1804797153791</v>
      </c>
      <c r="AB46" s="68">
        <f t="shared" si="10"/>
        <v>41.426343893138892</v>
      </c>
      <c r="AC46" s="73">
        <f t="shared" si="11"/>
        <v>2.297947516522781E-2</v>
      </c>
      <c r="AD46" s="22"/>
      <c r="AE46" s="74">
        <f>'Options 1-3'!AQ37</f>
        <v>2709.2559349003054</v>
      </c>
      <c r="AF46" s="75">
        <f t="shared" si="12"/>
        <v>850.61642086757593</v>
      </c>
      <c r="AG46" s="69">
        <f t="shared" si="13"/>
        <v>0.8197446096521348</v>
      </c>
      <c r="AH46" s="22"/>
      <c r="AI46" s="76">
        <v>2056.0854605052964</v>
      </c>
      <c r="AJ46" s="75">
        <f t="shared" si="14"/>
        <v>197.4459464725669</v>
      </c>
      <c r="AK46" s="69">
        <f t="shared" si="15"/>
        <v>0.6221136037837508</v>
      </c>
      <c r="AL46" s="69">
        <f t="shared" si="16"/>
        <v>1.8840123339999664</v>
      </c>
      <c r="AM46" s="77"/>
      <c r="AN46" s="76">
        <f>SUM('Options 1-3'!T37*'Summary (2)'!$AN$3)</f>
        <v>4670.5754999999999</v>
      </c>
      <c r="AO46" s="75">
        <f t="shared" si="17"/>
        <v>2811.9359859672704</v>
      </c>
      <c r="AP46" s="22"/>
      <c r="AQ46" s="74">
        <f>'Op4'!AQ37</f>
        <v>2381.0865845647627</v>
      </c>
      <c r="AR46" s="75">
        <f t="shared" si="18"/>
        <v>522.44707053203319</v>
      </c>
      <c r="AS46" s="22"/>
      <c r="AT46" s="74">
        <f>'Op5'!AQ37</f>
        <v>2624.550459267979</v>
      </c>
      <c r="AU46" s="75">
        <f t="shared" si="19"/>
        <v>765.91094523524953</v>
      </c>
      <c r="AV46" s="22"/>
      <c r="AW46" s="74">
        <f>'Op6'!AQ37</f>
        <v>4522.1453010307159</v>
      </c>
      <c r="AX46" s="75">
        <f t="shared" si="20"/>
        <v>2663.5057869979864</v>
      </c>
      <c r="AY46" s="22"/>
      <c r="AZ46" s="74">
        <f>'Op7'!AQ37</f>
        <v>2624.550459267979</v>
      </c>
      <c r="BA46" s="75">
        <f t="shared" si="21"/>
        <v>765.91094523524953</v>
      </c>
      <c r="BB46" s="22"/>
      <c r="BC46" s="74">
        <f>'Op8'!AQ37</f>
        <v>3270.1364332479257</v>
      </c>
      <c r="BD46" s="75">
        <f t="shared" si="22"/>
        <v>1411.4969192151962</v>
      </c>
      <c r="BE46" s="75"/>
      <c r="BF46" s="74">
        <v>3244.0411958803434</v>
      </c>
      <c r="BG46" s="75">
        <v>1441.2870600581032</v>
      </c>
      <c r="BH46" s="75"/>
      <c r="BI46" s="75">
        <v>3277.305510984007</v>
      </c>
      <c r="BJ46" s="75">
        <v>1474.5513751617668</v>
      </c>
      <c r="BK46" s="75"/>
      <c r="BL46" s="74">
        <v>3410.5091689579272</v>
      </c>
      <c r="BM46" s="75">
        <v>1607.755033135687</v>
      </c>
      <c r="BN46" s="75"/>
      <c r="BO46" s="74">
        <v>3448.361488220929</v>
      </c>
      <c r="BP46" s="75">
        <v>1645.6073523986888</v>
      </c>
      <c r="BQ46" s="74">
        <v>3134.9985118945024</v>
      </c>
      <c r="BR46" s="75">
        <v>1332.2443760722622</v>
      </c>
      <c r="BS46" s="75"/>
      <c r="BT46" s="74">
        <v>3311.5104945565213</v>
      </c>
      <c r="BU46" s="75">
        <v>1508.7563587342811</v>
      </c>
      <c r="BV46" s="75"/>
      <c r="BW46" s="22"/>
      <c r="BX46" s="74">
        <f>'Op9'!AQ37</f>
        <v>3518.9098795381128</v>
      </c>
      <c r="BY46" s="75">
        <f t="shared" si="23"/>
        <v>1660.2703655053833</v>
      </c>
      <c r="BZ46" s="22"/>
      <c r="CA46" s="74">
        <v>3417.5078596814496</v>
      </c>
      <c r="CB46" s="75">
        <v>1614.7537238592095</v>
      </c>
      <c r="CC46" s="22"/>
      <c r="CD46" s="74">
        <v>3479.6832854186305</v>
      </c>
      <c r="CE46" s="75">
        <v>1676.9291495963903</v>
      </c>
      <c r="CF46" s="22"/>
      <c r="CG46" s="74">
        <v>3612.8869433925506</v>
      </c>
      <c r="CH46" s="75">
        <v>1810.1328075703104</v>
      </c>
      <c r="CI46" s="22"/>
      <c r="CJ46" s="74">
        <v>3592.9170413885176</v>
      </c>
      <c r="CK46" s="75">
        <v>1790.1629055662775</v>
      </c>
      <c r="CL46" s="22"/>
      <c r="CM46" s="74">
        <v>3423.4715755465381</v>
      </c>
      <c r="CN46" s="75">
        <v>1620.7174397242979</v>
      </c>
      <c r="CO46" s="22"/>
      <c r="CP46" s="74">
        <v>3601.2596435748405</v>
      </c>
      <c r="CQ46" s="75">
        <v>1798.5055077526004</v>
      </c>
    </row>
    <row r="47" spans="1:95" ht="15.75" customHeight="1" x14ac:dyDescent="0.5">
      <c r="A47" s="83" t="s">
        <v>142</v>
      </c>
      <c r="B47" s="59" t="s">
        <v>143</v>
      </c>
      <c r="C47" s="85" t="s">
        <v>72</v>
      </c>
      <c r="D47" s="85"/>
      <c r="E47" s="62">
        <f>AVERAGE('Avg master'!D36:F36)</f>
        <v>26615</v>
      </c>
      <c r="F47" s="62">
        <f>'Avg master'!H36</f>
        <v>26715</v>
      </c>
      <c r="G47" s="63">
        <f t="shared" si="0"/>
        <v>9.9571882681139229E-2</v>
      </c>
      <c r="H47" s="63">
        <f t="shared" si="1"/>
        <v>9.8818420458846909E-2</v>
      </c>
      <c r="I47" s="44">
        <f t="shared" si="2"/>
        <v>-7.5670179372337972E-3</v>
      </c>
      <c r="J47" s="64">
        <v>7591</v>
      </c>
      <c r="K47" s="64">
        <v>5625</v>
      </c>
      <c r="L47" s="64">
        <v>3928</v>
      </c>
      <c r="M47" s="65">
        <f t="shared" si="3"/>
        <v>5714.666666666667</v>
      </c>
      <c r="N47" s="66">
        <f t="shared" si="4"/>
        <v>4.9077787606312782E-2</v>
      </c>
      <c r="O47" s="18"/>
      <c r="P47" s="67">
        <v>12271.218120000003</v>
      </c>
      <c r="Q47" s="22"/>
      <c r="R47" s="68">
        <v>13068.847297800003</v>
      </c>
      <c r="S47" s="22"/>
      <c r="T47" s="68">
        <v>13330.224243756003</v>
      </c>
      <c r="U47" s="69">
        <f t="shared" si="5"/>
        <v>0.49897900968579462</v>
      </c>
      <c r="V47" s="46"/>
      <c r="W47" s="68">
        <f t="shared" si="6"/>
        <v>13743.461195312439</v>
      </c>
      <c r="X47" s="68">
        <f t="shared" si="7"/>
        <v>413.23695155643509</v>
      </c>
      <c r="Y47" s="70">
        <f t="shared" si="8"/>
        <v>3.0999999999999923E-2</v>
      </c>
      <c r="Z47" s="71"/>
      <c r="AA47" s="72">
        <f t="shared" si="26"/>
        <v>13639.464177927832</v>
      </c>
      <c r="AB47" s="68">
        <f t="shared" si="10"/>
        <v>309.23993417182828</v>
      </c>
      <c r="AC47" s="73">
        <f t="shared" si="11"/>
        <v>2.319840450671181E-2</v>
      </c>
      <c r="AD47" s="22"/>
      <c r="AE47" s="74">
        <f>'Options 1-3'!AQ38</f>
        <v>21899.477246856783</v>
      </c>
      <c r="AF47" s="75">
        <f t="shared" si="12"/>
        <v>8156.016051544344</v>
      </c>
      <c r="AG47" s="69">
        <f t="shared" si="13"/>
        <v>0.8197446096521348</v>
      </c>
      <c r="AH47" s="22"/>
      <c r="AI47" s="76">
        <v>10766.502484698474</v>
      </c>
      <c r="AJ47" s="75">
        <f t="shared" si="14"/>
        <v>-2976.9587106139643</v>
      </c>
      <c r="AK47" s="69">
        <f t="shared" si="15"/>
        <v>0.40301338142236476</v>
      </c>
      <c r="AL47" s="69">
        <f t="shared" si="16"/>
        <v>1.8840123339999661</v>
      </c>
      <c r="AM47" s="77"/>
      <c r="AN47" s="76">
        <f>SUM('Options 1-3'!T38*'Summary (2)'!$AN$3)</f>
        <v>20234.692000000003</v>
      </c>
      <c r="AO47" s="75">
        <f t="shared" si="17"/>
        <v>6491.2308046875642</v>
      </c>
      <c r="AP47" s="22"/>
      <c r="AQ47" s="74">
        <f>'Op4'!AQ38</f>
        <v>9860.4398428529385</v>
      </c>
      <c r="AR47" s="75">
        <f t="shared" si="18"/>
        <v>-3883.0213524595001</v>
      </c>
      <c r="AS47" s="22"/>
      <c r="AT47" s="74">
        <f>'Op5'!AQ38</f>
        <v>9238.7912256175987</v>
      </c>
      <c r="AU47" s="75">
        <f t="shared" si="19"/>
        <v>-4504.6699696948399</v>
      </c>
      <c r="AV47" s="22"/>
      <c r="AW47" s="74">
        <f>'Op6'!AQ38</f>
        <v>16112.922395938236</v>
      </c>
      <c r="AX47" s="75">
        <f t="shared" si="20"/>
        <v>2369.4612006257976</v>
      </c>
      <c r="AY47" s="22"/>
      <c r="AZ47" s="74">
        <f>'Op7'!AQ38</f>
        <v>9238.7912256175987</v>
      </c>
      <c r="BA47" s="75">
        <f t="shared" si="21"/>
        <v>-4504.6699696948399</v>
      </c>
      <c r="BB47" s="22"/>
      <c r="BC47" s="74">
        <f>'Op8'!AQ38</f>
        <v>11330.199836558855</v>
      </c>
      <c r="BD47" s="75">
        <f t="shared" si="22"/>
        <v>-2413.2613587535834</v>
      </c>
      <c r="BE47" s="75"/>
      <c r="BF47" s="74">
        <v>10640.070194782673</v>
      </c>
      <c r="BG47" s="75">
        <v>-2690.1540489733306</v>
      </c>
      <c r="BH47" s="75"/>
      <c r="BI47" s="75">
        <v>11893.715706248648</v>
      </c>
      <c r="BJ47" s="75">
        <v>-1436.5085375073559</v>
      </c>
      <c r="BK47" s="75"/>
      <c r="BL47" s="74">
        <v>11068.950192678873</v>
      </c>
      <c r="BM47" s="75">
        <v>-2261.2740510771309</v>
      </c>
      <c r="BN47" s="75"/>
      <c r="BO47" s="74">
        <v>11322.177736851652</v>
      </c>
      <c r="BP47" s="75">
        <v>-2008.0465069043512</v>
      </c>
      <c r="BQ47" s="74">
        <v>7611.3854798622833</v>
      </c>
      <c r="BR47" s="75">
        <v>-5718.8387638937202</v>
      </c>
      <c r="BS47" s="75"/>
      <c r="BT47" s="74">
        <v>6865.5358552153075</v>
      </c>
      <c r="BU47" s="75">
        <v>-6464.688388540696</v>
      </c>
      <c r="BV47" s="75"/>
      <c r="BW47" s="22"/>
      <c r="BX47" s="74">
        <f>'Op9'!AQ38</f>
        <v>13763.302640438182</v>
      </c>
      <c r="BY47" s="75">
        <f t="shared" si="23"/>
        <v>19.841445125743121</v>
      </c>
      <c r="BZ47" s="22"/>
      <c r="CA47" s="74">
        <v>13527.916856473172</v>
      </c>
      <c r="CB47" s="75">
        <v>197.69261271716823</v>
      </c>
      <c r="CC47" s="22"/>
      <c r="CD47" s="74">
        <v>15262.870144887562</v>
      </c>
      <c r="CE47" s="75">
        <v>1932.6459011315583</v>
      </c>
      <c r="CF47" s="22"/>
      <c r="CG47" s="74">
        <v>14438.104631317789</v>
      </c>
      <c r="CH47" s="75">
        <v>1107.880387561785</v>
      </c>
      <c r="CI47" s="22"/>
      <c r="CJ47" s="74">
        <v>13728.716621593732</v>
      </c>
      <c r="CK47" s="75">
        <v>398.49237783772878</v>
      </c>
      <c r="CL47" s="22"/>
      <c r="CM47" s="74">
        <v>12413.84121170445</v>
      </c>
      <c r="CN47" s="75">
        <v>-916.38303205155353</v>
      </c>
      <c r="CO47" s="22"/>
      <c r="CP47" s="74">
        <v>11689.235662341469</v>
      </c>
      <c r="CQ47" s="75">
        <v>-1640.9885814145346</v>
      </c>
    </row>
    <row r="48" spans="1:95" ht="15.75" customHeight="1" x14ac:dyDescent="0.5">
      <c r="A48" s="83" t="s">
        <v>144</v>
      </c>
      <c r="B48" s="59" t="s">
        <v>145</v>
      </c>
      <c r="C48" s="104" t="s">
        <v>118</v>
      </c>
      <c r="D48" s="85"/>
      <c r="E48" s="62">
        <f>AVERAGE('Avg master'!D37:F37)</f>
        <v>914.33333333333337</v>
      </c>
      <c r="F48" s="62">
        <f>'Avg master'!H37</f>
        <v>914.33333333333337</v>
      </c>
      <c r="G48" s="63">
        <f t="shared" si="0"/>
        <v>3.4206985308330505E-3</v>
      </c>
      <c r="H48" s="63">
        <f t="shared" si="1"/>
        <v>3.3821065234090346E-3</v>
      </c>
      <c r="I48" s="44">
        <f t="shared" si="2"/>
        <v>-1.1281908381039788E-2</v>
      </c>
      <c r="J48" s="64">
        <v>952</v>
      </c>
      <c r="K48" s="64">
        <v>904</v>
      </c>
      <c r="L48" s="64">
        <v>887</v>
      </c>
      <c r="M48" s="65">
        <f t="shared" si="3"/>
        <v>914.33333333333337</v>
      </c>
      <c r="N48" s="66">
        <f t="shared" si="4"/>
        <v>7.8523315098061111E-3</v>
      </c>
      <c r="O48" s="18"/>
      <c r="P48" s="67">
        <v>2454.2436240000002</v>
      </c>
      <c r="Q48" s="22"/>
      <c r="R48" s="68">
        <v>2613.7694595600001</v>
      </c>
      <c r="S48" s="22"/>
      <c r="T48" s="68">
        <v>2666.0448487512003</v>
      </c>
      <c r="U48" s="69">
        <f t="shared" si="5"/>
        <v>2.9158346869316807</v>
      </c>
      <c r="V48" s="46"/>
      <c r="W48" s="68">
        <f t="shared" si="6"/>
        <v>2748.6922390624873</v>
      </c>
      <c r="X48" s="68">
        <f t="shared" si="7"/>
        <v>82.647390311286927</v>
      </c>
      <c r="Y48" s="70">
        <f t="shared" si="8"/>
        <v>3.0999999999999892E-2</v>
      </c>
      <c r="Z48" s="71"/>
      <c r="AA48" s="72">
        <f t="shared" si="26"/>
        <v>2717.6817450537092</v>
      </c>
      <c r="AB48" s="68">
        <f t="shared" si="10"/>
        <v>51.636896302508831</v>
      </c>
      <c r="AC48" s="73">
        <f t="shared" si="11"/>
        <v>1.9368352459147874E-2</v>
      </c>
      <c r="AD48" s="22"/>
      <c r="AE48" s="74">
        <f>'Options 1-3'!AQ39</f>
        <v>749.51982142526867</v>
      </c>
      <c r="AF48" s="75">
        <f t="shared" si="12"/>
        <v>-1999.1724176372186</v>
      </c>
      <c r="AG48" s="69">
        <f t="shared" si="13"/>
        <v>0.81974460965213491</v>
      </c>
      <c r="AH48" s="22"/>
      <c r="AI48" s="76">
        <v>1722.6152773873025</v>
      </c>
      <c r="AJ48" s="75">
        <f t="shared" si="14"/>
        <v>-1026.0769616751847</v>
      </c>
      <c r="AK48" s="69">
        <f t="shared" si="15"/>
        <v>1.8840123339999661</v>
      </c>
      <c r="AL48" s="69">
        <f t="shared" si="16"/>
        <v>1.8840123339999661</v>
      </c>
      <c r="AM48" s="77"/>
      <c r="AN48" s="76">
        <f>SUM('Options 1-3'!T39*'Summary (2)'!$AN$3)</f>
        <v>2174.0080000000003</v>
      </c>
      <c r="AO48" s="75">
        <f t="shared" si="17"/>
        <v>-574.68423906248699</v>
      </c>
      <c r="AP48" s="22"/>
      <c r="AQ48" s="74">
        <f>'Op4'!AQ39</f>
        <v>2094.7465283173933</v>
      </c>
      <c r="AR48" s="75">
        <f t="shared" si="18"/>
        <v>-653.94571074509395</v>
      </c>
      <c r="AS48" s="22"/>
      <c r="AT48" s="74">
        <f>'Op5'!AQ39</f>
        <v>1869.5208648089306</v>
      </c>
      <c r="AU48" s="75">
        <f t="shared" si="19"/>
        <v>-879.17137425355668</v>
      </c>
      <c r="AV48" s="22"/>
      <c r="AW48" s="74">
        <f>'Op6'!AQ39</f>
        <v>2198.0172235486657</v>
      </c>
      <c r="AX48" s="75">
        <f t="shared" si="20"/>
        <v>-550.67501551382156</v>
      </c>
      <c r="AY48" s="22"/>
      <c r="AZ48" s="74">
        <f>'Op7'!AQ39</f>
        <v>1869.5208648089306</v>
      </c>
      <c r="BA48" s="75">
        <f t="shared" si="21"/>
        <v>-879.17137425355668</v>
      </c>
      <c r="BB48" s="22"/>
      <c r="BC48" s="74">
        <f>'Op8'!AQ39</f>
        <v>1681.3824591295443</v>
      </c>
      <c r="BD48" s="75">
        <f t="shared" si="22"/>
        <v>-1067.309779932943</v>
      </c>
      <c r="BE48" s="75"/>
      <c r="BF48" s="74">
        <v>1761.8018904826934</v>
      </c>
      <c r="BG48" s="75">
        <v>-904.24295826850698</v>
      </c>
      <c r="BH48" s="75"/>
      <c r="BI48" s="75">
        <v>1661.8254299651383</v>
      </c>
      <c r="BJ48" s="75">
        <v>-1004.2194187860621</v>
      </c>
      <c r="BK48" s="75"/>
      <c r="BL48" s="74">
        <v>1983.0357274888906</v>
      </c>
      <c r="BM48" s="75">
        <v>-683.00912126230969</v>
      </c>
      <c r="BN48" s="75"/>
      <c r="BO48" s="74">
        <v>1861.3109231114047</v>
      </c>
      <c r="BP48" s="75">
        <v>-804.73392563979564</v>
      </c>
      <c r="BQ48" s="74">
        <v>2549.0278066462683</v>
      </c>
      <c r="BR48" s="75">
        <v>-117.01704210493199</v>
      </c>
      <c r="BS48" s="75"/>
      <c r="BT48" s="74">
        <v>2586.4123749954597</v>
      </c>
      <c r="BU48" s="75">
        <v>-79.632473755740648</v>
      </c>
      <c r="BV48" s="75"/>
      <c r="BW48" s="22"/>
      <c r="BX48" s="74">
        <f>'Op9'!AQ39</f>
        <v>1446.7505788499393</v>
      </c>
      <c r="BY48" s="75">
        <f t="shared" si="23"/>
        <v>-1301.941660212548</v>
      </c>
      <c r="BZ48" s="22"/>
      <c r="CA48" s="74">
        <v>1515.8739949636517</v>
      </c>
      <c r="CB48" s="75">
        <v>-1150.1708537875486</v>
      </c>
      <c r="CC48" s="22"/>
      <c r="CD48" s="74">
        <v>1374.9095518595896</v>
      </c>
      <c r="CE48" s="75">
        <v>-1291.1352968916108</v>
      </c>
      <c r="CF48" s="22"/>
      <c r="CG48" s="74">
        <v>1696.1198493833422</v>
      </c>
      <c r="CH48" s="75">
        <v>-969.92499936785816</v>
      </c>
      <c r="CI48" s="22"/>
      <c r="CJ48" s="74">
        <v>1656.3710101788702</v>
      </c>
      <c r="CK48" s="75">
        <v>-1009.6738385723302</v>
      </c>
      <c r="CL48" s="22"/>
      <c r="CM48" s="74">
        <v>2140.0525493644536</v>
      </c>
      <c r="CN48" s="75">
        <v>-525.99229938674671</v>
      </c>
      <c r="CO48" s="22"/>
      <c r="CP48" s="74">
        <v>2175.6279805471363</v>
      </c>
      <c r="CQ48" s="75">
        <v>-490.41686820406403</v>
      </c>
    </row>
    <row r="49" spans="1:95" ht="15.75" customHeight="1" x14ac:dyDescent="0.5">
      <c r="A49" s="83" t="s">
        <v>146</v>
      </c>
      <c r="B49" s="90" t="s">
        <v>147</v>
      </c>
      <c r="C49" s="104" t="s">
        <v>81</v>
      </c>
      <c r="D49" s="85"/>
      <c r="E49" s="62">
        <f>AVERAGE('Avg master'!D38:F38)</f>
        <v>369.33333333333331</v>
      </c>
      <c r="F49" s="62">
        <f>'Avg master'!H38</f>
        <v>369.33333333333331</v>
      </c>
      <c r="G49" s="63">
        <f t="shared" si="0"/>
        <v>1.3817477113244694E-3</v>
      </c>
      <c r="H49" s="63">
        <f t="shared" si="1"/>
        <v>1.3661589602395954E-3</v>
      </c>
      <c r="I49" s="44">
        <f t="shared" si="2"/>
        <v>-1.1281908381039702E-2</v>
      </c>
      <c r="J49" s="64">
        <v>371</v>
      </c>
      <c r="K49" s="64">
        <v>369</v>
      </c>
      <c r="L49" s="64">
        <v>368</v>
      </c>
      <c r="M49" s="65">
        <f t="shared" si="3"/>
        <v>369.33333333333331</v>
      </c>
      <c r="N49" s="66">
        <f t="shared" si="4"/>
        <v>3.1718495489847505E-3</v>
      </c>
      <c r="O49" s="18"/>
      <c r="P49" s="67">
        <v>1227.1218120000001</v>
      </c>
      <c r="Q49" s="22"/>
      <c r="R49" s="68">
        <v>1306.88472978</v>
      </c>
      <c r="S49" s="22"/>
      <c r="T49" s="68">
        <v>1333.0224243756002</v>
      </c>
      <c r="U49" s="69">
        <f t="shared" si="5"/>
        <v>3.6092664919916975</v>
      </c>
      <c r="V49" s="46"/>
      <c r="W49" s="68">
        <f t="shared" si="6"/>
        <v>1374.3461195312436</v>
      </c>
      <c r="X49" s="68">
        <f t="shared" si="7"/>
        <v>41.323695155643463</v>
      </c>
      <c r="Y49" s="70">
        <f t="shared" si="8"/>
        <v>3.0999999999999892E-2</v>
      </c>
      <c r="Z49" s="71"/>
      <c r="AA49" s="72">
        <f t="shared" si="26"/>
        <v>1358.8408725268546</v>
      </c>
      <c r="AB49" s="68">
        <f t="shared" si="10"/>
        <v>25.818448151254415</v>
      </c>
      <c r="AC49" s="73">
        <f t="shared" si="11"/>
        <v>1.9368352459147874E-2</v>
      </c>
      <c r="AD49" s="22"/>
      <c r="AE49" s="74">
        <f>'Options 1-3'!AQ40</f>
        <v>302.75900916485512</v>
      </c>
      <c r="AF49" s="75">
        <f t="shared" si="12"/>
        <v>-1071.5871103663885</v>
      </c>
      <c r="AG49" s="69">
        <f t="shared" si="13"/>
        <v>0.8197446096521348</v>
      </c>
      <c r="AH49" s="22"/>
      <c r="AI49" s="76">
        <v>695.82855535732085</v>
      </c>
      <c r="AJ49" s="75">
        <f t="shared" si="14"/>
        <v>-678.51756417392278</v>
      </c>
      <c r="AK49" s="69">
        <f t="shared" si="15"/>
        <v>1.8840123339999664</v>
      </c>
      <c r="AL49" s="69">
        <f t="shared" si="16"/>
        <v>1.8840123339999664</v>
      </c>
      <c r="AM49" s="77"/>
      <c r="AN49" s="76">
        <f>SUM('Options 1-3'!T40*'Summary (2)'!$AN$3)</f>
        <v>2353.9065000000001</v>
      </c>
      <c r="AO49" s="75">
        <f t="shared" si="17"/>
        <v>979.56038046875642</v>
      </c>
      <c r="AP49" s="22"/>
      <c r="AQ49" s="74">
        <f>'Op4'!AQ40</f>
        <v>1213.077993544418</v>
      </c>
      <c r="AR49" s="75">
        <f t="shared" si="18"/>
        <v>-161.26812598682568</v>
      </c>
      <c r="AS49" s="22"/>
      <c r="AT49" s="74">
        <f>'Op5'!AQ40</f>
        <v>1022.4136492250705</v>
      </c>
      <c r="AU49" s="75">
        <f t="shared" si="19"/>
        <v>-351.93247030617317</v>
      </c>
      <c r="AV49" s="22"/>
      <c r="AW49" s="74">
        <f>'Op6'!AQ40</f>
        <v>2225.455879555449</v>
      </c>
      <c r="AX49" s="75">
        <f t="shared" si="20"/>
        <v>851.10976002420534</v>
      </c>
      <c r="AY49" s="22"/>
      <c r="AZ49" s="74">
        <f>'Op7'!AQ40</f>
        <v>1022.4136492250705</v>
      </c>
      <c r="BA49" s="75">
        <f t="shared" si="21"/>
        <v>-351.93247030617317</v>
      </c>
      <c r="BB49" s="22"/>
      <c r="BC49" s="74">
        <f>'Op8'!AQ40</f>
        <v>1343.9220322119236</v>
      </c>
      <c r="BD49" s="75">
        <f t="shared" si="22"/>
        <v>-30.424087319320051</v>
      </c>
      <c r="BE49" s="75"/>
      <c r="BF49" s="74">
        <v>1416.6661937672977</v>
      </c>
      <c r="BG49" s="75">
        <v>83.64376939169756</v>
      </c>
      <c r="BH49" s="75"/>
      <c r="BI49" s="75">
        <v>1288.6898254341647</v>
      </c>
      <c r="BJ49" s="75">
        <v>-44.332598941435435</v>
      </c>
      <c r="BK49" s="75"/>
      <c r="BL49" s="74">
        <v>1610.7364381390114</v>
      </c>
      <c r="BM49" s="75">
        <v>277.71401376341123</v>
      </c>
      <c r="BN49" s="75"/>
      <c r="BO49" s="74">
        <v>1575.712528583781</v>
      </c>
      <c r="BP49" s="75">
        <v>242.69010420818086</v>
      </c>
      <c r="BQ49" s="74">
        <v>2025.5167605387956</v>
      </c>
      <c r="BR49" s="75">
        <v>692.49433616319538</v>
      </c>
      <c r="BS49" s="75"/>
      <c r="BT49" s="74">
        <v>2028.4694599586578</v>
      </c>
      <c r="BU49" s="75">
        <v>695.44703558305764</v>
      </c>
      <c r="BV49" s="75"/>
      <c r="BW49" s="22"/>
      <c r="BX49" s="74">
        <f>'Op9'!AQ40</f>
        <v>1242.3539558130954</v>
      </c>
      <c r="BY49" s="75">
        <f t="shared" si="23"/>
        <v>-131.99216371814828</v>
      </c>
      <c r="BZ49" s="22"/>
      <c r="CA49" s="74">
        <v>1317.3267449028797</v>
      </c>
      <c r="CB49" s="75">
        <v>-15.695679472720485</v>
      </c>
      <c r="CC49" s="22"/>
      <c r="CD49" s="74">
        <v>1172.7938017590106</v>
      </c>
      <c r="CE49" s="75">
        <v>-160.22862261658952</v>
      </c>
      <c r="CF49" s="22"/>
      <c r="CG49" s="74">
        <v>1494.8404144638573</v>
      </c>
      <c r="CH49" s="75">
        <v>161.81799008825715</v>
      </c>
      <c r="CI49" s="22"/>
      <c r="CJ49" s="74">
        <v>1492.9296545300992</v>
      </c>
      <c r="CK49" s="75">
        <v>159.90723015449908</v>
      </c>
      <c r="CL49" s="22"/>
      <c r="CM49" s="74">
        <v>1860.3164014180331</v>
      </c>
      <c r="CN49" s="75">
        <v>527.29397704243297</v>
      </c>
      <c r="CO49" s="22"/>
      <c r="CP49" s="74">
        <v>1862.538322864694</v>
      </c>
      <c r="CQ49" s="75">
        <v>529.51589848909384</v>
      </c>
    </row>
    <row r="50" spans="1:95" ht="15.75" customHeight="1" x14ac:dyDescent="0.5">
      <c r="A50" s="83" t="s">
        <v>148</v>
      </c>
      <c r="B50" s="59" t="s">
        <v>149</v>
      </c>
      <c r="C50" s="115" t="s">
        <v>135</v>
      </c>
      <c r="D50" s="85"/>
      <c r="E50" s="62">
        <f>AVERAGE('Avg master'!D39:F39)</f>
        <v>9981</v>
      </c>
      <c r="F50" s="62">
        <f>'Avg master'!H39</f>
        <v>10354</v>
      </c>
      <c r="G50" s="63">
        <f t="shared" si="0"/>
        <v>3.7340858953238798E-2</v>
      </c>
      <c r="H50" s="63">
        <f t="shared" si="1"/>
        <v>3.8299304713864904E-2</v>
      </c>
      <c r="I50" s="44">
        <f t="shared" si="2"/>
        <v>2.5667480274793576E-2</v>
      </c>
      <c r="J50" s="64">
        <v>4494</v>
      </c>
      <c r="K50" s="64">
        <v>3364</v>
      </c>
      <c r="L50" s="64">
        <v>2719</v>
      </c>
      <c r="M50" s="65">
        <f t="shared" si="3"/>
        <v>3525.6666666666665</v>
      </c>
      <c r="N50" s="66">
        <f t="shared" si="4"/>
        <v>3.0278567400371575E-2</v>
      </c>
      <c r="O50" s="18"/>
      <c r="P50" s="67">
        <v>9793.6007472000019</v>
      </c>
      <c r="Q50" s="22"/>
      <c r="R50" s="68">
        <v>10430.184795768002</v>
      </c>
      <c r="S50" s="22"/>
      <c r="T50" s="68">
        <v>10638.788491683363</v>
      </c>
      <c r="U50" s="69">
        <f t="shared" si="5"/>
        <v>1.027505166281955</v>
      </c>
      <c r="V50" s="46"/>
      <c r="W50" s="68">
        <f t="shared" si="6"/>
        <v>10968.590934925545</v>
      </c>
      <c r="X50" s="68">
        <f t="shared" si="7"/>
        <v>329.80244324218256</v>
      </c>
      <c r="Y50" s="70">
        <f t="shared" si="8"/>
        <v>3.099999999999984E-2</v>
      </c>
      <c r="Z50" s="71"/>
      <c r="AA50" s="72">
        <f t="shared" si="26"/>
        <v>11250.127026390026</v>
      </c>
      <c r="AB50" s="68">
        <f t="shared" si="10"/>
        <v>611.33853470666327</v>
      </c>
      <c r="AC50" s="73">
        <f t="shared" si="11"/>
        <v>5.7463172163311982E-2</v>
      </c>
      <c r="AD50" s="22"/>
      <c r="AE50" s="74">
        <f>'Options 1-3'!AQ41</f>
        <v>8487.635688338205</v>
      </c>
      <c r="AF50" s="75">
        <f t="shared" si="12"/>
        <v>-2480.9552465873403</v>
      </c>
      <c r="AG50" s="69">
        <f t="shared" si="13"/>
        <v>0.81974460965213491</v>
      </c>
      <c r="AH50" s="22"/>
      <c r="AI50" s="76">
        <v>6642.3994855725477</v>
      </c>
      <c r="AJ50" s="75">
        <f t="shared" si="14"/>
        <v>-4326.1914493529976</v>
      </c>
      <c r="AK50" s="69">
        <f t="shared" si="15"/>
        <v>0.64152979385479503</v>
      </c>
      <c r="AL50" s="69">
        <f t="shared" si="16"/>
        <v>1.8840123339999664</v>
      </c>
      <c r="AM50" s="77"/>
      <c r="AN50" s="76">
        <f>SUM('Options 1-3'!T41*'Summary (2)'!$AN$3)</f>
        <v>7196.6020000000008</v>
      </c>
      <c r="AO50" s="75">
        <f t="shared" si="17"/>
        <v>-3771.9889349255445</v>
      </c>
      <c r="AP50" s="22"/>
      <c r="AQ50" s="74">
        <f>'Op4'!AQ41</f>
        <v>6319.2060398840513</v>
      </c>
      <c r="AR50" s="75">
        <f t="shared" si="18"/>
        <v>-4649.384895041494</v>
      </c>
      <c r="AS50" s="22"/>
      <c r="AT50" s="74">
        <f>'Op5'!AQ41</f>
        <v>6922.2773322005596</v>
      </c>
      <c r="AU50" s="75">
        <f t="shared" si="19"/>
        <v>-4046.3136027249857</v>
      </c>
      <c r="AV50" s="22"/>
      <c r="AW50" s="74">
        <f>'Op6'!AQ41</f>
        <v>7328.4919515246893</v>
      </c>
      <c r="AX50" s="75">
        <f t="shared" si="20"/>
        <v>-3640.098983400856</v>
      </c>
      <c r="AY50" s="22"/>
      <c r="AZ50" s="74">
        <f>'Op7'!AQ41</f>
        <v>6922.2773322005596</v>
      </c>
      <c r="BA50" s="75">
        <f t="shared" si="21"/>
        <v>-4046.3136027249857</v>
      </c>
      <c r="BB50" s="22"/>
      <c r="BC50" s="74">
        <f>'Op8'!AQ41</f>
        <v>6369.5951696153406</v>
      </c>
      <c r="BD50" s="75">
        <f t="shared" si="22"/>
        <v>-4598.9957653102047</v>
      </c>
      <c r="BE50" s="75"/>
      <c r="BF50" s="74">
        <v>6235.7284116190194</v>
      </c>
      <c r="BG50" s="75">
        <v>-4403.0600800643433</v>
      </c>
      <c r="BH50" s="75"/>
      <c r="BI50" s="75">
        <v>6593.1856988510099</v>
      </c>
      <c r="BJ50" s="75">
        <v>-4045.6027928323529</v>
      </c>
      <c r="BK50" s="75"/>
      <c r="BL50" s="74">
        <v>6552.6896805516662</v>
      </c>
      <c r="BM50" s="75">
        <v>-4086.0988111316965</v>
      </c>
      <c r="BN50" s="75"/>
      <c r="BO50" s="74">
        <v>6373.2421380729711</v>
      </c>
      <c r="BP50" s="75">
        <v>-4265.5463536103916</v>
      </c>
      <c r="BQ50" s="74">
        <v>6068.4567056815949</v>
      </c>
      <c r="BR50" s="75">
        <v>-4570.3317860017678</v>
      </c>
      <c r="BS50" s="75"/>
      <c r="BT50" s="74">
        <v>6236.5977028946163</v>
      </c>
      <c r="BU50" s="75">
        <v>-4402.1907887887464</v>
      </c>
      <c r="BV50" s="75"/>
      <c r="BW50" s="22"/>
      <c r="BX50" s="74">
        <f>'Op9'!AQ41</f>
        <v>6905.1639552633414</v>
      </c>
      <c r="BY50" s="75">
        <f t="shared" si="23"/>
        <v>-4063.4269796622038</v>
      </c>
      <c r="BZ50" s="22"/>
      <c r="CA50" s="74">
        <v>6595.6901290958685</v>
      </c>
      <c r="CB50" s="75">
        <v>-4043.0983625874942</v>
      </c>
      <c r="CC50" s="22"/>
      <c r="CD50" s="74">
        <v>7013.1410359073325</v>
      </c>
      <c r="CE50" s="75">
        <v>-3625.6474557760303</v>
      </c>
      <c r="CF50" s="22"/>
      <c r="CG50" s="74">
        <v>6972.6450176079888</v>
      </c>
      <c r="CH50" s="75">
        <v>-3666.1434740753739</v>
      </c>
      <c r="CI50" s="22"/>
      <c r="CJ50" s="74">
        <v>6673.210235970344</v>
      </c>
      <c r="CK50" s="75">
        <v>-3965.5782557130187</v>
      </c>
      <c r="CL50" s="22"/>
      <c r="CM50" s="74">
        <v>6667.0688952666496</v>
      </c>
      <c r="CN50" s="75">
        <v>-3971.7195964167131</v>
      </c>
      <c r="CO50" s="22"/>
      <c r="CP50" s="74">
        <v>6837.8579048990559</v>
      </c>
      <c r="CQ50" s="75">
        <v>-3800.9305867843068</v>
      </c>
    </row>
    <row r="51" spans="1:95" ht="15.75" customHeight="1" x14ac:dyDescent="0.5">
      <c r="A51" s="80" t="s">
        <v>150</v>
      </c>
      <c r="B51" s="59" t="s">
        <v>151</v>
      </c>
      <c r="C51" s="84" t="s">
        <v>72</v>
      </c>
      <c r="D51" s="82"/>
      <c r="E51" s="62">
        <f>AVERAGE('Avg master'!D40:F40)</f>
        <v>24084.333333333332</v>
      </c>
      <c r="F51" s="62">
        <f>'Avg master'!H40</f>
        <v>24124.333333333332</v>
      </c>
      <c r="G51" s="63">
        <f t="shared" si="0"/>
        <v>9.0104167316179512E-2</v>
      </c>
      <c r="H51" s="63">
        <f t="shared" si="1"/>
        <v>8.9235579809946064E-2</v>
      </c>
      <c r="I51" s="44">
        <f t="shared" si="2"/>
        <v>-9.6398150285939167E-3</v>
      </c>
      <c r="J51" s="64">
        <v>8020</v>
      </c>
      <c r="K51" s="64">
        <v>7378</v>
      </c>
      <c r="L51" s="64">
        <v>6220</v>
      </c>
      <c r="M51" s="65">
        <f t="shared" si="3"/>
        <v>7206</v>
      </c>
      <c r="N51" s="66">
        <f t="shared" si="4"/>
        <v>6.1885418366382977E-2</v>
      </c>
      <c r="O51" s="18"/>
      <c r="P51" s="67">
        <v>12271.218120000003</v>
      </c>
      <c r="Q51" s="22"/>
      <c r="R51" s="68">
        <v>13068.847297800003</v>
      </c>
      <c r="S51" s="22"/>
      <c r="T51" s="68">
        <v>13330.224243756003</v>
      </c>
      <c r="U51" s="69">
        <f t="shared" si="5"/>
        <v>0.5525634246371991</v>
      </c>
      <c r="V51" s="46"/>
      <c r="W51" s="68">
        <f t="shared" si="6"/>
        <v>13743.461195312439</v>
      </c>
      <c r="X51" s="68">
        <f t="shared" si="7"/>
        <v>413.23695155643509</v>
      </c>
      <c r="Y51" s="70">
        <f t="shared" si="8"/>
        <v>3.0999999999999923E-2</v>
      </c>
      <c r="Z51" s="71"/>
      <c r="AA51" s="72">
        <f t="shared" si="26"/>
        <v>13610.976771536969</v>
      </c>
      <c r="AB51" s="68">
        <f t="shared" si="10"/>
        <v>280.75252778096547</v>
      </c>
      <c r="AC51" s="73">
        <f t="shared" si="11"/>
        <v>2.1061350705519635E-2</v>
      </c>
      <c r="AD51" s="22"/>
      <c r="AE51" s="74">
        <f>'Options 1-3'!AQ42</f>
        <v>19775.792211451317</v>
      </c>
      <c r="AF51" s="75">
        <f t="shared" si="12"/>
        <v>6032.3310161388781</v>
      </c>
      <c r="AG51" s="69">
        <f t="shared" si="13"/>
        <v>0.8197446096521348</v>
      </c>
      <c r="AH51" s="22"/>
      <c r="AI51" s="76">
        <v>13576.192878803757</v>
      </c>
      <c r="AJ51" s="75">
        <f t="shared" si="14"/>
        <v>-167.26831650868189</v>
      </c>
      <c r="AK51" s="69">
        <f t="shared" si="15"/>
        <v>0.56275929747849707</v>
      </c>
      <c r="AL51" s="69">
        <f t="shared" si="16"/>
        <v>1.8840123339999661</v>
      </c>
      <c r="AM51" s="77"/>
      <c r="AN51" s="76">
        <f>SUM('Options 1-3'!T42*'Summary (2)'!$AN$3)</f>
        <v>8660.9459999999999</v>
      </c>
      <c r="AO51" s="75">
        <f t="shared" si="17"/>
        <v>-5082.5151953124387</v>
      </c>
      <c r="AP51" s="22"/>
      <c r="AQ51" s="74">
        <f>'Op4'!AQ42</f>
        <v>12273.030071950361</v>
      </c>
      <c r="AR51" s="75">
        <f t="shared" si="18"/>
        <v>-1470.4311233620774</v>
      </c>
      <c r="AS51" s="22"/>
      <c r="AT51" s="74">
        <f>'Op5'!AQ42</f>
        <v>14154.83381406238</v>
      </c>
      <c r="AU51" s="75">
        <f t="shared" si="19"/>
        <v>411.37261874994147</v>
      </c>
      <c r="AV51" s="22"/>
      <c r="AW51" s="74">
        <f>'Op6'!AQ42</f>
        <v>10598.521577044075</v>
      </c>
      <c r="AX51" s="75">
        <f t="shared" si="20"/>
        <v>-3144.9396182683631</v>
      </c>
      <c r="AY51" s="22"/>
      <c r="AZ51" s="74">
        <f>'Op7'!AQ42</f>
        <v>14154.83381406238</v>
      </c>
      <c r="BA51" s="75">
        <f t="shared" si="21"/>
        <v>411.37261874994147</v>
      </c>
      <c r="BB51" s="22"/>
      <c r="BC51" s="74">
        <f>'Op8'!AQ42</f>
        <v>13607.584147188734</v>
      </c>
      <c r="BD51" s="75">
        <f t="shared" si="22"/>
        <v>-135.8770481237043</v>
      </c>
      <c r="BE51" s="75"/>
      <c r="BF51" s="74">
        <v>13411.241964012364</v>
      </c>
      <c r="BG51" s="75">
        <v>81.017720256360917</v>
      </c>
      <c r="BH51" s="75"/>
      <c r="BI51" s="75">
        <v>13688.090805092126</v>
      </c>
      <c r="BJ51" s="75">
        <v>357.86656133612269</v>
      </c>
      <c r="BK51" s="75"/>
      <c r="BL51" s="74">
        <v>12645.345713250103</v>
      </c>
      <c r="BM51" s="75">
        <v>-684.87853050590093</v>
      </c>
      <c r="BN51" s="75"/>
      <c r="BO51" s="74">
        <v>12877.016763796057</v>
      </c>
      <c r="BP51" s="75">
        <v>-453.2074799599468</v>
      </c>
      <c r="BQ51" s="74">
        <v>10542.034859074703</v>
      </c>
      <c r="BR51" s="75">
        <v>-2788.1893846813</v>
      </c>
      <c r="BS51" s="75"/>
      <c r="BT51" s="74">
        <v>12090.221584023946</v>
      </c>
      <c r="BU51" s="75">
        <v>-1240.0026597320575</v>
      </c>
      <c r="BV51" s="75"/>
      <c r="BW51" s="22"/>
      <c r="BX51" s="74">
        <f>'Op9'!AQ42</f>
        <v>15924.679064842256</v>
      </c>
      <c r="BY51" s="75">
        <f t="shared" si="23"/>
        <v>2181.2178695298171</v>
      </c>
      <c r="BZ51" s="22"/>
      <c r="CA51" s="74">
        <v>15012.073254851546</v>
      </c>
      <c r="CB51" s="75">
        <v>1681.8490110955427</v>
      </c>
      <c r="CC51" s="22"/>
      <c r="CD51" s="74">
        <v>15555.72731107117</v>
      </c>
      <c r="CE51" s="75">
        <v>2225.5030673151668</v>
      </c>
      <c r="CF51" s="22"/>
      <c r="CG51" s="74">
        <v>14512.982219229147</v>
      </c>
      <c r="CH51" s="75">
        <v>1182.7579754731432</v>
      </c>
      <c r="CI51" s="22"/>
      <c r="CJ51" s="74">
        <v>14211.042839495374</v>
      </c>
      <c r="CK51" s="75">
        <v>880.81859573937072</v>
      </c>
      <c r="CL51" s="22"/>
      <c r="CM51" s="74">
        <v>13204.198854964474</v>
      </c>
      <c r="CN51" s="75">
        <v>-126.02538879152962</v>
      </c>
      <c r="CO51" s="22"/>
      <c r="CP51" s="74">
        <v>14764.161890931444</v>
      </c>
      <c r="CQ51" s="75">
        <v>1433.9376471754404</v>
      </c>
    </row>
    <row r="52" spans="1:95" ht="15.75" customHeight="1" x14ac:dyDescent="0.5">
      <c r="A52" s="80" t="s">
        <v>152</v>
      </c>
      <c r="B52" s="59" t="s">
        <v>153</v>
      </c>
      <c r="C52" s="116" t="s">
        <v>92</v>
      </c>
      <c r="D52" s="82"/>
      <c r="E52" s="62">
        <f>AVERAGE('Avg master'!D41:F41)</f>
        <v>2138.3333333333335</v>
      </c>
      <c r="F52" s="62">
        <f>'Avg master'!H41</f>
        <v>2147.3333333333335</v>
      </c>
      <c r="G52" s="63">
        <f t="shared" si="0"/>
        <v>7.9999201878578272E-3</v>
      </c>
      <c r="H52" s="63">
        <f t="shared" si="1"/>
        <v>7.9429566984327397E-3</v>
      </c>
      <c r="I52" s="44">
        <f t="shared" si="2"/>
        <v>-7.1205072160027104E-3</v>
      </c>
      <c r="J52" s="64">
        <v>776</v>
      </c>
      <c r="K52" s="64">
        <v>591</v>
      </c>
      <c r="L52" s="64">
        <v>429</v>
      </c>
      <c r="M52" s="65">
        <f t="shared" si="3"/>
        <v>598.66666666666663</v>
      </c>
      <c r="N52" s="66">
        <f t="shared" si="4"/>
        <v>5.1413734566575914E-3</v>
      </c>
      <c r="O52" s="18"/>
      <c r="P52" s="67">
        <v>1659.5361648000001</v>
      </c>
      <c r="Q52" s="22"/>
      <c r="R52" s="68">
        <v>1767.4060155120001</v>
      </c>
      <c r="S52" s="22"/>
      <c r="T52" s="68">
        <v>1802.7541358222402</v>
      </c>
      <c r="U52" s="69">
        <f t="shared" si="5"/>
        <v>0.83953157520439614</v>
      </c>
      <c r="V52" s="46"/>
      <c r="W52" s="68">
        <f t="shared" si="6"/>
        <v>1858.6395140327295</v>
      </c>
      <c r="X52" s="68">
        <f t="shared" si="7"/>
        <v>55.885378210489307</v>
      </c>
      <c r="Y52" s="70">
        <f t="shared" si="8"/>
        <v>3.0999999999999923E-2</v>
      </c>
      <c r="Z52" s="71"/>
      <c r="AA52" s="72">
        <f t="shared" si="26"/>
        <v>1845.4050579611119</v>
      </c>
      <c r="AB52" s="68">
        <f t="shared" si="10"/>
        <v>42.650922138871692</v>
      </c>
      <c r="AC52" s="73">
        <f t="shared" si="11"/>
        <v>2.3658757060301242E-2</v>
      </c>
      <c r="AD52" s="22"/>
      <c r="AE52" s="74">
        <f>'Options 1-3'!AQ43</f>
        <v>1760.2649251263513</v>
      </c>
      <c r="AF52" s="75">
        <f t="shared" si="12"/>
        <v>-98.374588906378222</v>
      </c>
      <c r="AG52" s="69">
        <f t="shared" si="13"/>
        <v>0.81974460965213491</v>
      </c>
      <c r="AH52" s="22"/>
      <c r="AI52" s="76">
        <v>1127.8953839546464</v>
      </c>
      <c r="AJ52" s="75">
        <f t="shared" si="14"/>
        <v>-730.74413007808312</v>
      </c>
      <c r="AK52" s="69">
        <f t="shared" si="15"/>
        <v>0.52525398197204887</v>
      </c>
      <c r="AL52" s="69">
        <f t="shared" si="16"/>
        <v>1.8840123339999661</v>
      </c>
      <c r="AM52" s="77"/>
      <c r="AN52" s="76">
        <f>SUM('Options 1-3'!T43*'Summary (2)'!$AN$3)</f>
        <v>1635.6365000000001</v>
      </c>
      <c r="AO52" s="75">
        <f t="shared" si="17"/>
        <v>-223.00301403272942</v>
      </c>
      <c r="AP52" s="22"/>
      <c r="AQ52" s="74">
        <f>'Op4'!AQ43</f>
        <v>1584.0797990024034</v>
      </c>
      <c r="AR52" s="75">
        <f t="shared" si="18"/>
        <v>-274.55971503032606</v>
      </c>
      <c r="AS52" s="22"/>
      <c r="AT52" s="74">
        <f>'Op5'!AQ43</f>
        <v>1443.5318787852266</v>
      </c>
      <c r="AU52" s="75">
        <f t="shared" si="19"/>
        <v>-415.10763524750291</v>
      </c>
      <c r="AV52" s="22"/>
      <c r="AW52" s="74">
        <f>'Op6'!AQ43</f>
        <v>1812.5166021636762</v>
      </c>
      <c r="AX52" s="75">
        <f t="shared" si="20"/>
        <v>-46.122911869053269</v>
      </c>
      <c r="AY52" s="22"/>
      <c r="AZ52" s="74">
        <f>'Op7'!AQ43</f>
        <v>1443.5318787852266</v>
      </c>
      <c r="BA52" s="75">
        <f t="shared" si="21"/>
        <v>-415.10763524750291</v>
      </c>
      <c r="BB52" s="22"/>
      <c r="BC52" s="74">
        <f>'Op8'!AQ43</f>
        <v>1554.9355658671914</v>
      </c>
      <c r="BD52" s="75">
        <f t="shared" si="22"/>
        <v>-303.70394816553812</v>
      </c>
      <c r="BE52" s="75"/>
      <c r="BF52" s="74">
        <v>1658.3243188874626</v>
      </c>
      <c r="BG52" s="75">
        <v>-144.42981693477759</v>
      </c>
      <c r="BH52" s="75"/>
      <c r="BI52" s="75">
        <v>1468.3008700844191</v>
      </c>
      <c r="BJ52" s="75">
        <v>-334.45326573782108</v>
      </c>
      <c r="BK52" s="75"/>
      <c r="BL52" s="74">
        <v>1751.9964580562469</v>
      </c>
      <c r="BM52" s="75">
        <v>-50.757677765993321</v>
      </c>
      <c r="BN52" s="75"/>
      <c r="BO52" s="74">
        <v>1718.4883435812494</v>
      </c>
      <c r="BP52" s="75">
        <v>-84.265792240990777</v>
      </c>
      <c r="BQ52" s="74">
        <v>2463.4445846637218</v>
      </c>
      <c r="BR52" s="75">
        <v>660.69044884148161</v>
      </c>
      <c r="BS52" s="75"/>
      <c r="BT52" s="74">
        <v>2174.9602050764761</v>
      </c>
      <c r="BU52" s="75">
        <v>372.2060692542359</v>
      </c>
      <c r="BV52" s="75"/>
      <c r="BW52" s="22"/>
      <c r="BX52" s="74">
        <f>'Op9'!AQ43</f>
        <v>1566.5443353530802</v>
      </c>
      <c r="BY52" s="75">
        <f t="shared" si="23"/>
        <v>-292.09517867964928</v>
      </c>
      <c r="BZ52" s="22"/>
      <c r="CA52" s="74">
        <v>1824.8626456011839</v>
      </c>
      <c r="CB52" s="75">
        <v>22.108509778943699</v>
      </c>
      <c r="CC52" s="22"/>
      <c r="CD52" s="74">
        <v>1662.5955845837605</v>
      </c>
      <c r="CE52" s="75">
        <v>-140.15855123847973</v>
      </c>
      <c r="CF52" s="22"/>
      <c r="CG52" s="74">
        <v>1946.2911725555884</v>
      </c>
      <c r="CH52" s="75">
        <v>143.53703673334826</v>
      </c>
      <c r="CI52" s="22"/>
      <c r="CJ52" s="74">
        <v>1857.2702825093506</v>
      </c>
      <c r="CK52" s="75">
        <v>54.516146687110449</v>
      </c>
      <c r="CL52" s="22"/>
      <c r="CM52" s="74">
        <v>2740.3959035504135</v>
      </c>
      <c r="CN52" s="75">
        <v>937.64176772817336</v>
      </c>
      <c r="CO52" s="22"/>
      <c r="CP52" s="74">
        <v>2453.1366419021883</v>
      </c>
      <c r="CQ52" s="75">
        <v>650.38250607994814</v>
      </c>
    </row>
    <row r="53" spans="1:95" ht="15.75" customHeight="1" x14ac:dyDescent="0.5">
      <c r="A53" s="83" t="s">
        <v>154</v>
      </c>
      <c r="B53" s="59" t="s">
        <v>155</v>
      </c>
      <c r="C53" s="112" t="s">
        <v>69</v>
      </c>
      <c r="D53" s="85"/>
      <c r="E53" s="62">
        <f>AVERAGE('Avg master'!D42:F42)</f>
        <v>1793.3333333333333</v>
      </c>
      <c r="F53" s="62">
        <f>'Avg master'!H42</f>
        <v>1785</v>
      </c>
      <c r="G53" s="63">
        <f t="shared" si="0"/>
        <v>6.7092082011964314E-3</v>
      </c>
      <c r="H53" s="63">
        <f t="shared" si="1"/>
        <v>6.6026906426742181E-3</v>
      </c>
      <c r="I53" s="44">
        <f t="shared" si="2"/>
        <v>-1.5876323304919698E-2</v>
      </c>
      <c r="J53" s="64">
        <v>1383</v>
      </c>
      <c r="K53" s="64">
        <v>1367</v>
      </c>
      <c r="L53" s="64">
        <v>1141</v>
      </c>
      <c r="M53" s="65">
        <f t="shared" si="3"/>
        <v>1297</v>
      </c>
      <c r="N53" s="66">
        <f t="shared" si="4"/>
        <v>1.1138688262725328E-2</v>
      </c>
      <c r="O53" s="18"/>
      <c r="P53" s="67">
        <v>1472.5461744000004</v>
      </c>
      <c r="Q53" s="22"/>
      <c r="R53" s="68">
        <v>1568.2616757360004</v>
      </c>
      <c r="S53" s="22"/>
      <c r="T53" s="68">
        <v>1599.6269092507205</v>
      </c>
      <c r="U53" s="69">
        <f t="shared" si="5"/>
        <v>0.89614952899200029</v>
      </c>
      <c r="V53" s="46"/>
      <c r="W53" s="68">
        <f t="shared" si="6"/>
        <v>1649.2153434374927</v>
      </c>
      <c r="X53" s="68">
        <f t="shared" si="7"/>
        <v>49.588434186772247</v>
      </c>
      <c r="Y53" s="70">
        <f t="shared" si="8"/>
        <v>3.0999999999999944E-2</v>
      </c>
      <c r="Z53" s="71"/>
      <c r="AA53" s="72">
        <f t="shared" si="26"/>
        <v>1623.0318674456448</v>
      </c>
      <c r="AB53" s="68">
        <f t="shared" si="10"/>
        <v>23.404958194924347</v>
      </c>
      <c r="AC53" s="73">
        <f t="shared" si="11"/>
        <v>1.4631510672627681E-2</v>
      </c>
      <c r="AD53" s="22"/>
      <c r="AE53" s="74">
        <f>'Options 1-3'!AQ44</f>
        <v>1463.2441282290606</v>
      </c>
      <c r="AF53" s="75">
        <f t="shared" si="12"/>
        <v>-185.97121520843211</v>
      </c>
      <c r="AG53" s="69">
        <f t="shared" si="13"/>
        <v>0.8197446096521348</v>
      </c>
      <c r="AH53" s="22"/>
      <c r="AI53" s="76">
        <v>2443.5639971979563</v>
      </c>
      <c r="AJ53" s="75">
        <f t="shared" si="14"/>
        <v>794.34865376046355</v>
      </c>
      <c r="AK53" s="69">
        <f t="shared" si="15"/>
        <v>1.3689434157971745</v>
      </c>
      <c r="AL53" s="69">
        <f t="shared" si="16"/>
        <v>1.8840123339999664</v>
      </c>
      <c r="AM53" s="77"/>
      <c r="AN53" s="76">
        <f>SUM('Options 1-3'!T44*'Summary (2)'!$AN$3)</f>
        <v>3840.7585000000004</v>
      </c>
      <c r="AO53" s="75">
        <f t="shared" si="17"/>
        <v>2191.5431565625076</v>
      </c>
      <c r="AP53" s="22"/>
      <c r="AQ53" s="74">
        <f>'Op4'!AQ44</f>
        <v>2713.8018664943811</v>
      </c>
      <c r="AR53" s="75">
        <f t="shared" si="18"/>
        <v>1064.5865230568884</v>
      </c>
      <c r="AS53" s="22"/>
      <c r="AT53" s="74">
        <f>'Op5'!AQ44</f>
        <v>2394.7168994091621</v>
      </c>
      <c r="AU53" s="75">
        <f t="shared" si="19"/>
        <v>745.5015559716694</v>
      </c>
      <c r="AV53" s="22"/>
      <c r="AW53" s="74">
        <f>'Op6'!AQ44</f>
        <v>3409.660823679495</v>
      </c>
      <c r="AX53" s="75">
        <f t="shared" si="20"/>
        <v>1760.4454802420023</v>
      </c>
      <c r="AY53" s="22"/>
      <c r="AZ53" s="74">
        <f>'Op7'!AQ44</f>
        <v>2394.7168994091621</v>
      </c>
      <c r="BA53" s="75">
        <f t="shared" si="21"/>
        <v>745.5015559716694</v>
      </c>
      <c r="BB53" s="22"/>
      <c r="BC53" s="74">
        <f>'Op8'!AQ44</f>
        <v>2633.3205734339072</v>
      </c>
      <c r="BD53" s="75">
        <f t="shared" si="22"/>
        <v>984.10522999641444</v>
      </c>
      <c r="BE53" s="75"/>
      <c r="BF53" s="74">
        <v>2642.6290184637892</v>
      </c>
      <c r="BG53" s="75">
        <v>1043.0021092130687</v>
      </c>
      <c r="BH53" s="75"/>
      <c r="BI53" s="75">
        <v>2635.5514710651682</v>
      </c>
      <c r="BJ53" s="75">
        <v>1035.9245618144478</v>
      </c>
      <c r="BK53" s="75"/>
      <c r="BL53" s="74">
        <v>2796.6522140084335</v>
      </c>
      <c r="BM53" s="75">
        <v>1197.025304757713</v>
      </c>
      <c r="BN53" s="75"/>
      <c r="BO53" s="74">
        <v>2773.5735286861477</v>
      </c>
      <c r="BP53" s="75">
        <v>1173.9466194354272</v>
      </c>
      <c r="BQ53" s="74">
        <v>3002.0669610917926</v>
      </c>
      <c r="BR53" s="75">
        <v>1402.4400518410721</v>
      </c>
      <c r="BS53" s="75"/>
      <c r="BT53" s="74">
        <v>2753.557973190751</v>
      </c>
      <c r="BU53" s="75">
        <v>1153.9310639400305</v>
      </c>
      <c r="BV53" s="75"/>
      <c r="BW53" s="22"/>
      <c r="BX53" s="74">
        <f>'Op9'!AQ44</f>
        <v>2253.4599086430699</v>
      </c>
      <c r="BY53" s="75">
        <f t="shared" si="23"/>
        <v>604.24456520557715</v>
      </c>
      <c r="BZ53" s="22"/>
      <c r="CA53" s="74">
        <v>2399.7929267205859</v>
      </c>
      <c r="CB53" s="75">
        <v>800.16601746986544</v>
      </c>
      <c r="CC53" s="22"/>
      <c r="CD53" s="74">
        <v>2352.2426973647648</v>
      </c>
      <c r="CE53" s="75">
        <v>752.61578811404434</v>
      </c>
      <c r="CF53" s="22"/>
      <c r="CG53" s="74">
        <v>2513.34344030803</v>
      </c>
      <c r="CH53" s="75">
        <v>913.71653105730957</v>
      </c>
      <c r="CI53" s="22"/>
      <c r="CJ53" s="74">
        <v>2571.2101189001451</v>
      </c>
      <c r="CK53" s="75">
        <v>971.58320964942459</v>
      </c>
      <c r="CL53" s="22"/>
      <c r="CM53" s="74">
        <v>2598.2333378731637</v>
      </c>
      <c r="CN53" s="75">
        <v>998.60642862244322</v>
      </c>
      <c r="CO53" s="22"/>
      <c r="CP53" s="74">
        <v>2347.9379572653693</v>
      </c>
      <c r="CQ53" s="75">
        <v>748.3110480146488</v>
      </c>
    </row>
    <row r="54" spans="1:95" ht="15.75" customHeight="1" x14ac:dyDescent="0.5">
      <c r="A54" s="103" t="s">
        <v>156</v>
      </c>
      <c r="B54" s="59" t="s">
        <v>113</v>
      </c>
      <c r="C54" s="91" t="s">
        <v>81</v>
      </c>
      <c r="D54" s="84"/>
      <c r="E54" s="62">
        <f>AVERAGE('Avg master'!D43:F43)</f>
        <v>490</v>
      </c>
      <c r="F54" s="62">
        <f>'Avg master'!H43</f>
        <v>490</v>
      </c>
      <c r="G54" s="63">
        <f t="shared" si="0"/>
        <v>1.8331851404756049E-3</v>
      </c>
      <c r="H54" s="63">
        <f t="shared" si="1"/>
        <v>1.8125033136752757E-3</v>
      </c>
      <c r="I54" s="44">
        <f t="shared" si="2"/>
        <v>-1.1281908381039717E-2</v>
      </c>
      <c r="J54" s="64">
        <v>490</v>
      </c>
      <c r="K54" s="64">
        <v>490</v>
      </c>
      <c r="L54" s="64">
        <v>490</v>
      </c>
      <c r="M54" s="65">
        <f t="shared" si="3"/>
        <v>490</v>
      </c>
      <c r="N54" s="66">
        <f t="shared" si="4"/>
        <v>4.2081397445916813E-3</v>
      </c>
      <c r="O54" s="18"/>
      <c r="P54" s="67">
        <v>1227.1218120000001</v>
      </c>
      <c r="Q54" s="22"/>
      <c r="R54" s="68">
        <v>1306.88472978</v>
      </c>
      <c r="S54" s="22"/>
      <c r="T54" s="68">
        <v>1333.0224243756002</v>
      </c>
      <c r="U54" s="69">
        <f t="shared" si="5"/>
        <v>2.7204539272971431</v>
      </c>
      <c r="V54" s="46"/>
      <c r="W54" s="68">
        <f t="shared" si="6"/>
        <v>1374.3461195312436</v>
      </c>
      <c r="X54" s="68">
        <f t="shared" si="7"/>
        <v>41.323695155643463</v>
      </c>
      <c r="Y54" s="70">
        <f t="shared" si="8"/>
        <v>3.0999999999999892E-2</v>
      </c>
      <c r="Z54" s="71"/>
      <c r="AA54" s="72">
        <f t="shared" si="26"/>
        <v>1358.8408725268546</v>
      </c>
      <c r="AB54" s="68">
        <f t="shared" si="10"/>
        <v>25.818448151254415</v>
      </c>
      <c r="AC54" s="73">
        <f t="shared" si="11"/>
        <v>1.9368352459147874E-2</v>
      </c>
      <c r="AD54" s="22"/>
      <c r="AE54" s="74">
        <f>'Options 1-3'!AQ45</f>
        <v>401.67485872954609</v>
      </c>
      <c r="AF54" s="75">
        <f t="shared" si="12"/>
        <v>-972.6712608016976</v>
      </c>
      <c r="AG54" s="69">
        <f t="shared" si="13"/>
        <v>0.81974460965213491</v>
      </c>
      <c r="AH54" s="22"/>
      <c r="AI54" s="76">
        <v>923.16604365998342</v>
      </c>
      <c r="AJ54" s="75">
        <f t="shared" si="14"/>
        <v>-451.18007587126021</v>
      </c>
      <c r="AK54" s="69">
        <f t="shared" si="15"/>
        <v>1.8840123339999661</v>
      </c>
      <c r="AL54" s="69">
        <f t="shared" si="16"/>
        <v>1.8840123339999661</v>
      </c>
      <c r="AM54" s="77"/>
      <c r="AN54" s="76">
        <f>SUM('Options 1-3'!T45*'Summary (2)'!$AN$3)</f>
        <v>1126.7240000000002</v>
      </c>
      <c r="AO54" s="75">
        <f t="shared" si="17"/>
        <v>-247.62211953124347</v>
      </c>
      <c r="AP54" s="22"/>
      <c r="AQ54" s="74">
        <f>'Op4'!AQ45</f>
        <v>1408.2853388580675</v>
      </c>
      <c r="AR54" s="75">
        <f t="shared" si="18"/>
        <v>33.939219326823832</v>
      </c>
      <c r="AS54" s="22"/>
      <c r="AT54" s="74">
        <f>'Op5'!AQ45</f>
        <v>1553.6074685592534</v>
      </c>
      <c r="AU54" s="75">
        <f t="shared" si="19"/>
        <v>179.26134902800982</v>
      </c>
      <c r="AV54" s="22"/>
      <c r="AW54" s="74">
        <f>'Op6'!AQ45</f>
        <v>1701.8383766255818</v>
      </c>
      <c r="AX54" s="75">
        <f t="shared" si="20"/>
        <v>327.49225709433813</v>
      </c>
      <c r="AY54" s="22"/>
      <c r="AZ54" s="74">
        <f>'Op7'!AQ45</f>
        <v>1553.6074685592534</v>
      </c>
      <c r="BA54" s="75">
        <f t="shared" si="21"/>
        <v>179.26134902800982</v>
      </c>
      <c r="BB54" s="22"/>
      <c r="BC54" s="74">
        <f>'Op8'!AQ45</f>
        <v>1811.7321625731699</v>
      </c>
      <c r="BD54" s="75">
        <f t="shared" si="22"/>
        <v>437.38604304192631</v>
      </c>
      <c r="BE54" s="75"/>
      <c r="BF54" s="74">
        <v>1936.8333853525562</v>
      </c>
      <c r="BG54" s="75">
        <v>603.81096097695604</v>
      </c>
      <c r="BH54" s="75"/>
      <c r="BI54" s="75">
        <v>1671.726582238339</v>
      </c>
      <c r="BJ54" s="75">
        <v>338.70415786273884</v>
      </c>
      <c r="BK54" s="75"/>
      <c r="BL54" s="74">
        <v>1909.559243046966</v>
      </c>
      <c r="BM54" s="75">
        <v>576.53681867136584</v>
      </c>
      <c r="BN54" s="75"/>
      <c r="BO54" s="74">
        <v>1939.3679581578558</v>
      </c>
      <c r="BP54" s="75">
        <v>606.34553378225564</v>
      </c>
      <c r="BQ54" s="74">
        <v>2358.9120701785123</v>
      </c>
      <c r="BR54" s="75">
        <v>1025.8896458029121</v>
      </c>
      <c r="BS54" s="75"/>
      <c r="BT54" s="74">
        <v>2621.7924983766115</v>
      </c>
      <c r="BU54" s="75">
        <v>1288.7700740010114</v>
      </c>
      <c r="BV54" s="75"/>
      <c r="BW54" s="22"/>
      <c r="BX54" s="74">
        <f>'Op9'!AQ45</f>
        <v>1806.9641494447576</v>
      </c>
      <c r="BY54" s="75">
        <f t="shared" si="23"/>
        <v>432.61802991351396</v>
      </c>
      <c r="BZ54" s="22"/>
      <c r="CA54" s="74">
        <v>1805.0382681768394</v>
      </c>
      <c r="CB54" s="75">
        <v>472.01584380123927</v>
      </c>
      <c r="CC54" s="22"/>
      <c r="CD54" s="74">
        <v>1517.9656122000029</v>
      </c>
      <c r="CE54" s="75">
        <v>184.94318782440268</v>
      </c>
      <c r="CF54" s="22"/>
      <c r="CG54" s="74">
        <v>1755.7982730086298</v>
      </c>
      <c r="CH54" s="75">
        <v>422.77584863302968</v>
      </c>
      <c r="CI54" s="22"/>
      <c r="CJ54" s="74">
        <v>1829.5386938447584</v>
      </c>
      <c r="CK54" s="75">
        <v>496.51626946915826</v>
      </c>
      <c r="CL54" s="22"/>
      <c r="CM54" s="74">
        <v>2139.7383085291253</v>
      </c>
      <c r="CN54" s="75">
        <v>806.71588415352517</v>
      </c>
      <c r="CO54" s="22"/>
      <c r="CP54" s="74">
        <v>2401.6492027736094</v>
      </c>
      <c r="CQ54" s="75">
        <v>1068.6267783980093</v>
      </c>
    </row>
    <row r="55" spans="1:95" ht="15.75" customHeight="1" x14ac:dyDescent="0.5">
      <c r="A55" s="58" t="s">
        <v>157</v>
      </c>
      <c r="B55" s="59" t="s">
        <v>158</v>
      </c>
      <c r="C55" s="116" t="s">
        <v>92</v>
      </c>
      <c r="D55" s="82"/>
      <c r="E55" s="62">
        <f>AVERAGE('Avg master'!D44:F44)</f>
        <v>3075.6666666666665</v>
      </c>
      <c r="F55" s="62">
        <f>'Avg master'!H44</f>
        <v>3127</v>
      </c>
      <c r="G55" s="63">
        <f t="shared" si="0"/>
        <v>1.1506666184468302E-2</v>
      </c>
      <c r="H55" s="63">
        <f t="shared" si="1"/>
        <v>1.156673033033181E-2</v>
      </c>
      <c r="I55" s="44">
        <f t="shared" si="2"/>
        <v>5.2199433702684378E-3</v>
      </c>
      <c r="J55" s="64">
        <v>1119</v>
      </c>
      <c r="K55" s="64">
        <v>999</v>
      </c>
      <c r="L55" s="64">
        <v>817</v>
      </c>
      <c r="M55" s="65">
        <f t="shared" si="3"/>
        <v>978.33333333333337</v>
      </c>
      <c r="N55" s="66">
        <f t="shared" si="4"/>
        <v>8.4019660886915544E-3</v>
      </c>
      <c r="O55" s="18"/>
      <c r="P55" s="67">
        <v>1659.5361648000001</v>
      </c>
      <c r="Q55" s="22"/>
      <c r="R55" s="68">
        <v>1767.4060155120001</v>
      </c>
      <c r="S55" s="22"/>
      <c r="T55" s="68">
        <v>1802.7541358222402</v>
      </c>
      <c r="U55" s="69">
        <f t="shared" si="5"/>
        <v>0.57651235555556135</v>
      </c>
      <c r="V55" s="46"/>
      <c r="W55" s="68">
        <f t="shared" si="6"/>
        <v>1858.6395140327295</v>
      </c>
      <c r="X55" s="68">
        <f t="shared" si="7"/>
        <v>55.885378210489307</v>
      </c>
      <c r="Y55" s="70">
        <f t="shared" si="8"/>
        <v>3.0999999999999923E-2</v>
      </c>
      <c r="Z55" s="71"/>
      <c r="AA55" s="72">
        <f t="shared" si="26"/>
        <v>1868.3415070417236</v>
      </c>
      <c r="AB55" s="68">
        <f t="shared" si="10"/>
        <v>65.58737121948343</v>
      </c>
      <c r="AC55" s="73">
        <f t="shared" si="11"/>
        <v>3.6381761614746697E-2</v>
      </c>
      <c r="AD55" s="22"/>
      <c r="AE55" s="74">
        <f>'Options 1-3'!AQ46</f>
        <v>2563.3413943822256</v>
      </c>
      <c r="AF55" s="75">
        <f t="shared" si="12"/>
        <v>704.70188034949615</v>
      </c>
      <c r="AG55" s="69">
        <f t="shared" si="13"/>
        <v>0.8197446096521348</v>
      </c>
      <c r="AH55" s="22"/>
      <c r="AI55" s="76">
        <v>1843.1920667633003</v>
      </c>
      <c r="AJ55" s="75">
        <f t="shared" si="14"/>
        <v>-15.447447269429176</v>
      </c>
      <c r="AK55" s="69">
        <f t="shared" si="15"/>
        <v>0.58944421706533434</v>
      </c>
      <c r="AL55" s="69">
        <f t="shared" si="16"/>
        <v>1.8840123339999661</v>
      </c>
      <c r="AM55" s="77"/>
      <c r="AN55" s="76">
        <f>SUM('Options 1-3'!T46*'Summary (2)'!$AN$3)</f>
        <v>1197.8890000000001</v>
      </c>
      <c r="AO55" s="75">
        <f t="shared" si="17"/>
        <v>-660.75051403272937</v>
      </c>
      <c r="AP55" s="22"/>
      <c r="AQ55" s="74">
        <f>'Op4'!AQ46</f>
        <v>2198.2819158870634</v>
      </c>
      <c r="AR55" s="75">
        <f t="shared" si="18"/>
        <v>339.64240185433391</v>
      </c>
      <c r="AS55" s="22"/>
      <c r="AT55" s="74">
        <f>'Op5'!AQ46</f>
        <v>2042.9166280940376</v>
      </c>
      <c r="AU55" s="75">
        <f t="shared" si="19"/>
        <v>184.27711406130811</v>
      </c>
      <c r="AV55" s="22"/>
      <c r="AW55" s="74">
        <f>'Op6'!AQ46</f>
        <v>1576.0616011359466</v>
      </c>
      <c r="AX55" s="75">
        <f t="shared" si="20"/>
        <v>-282.57791289678289</v>
      </c>
      <c r="AY55" s="22"/>
      <c r="AZ55" s="74">
        <f>'Op7'!AQ46</f>
        <v>2042.9166280940376</v>
      </c>
      <c r="BA55" s="75">
        <f t="shared" si="21"/>
        <v>184.27711406130811</v>
      </c>
      <c r="BB55" s="22"/>
      <c r="BC55" s="74">
        <f>'Op8'!AQ46</f>
        <v>2004.1531893290903</v>
      </c>
      <c r="BD55" s="75">
        <f t="shared" si="22"/>
        <v>145.51367529636082</v>
      </c>
      <c r="BE55" s="75"/>
      <c r="BF55" s="74">
        <v>2126.2181968250879</v>
      </c>
      <c r="BG55" s="75">
        <v>323.46406100284776</v>
      </c>
      <c r="BH55" s="75"/>
      <c r="BI55" s="75">
        <v>1886.0089155117139</v>
      </c>
      <c r="BJ55" s="75">
        <v>83.254779689473708</v>
      </c>
      <c r="BK55" s="75"/>
      <c r="BL55" s="74">
        <v>2083.0562770423526</v>
      </c>
      <c r="BM55" s="75">
        <v>280.30214122011239</v>
      </c>
      <c r="BN55" s="75"/>
      <c r="BO55" s="74">
        <v>2075.2148096851101</v>
      </c>
      <c r="BP55" s="75">
        <v>272.46067386286995</v>
      </c>
      <c r="BQ55" s="74">
        <v>2866.7128005473919</v>
      </c>
      <c r="BR55" s="75">
        <v>1063.9586647251517</v>
      </c>
      <c r="BS55" s="75"/>
      <c r="BT55" s="74">
        <v>2543.5742305690178</v>
      </c>
      <c r="BU55" s="75">
        <v>740.82009474677761</v>
      </c>
      <c r="BV55" s="75"/>
      <c r="BW55" s="22"/>
      <c r="BX55" s="74">
        <f>'Op9'!AQ46</f>
        <v>2018.996773602513</v>
      </c>
      <c r="BY55" s="75">
        <f t="shared" si="23"/>
        <v>160.35725956978354</v>
      </c>
      <c r="BZ55" s="22"/>
      <c r="CA55" s="74">
        <v>2291.3330718212133</v>
      </c>
      <c r="CB55" s="75">
        <v>488.57893599897307</v>
      </c>
      <c r="CC55" s="22"/>
      <c r="CD55" s="74">
        <v>2078.6429363405264</v>
      </c>
      <c r="CE55" s="75">
        <v>275.88880051828619</v>
      </c>
      <c r="CF55" s="22"/>
      <c r="CG55" s="74">
        <v>2275.6902978711655</v>
      </c>
      <c r="CH55" s="75">
        <v>472.93616204892533</v>
      </c>
      <c r="CI55" s="22"/>
      <c r="CJ55" s="74">
        <v>2212.8105388485478</v>
      </c>
      <c r="CK55" s="75">
        <v>410.05640302630763</v>
      </c>
      <c r="CL55" s="22"/>
      <c r="CM55" s="74">
        <v>3141.2969356251733</v>
      </c>
      <c r="CN55" s="75">
        <v>1338.5427998029331</v>
      </c>
      <c r="CO55" s="22"/>
      <c r="CP55" s="74">
        <v>2819.3730121449871</v>
      </c>
      <c r="CQ55" s="75">
        <v>1016.6188763227469</v>
      </c>
    </row>
    <row r="56" spans="1:95" ht="15.75" customHeight="1" x14ac:dyDescent="0.5">
      <c r="A56" s="83" t="s">
        <v>159</v>
      </c>
      <c r="B56" s="59" t="s">
        <v>160</v>
      </c>
      <c r="C56" s="61" t="s">
        <v>89</v>
      </c>
      <c r="D56" s="85"/>
      <c r="E56" s="62">
        <f>AVERAGE('Avg master'!D45:F45)</f>
        <v>2</v>
      </c>
      <c r="F56" s="62">
        <f>'Avg master'!H45</f>
        <v>2</v>
      </c>
      <c r="G56" s="63">
        <f t="shared" si="0"/>
        <v>7.4823883284718564E-6</v>
      </c>
      <c r="H56" s="63">
        <f t="shared" si="1"/>
        <v>7.3979727088786762E-6</v>
      </c>
      <c r="I56" s="44">
        <f t="shared" si="2"/>
        <v>-1.1281908381039683E-2</v>
      </c>
      <c r="J56" s="64">
        <v>2</v>
      </c>
      <c r="K56" s="64">
        <v>2</v>
      </c>
      <c r="L56" s="64">
        <v>2</v>
      </c>
      <c r="M56" s="65">
        <f t="shared" si="3"/>
        <v>2</v>
      </c>
      <c r="N56" s="66">
        <f t="shared" si="4"/>
        <v>1.717608059017013E-5</v>
      </c>
      <c r="O56" s="18"/>
      <c r="P56" s="67">
        <v>368.1365436000001</v>
      </c>
      <c r="Q56" s="22"/>
      <c r="R56" s="68">
        <v>392.06541893400009</v>
      </c>
      <c r="S56" s="22"/>
      <c r="T56" s="68">
        <v>399.90672731268012</v>
      </c>
      <c r="U56" s="69">
        <f t="shared" si="5"/>
        <v>199.95336365634006</v>
      </c>
      <c r="V56" s="46"/>
      <c r="W56" s="68">
        <f t="shared" si="6"/>
        <v>412.30383585937318</v>
      </c>
      <c r="X56" s="68">
        <f t="shared" si="7"/>
        <v>12.397108546693062</v>
      </c>
      <c r="Y56" s="70">
        <f t="shared" si="8"/>
        <v>3.0999999999999944E-2</v>
      </c>
      <c r="Z56" s="71"/>
      <c r="AA56" s="92">
        <f t="shared" ref="AA56:AA57" si="27">$AA$7</f>
        <v>424</v>
      </c>
      <c r="AB56" s="68">
        <f t="shared" si="10"/>
        <v>24.093272687319882</v>
      </c>
      <c r="AC56" s="73">
        <f t="shared" si="11"/>
        <v>6.0247230270977087E-2</v>
      </c>
      <c r="AD56" s="22"/>
      <c r="AE56" s="74">
        <f>'Options 1-3'!AQ47</f>
        <v>1.6394892193042698</v>
      </c>
      <c r="AF56" s="75">
        <f t="shared" si="12"/>
        <v>-410.66434664006891</v>
      </c>
      <c r="AG56" s="69">
        <f t="shared" si="13"/>
        <v>0.81974460965213491</v>
      </c>
      <c r="AH56" s="22"/>
      <c r="AI56" s="76">
        <v>3.7680246679999327</v>
      </c>
      <c r="AJ56" s="75">
        <f t="shared" si="14"/>
        <v>-408.53581119137323</v>
      </c>
      <c r="AK56" s="69">
        <f t="shared" si="15"/>
        <v>1.8840123339999664</v>
      </c>
      <c r="AL56" s="69">
        <f t="shared" si="16"/>
        <v>1.8840123339999664</v>
      </c>
      <c r="AM56" s="77"/>
      <c r="AN56" s="76">
        <f>SUM('Options 1-3'!T47*'Summary (2)'!$AN$3)</f>
        <v>187.346</v>
      </c>
      <c r="AO56" s="75">
        <f t="shared" si="17"/>
        <v>-224.95783585937318</v>
      </c>
      <c r="AP56" s="22"/>
      <c r="AQ56" s="74">
        <f>'Op4'!AQ47</f>
        <v>618.82800863933005</v>
      </c>
      <c r="AR56" s="75">
        <f t="shared" si="18"/>
        <v>206.52417277995687</v>
      </c>
      <c r="AS56" s="22"/>
      <c r="AT56" s="74">
        <f>'Op5'!AQ47</f>
        <v>544.6122533920784</v>
      </c>
      <c r="AU56" s="75">
        <f t="shared" si="19"/>
        <v>132.30841753270522</v>
      </c>
      <c r="AV56" s="22"/>
      <c r="AW56" s="74">
        <f>'Op6'!AQ47</f>
        <v>677.76296029520483</v>
      </c>
      <c r="AX56" s="75">
        <f t="shared" si="20"/>
        <v>265.45912443583165</v>
      </c>
      <c r="AY56" s="22"/>
      <c r="AZ56" s="74">
        <f>'Op7'!AQ47</f>
        <v>544.6122533920784</v>
      </c>
      <c r="BA56" s="75">
        <f t="shared" si="21"/>
        <v>132.30841753270522</v>
      </c>
      <c r="BB56" s="22"/>
      <c r="BC56" s="93">
        <f>'Op8'!AQ47</f>
        <v>750.99155225919208</v>
      </c>
      <c r="BD56" s="75">
        <f t="shared" si="22"/>
        <v>338.6877163998189</v>
      </c>
      <c r="BE56" s="75"/>
      <c r="BF56" s="93">
        <v>916.17081677930548</v>
      </c>
      <c r="BG56" s="75">
        <v>516.26408946662536</v>
      </c>
      <c r="BH56" s="75"/>
      <c r="BI56" s="75">
        <v>585.47261078433985</v>
      </c>
      <c r="BJ56" s="75">
        <v>185.56588347165973</v>
      </c>
      <c r="BK56" s="75"/>
      <c r="BL56" s="93">
        <v>930.81657496251523</v>
      </c>
      <c r="BM56" s="75">
        <v>530.90984764983511</v>
      </c>
      <c r="BN56" s="75"/>
      <c r="BO56" s="93">
        <v>931.49592887199321</v>
      </c>
      <c r="BP56" s="75">
        <v>531.5892015593131</v>
      </c>
      <c r="BQ56" s="93">
        <v>1744.868562725974</v>
      </c>
      <c r="BR56" s="75">
        <v>1344.961835413294</v>
      </c>
      <c r="BS56" s="75"/>
      <c r="BT56" s="93">
        <v>1766.5191706717562</v>
      </c>
      <c r="BU56" s="75">
        <v>1366.6124433590762</v>
      </c>
      <c r="BV56" s="75"/>
      <c r="BW56" s="22"/>
      <c r="BX56" s="74">
        <f>'Op9'!AQ47</f>
        <v>759.04972786783469</v>
      </c>
      <c r="BY56" s="75">
        <f t="shared" si="23"/>
        <v>346.74589200846151</v>
      </c>
      <c r="BZ56" s="22"/>
      <c r="CA56" s="74">
        <v>915.63287752552708</v>
      </c>
      <c r="CB56" s="75">
        <v>515.72615021284696</v>
      </c>
      <c r="CC56" s="22"/>
      <c r="CD56" s="74">
        <v>584.84501498826501</v>
      </c>
      <c r="CE56" s="75">
        <v>184.93828767558489</v>
      </c>
      <c r="CF56" s="22"/>
      <c r="CG56" s="74">
        <v>930.18897916644039</v>
      </c>
      <c r="CH56" s="75">
        <v>530.28225185376027</v>
      </c>
      <c r="CI56" s="22"/>
      <c r="CJ56" s="74">
        <v>931.04764616051114</v>
      </c>
      <c r="CK56" s="75">
        <v>531.14091884783102</v>
      </c>
      <c r="CL56" s="22"/>
      <c r="CM56" s="74">
        <v>1743.9739759437316</v>
      </c>
      <c r="CN56" s="75">
        <v>1344.0672486310514</v>
      </c>
      <c r="CO56" s="22"/>
      <c r="CP56" s="74">
        <v>1765.6206266080706</v>
      </c>
      <c r="CQ56" s="75">
        <v>1365.7138992953905</v>
      </c>
    </row>
    <row r="57" spans="1:95" ht="15.75" customHeight="1" x14ac:dyDescent="0.5">
      <c r="A57" s="95" t="s">
        <v>161</v>
      </c>
      <c r="B57" s="59" t="s">
        <v>162</v>
      </c>
      <c r="C57" s="61" t="s">
        <v>89</v>
      </c>
      <c r="D57" s="61"/>
      <c r="E57" s="62">
        <f>AVERAGE('Avg master'!D46:F46)</f>
        <v>1</v>
      </c>
      <c r="F57" s="62">
        <f>'Avg master'!H46</f>
        <v>1</v>
      </c>
      <c r="G57" s="63">
        <f t="shared" si="0"/>
        <v>3.7411941642359282E-6</v>
      </c>
      <c r="H57" s="63">
        <f t="shared" si="1"/>
        <v>3.6989863544393381E-6</v>
      </c>
      <c r="I57" s="44">
        <f t="shared" si="2"/>
        <v>-1.1281908381039683E-2</v>
      </c>
      <c r="J57" s="64">
        <v>1</v>
      </c>
      <c r="K57" s="64">
        <v>1</v>
      </c>
      <c r="L57" s="64">
        <v>1</v>
      </c>
      <c r="M57" s="65">
        <f t="shared" si="3"/>
        <v>1</v>
      </c>
      <c r="N57" s="66">
        <f t="shared" si="4"/>
        <v>8.5880402950850649E-6</v>
      </c>
      <c r="O57" s="18"/>
      <c r="P57" s="67">
        <v>368.1365436000001</v>
      </c>
      <c r="Q57" s="22"/>
      <c r="R57" s="68">
        <v>392.06541893400009</v>
      </c>
      <c r="S57" s="22"/>
      <c r="T57" s="68">
        <v>399.90672731268012</v>
      </c>
      <c r="U57" s="69">
        <f t="shared" si="5"/>
        <v>399.90672731268012</v>
      </c>
      <c r="V57" s="46"/>
      <c r="W57" s="68">
        <f t="shared" si="6"/>
        <v>412.30383585937318</v>
      </c>
      <c r="X57" s="68">
        <f t="shared" si="7"/>
        <v>12.397108546693062</v>
      </c>
      <c r="Y57" s="70">
        <f t="shared" si="8"/>
        <v>3.0999999999999944E-2</v>
      </c>
      <c r="Z57" s="71"/>
      <c r="AA57" s="92">
        <f t="shared" si="27"/>
        <v>424</v>
      </c>
      <c r="AB57" s="68">
        <f t="shared" si="10"/>
        <v>24.093272687319882</v>
      </c>
      <c r="AC57" s="73">
        <f t="shared" si="11"/>
        <v>6.0247230270977087E-2</v>
      </c>
      <c r="AD57" s="22"/>
      <c r="AE57" s="74">
        <f>'Options 1-3'!AQ48</f>
        <v>0.81974460965213491</v>
      </c>
      <c r="AF57" s="75">
        <f t="shared" si="12"/>
        <v>-411.48409124972102</v>
      </c>
      <c r="AG57" s="69">
        <f t="shared" si="13"/>
        <v>0.81974460965213491</v>
      </c>
      <c r="AH57" s="22"/>
      <c r="AI57" s="76">
        <v>1.8840123339999664</v>
      </c>
      <c r="AJ57" s="75">
        <f t="shared" si="14"/>
        <v>-410.4198235253732</v>
      </c>
      <c r="AK57" s="69">
        <f t="shared" si="15"/>
        <v>1.8840123339999664</v>
      </c>
      <c r="AL57" s="69">
        <f t="shared" si="16"/>
        <v>1.8840123339999664</v>
      </c>
      <c r="AM57" s="77"/>
      <c r="AN57" s="76">
        <f>SUM('Options 1-3'!T48*'Summary (2)'!$AN$3)</f>
        <v>239.31300000000002</v>
      </c>
      <c r="AO57" s="75">
        <f t="shared" si="17"/>
        <v>-172.99083585937316</v>
      </c>
      <c r="AP57" s="22"/>
      <c r="AQ57" s="74">
        <f>'Op4'!AQ48</f>
        <v>617.21026820855388</v>
      </c>
      <c r="AR57" s="75">
        <f t="shared" si="18"/>
        <v>204.9064323491807</v>
      </c>
      <c r="AS57" s="22"/>
      <c r="AT57" s="74">
        <f>'Op5'!AQ48</f>
        <v>520.88209257191772</v>
      </c>
      <c r="AU57" s="75">
        <f t="shared" si="19"/>
        <v>108.57825671254454</v>
      </c>
      <c r="AV57" s="22"/>
      <c r="AW57" s="74">
        <f>'Op6'!AQ48</f>
        <v>693.089494022297</v>
      </c>
      <c r="AX57" s="75">
        <f t="shared" si="20"/>
        <v>280.78565816292382</v>
      </c>
      <c r="AY57" s="22"/>
      <c r="AZ57" s="74">
        <f>'Op7'!AQ48</f>
        <v>520.88209257191772</v>
      </c>
      <c r="BA57" s="75">
        <f t="shared" si="21"/>
        <v>108.57825671254454</v>
      </c>
      <c r="BB57" s="22"/>
      <c r="BC57" s="93">
        <f>'Op8'!AQ48</f>
        <v>734.01159335742636</v>
      </c>
      <c r="BD57" s="75">
        <f t="shared" si="22"/>
        <v>321.70775749805318</v>
      </c>
      <c r="BE57" s="75"/>
      <c r="BF57" s="93">
        <v>896.97371462408864</v>
      </c>
      <c r="BG57" s="75">
        <v>497.06698731140852</v>
      </c>
      <c r="BH57" s="75"/>
      <c r="BI57" s="75">
        <v>571.1297814577398</v>
      </c>
      <c r="BJ57" s="75">
        <v>171.22305414505968</v>
      </c>
      <c r="BK57" s="75"/>
      <c r="BL57" s="93">
        <v>917.47433701329521</v>
      </c>
      <c r="BM57" s="75">
        <v>517.56760970061509</v>
      </c>
      <c r="BN57" s="75"/>
      <c r="BO57" s="93">
        <v>917.31371827934413</v>
      </c>
      <c r="BP57" s="75">
        <v>517.40699096666401</v>
      </c>
      <c r="BQ57" s="93">
        <v>1728.7023398314579</v>
      </c>
      <c r="BR57" s="75">
        <v>1328.7956125187779</v>
      </c>
      <c r="BS57" s="75"/>
      <c r="BT57" s="93">
        <v>1736.3494030636084</v>
      </c>
      <c r="BU57" s="75">
        <v>1336.4426757509282</v>
      </c>
      <c r="BV57" s="75"/>
      <c r="BW57" s="22"/>
      <c r="BX57" s="74">
        <f>'Op9'!AQ48</f>
        <v>735.35657259487039</v>
      </c>
      <c r="BY57" s="75">
        <f t="shared" si="23"/>
        <v>323.05273673549721</v>
      </c>
      <c r="BZ57" s="22"/>
      <c r="CA57" s="74">
        <v>896.70474499719944</v>
      </c>
      <c r="CB57" s="75">
        <v>496.79801768451932</v>
      </c>
      <c r="CC57" s="22"/>
      <c r="CD57" s="74">
        <v>570.81598355970232</v>
      </c>
      <c r="CE57" s="75">
        <v>170.9092562470222</v>
      </c>
      <c r="CF57" s="22"/>
      <c r="CG57" s="74">
        <v>917.16053911525785</v>
      </c>
      <c r="CH57" s="75">
        <v>517.25381180257773</v>
      </c>
      <c r="CI57" s="22"/>
      <c r="CJ57" s="74">
        <v>917.0895769236032</v>
      </c>
      <c r="CK57" s="75">
        <v>517.18284961092309</v>
      </c>
      <c r="CL57" s="22"/>
      <c r="CM57" s="74">
        <v>1728.2550464403369</v>
      </c>
      <c r="CN57" s="75">
        <v>1328.3483191276569</v>
      </c>
      <c r="CO57" s="22"/>
      <c r="CP57" s="74">
        <v>1735.9001310317656</v>
      </c>
      <c r="CQ57" s="75">
        <v>1335.9934037190856</v>
      </c>
    </row>
    <row r="58" spans="1:95" ht="15.75" customHeight="1" x14ac:dyDescent="0.5">
      <c r="A58" s="83" t="s">
        <v>163</v>
      </c>
      <c r="B58" s="59" t="s">
        <v>164</v>
      </c>
      <c r="C58" s="85" t="s">
        <v>72</v>
      </c>
      <c r="D58" s="85"/>
      <c r="E58" s="62">
        <f>AVERAGE('Avg master'!D47:F47)</f>
        <v>25905</v>
      </c>
      <c r="F58" s="62">
        <f>'Avg master'!H47</f>
        <v>26073.333333333332</v>
      </c>
      <c r="G58" s="63">
        <f t="shared" si="0"/>
        <v>9.6915634824531721E-2</v>
      </c>
      <c r="H58" s="63">
        <f t="shared" si="1"/>
        <v>9.6444904214748328E-2</v>
      </c>
      <c r="I58" s="44">
        <f t="shared" si="2"/>
        <v>-4.8571173333968563E-3</v>
      </c>
      <c r="J58" s="64">
        <v>19304</v>
      </c>
      <c r="K58" s="64">
        <v>16605</v>
      </c>
      <c r="L58" s="64">
        <v>9120</v>
      </c>
      <c r="M58" s="65">
        <f t="shared" si="3"/>
        <v>15009.666666666666</v>
      </c>
      <c r="N58" s="66">
        <f t="shared" si="4"/>
        <v>0.12890362214912846</v>
      </c>
      <c r="O58" s="18"/>
      <c r="P58" s="67">
        <v>12271.218120000003</v>
      </c>
      <c r="Q58" s="22"/>
      <c r="R58" s="68">
        <v>13068.847297800003</v>
      </c>
      <c r="S58" s="22"/>
      <c r="T58" s="68">
        <v>13330.224243756003</v>
      </c>
      <c r="U58" s="69">
        <f t="shared" si="5"/>
        <v>0.51125892011337271</v>
      </c>
      <c r="V58" s="46"/>
      <c r="W58" s="68">
        <f t="shared" si="6"/>
        <v>13743.461195312439</v>
      </c>
      <c r="X58" s="68">
        <f t="shared" si="7"/>
        <v>413.23695155643509</v>
      </c>
      <c r="Y58" s="70">
        <f t="shared" si="8"/>
        <v>3.0999999999999923E-2</v>
      </c>
      <c r="Z58" s="71"/>
      <c r="AA58" s="72">
        <f t="shared" ref="AA58:AA66" si="28">SUM(W58*(1+I58))</f>
        <v>13676.70759171982</v>
      </c>
      <c r="AB58" s="68">
        <f t="shared" si="10"/>
        <v>346.48334796381641</v>
      </c>
      <c r="AC58" s="73">
        <f t="shared" si="11"/>
        <v>2.59923120292678E-2</v>
      </c>
      <c r="AD58" s="22"/>
      <c r="AE58" s="74">
        <f>'Options 1-3'!AQ49</f>
        <v>21373.474455663327</v>
      </c>
      <c r="AF58" s="75">
        <f t="shared" si="12"/>
        <v>7630.0132603508882</v>
      </c>
      <c r="AG58" s="69">
        <f t="shared" si="13"/>
        <v>0.8197446096521348</v>
      </c>
      <c r="AH58" s="22"/>
      <c r="AI58" s="76">
        <v>28278.39712922816</v>
      </c>
      <c r="AJ58" s="75">
        <f t="shared" si="14"/>
        <v>14534.935933915722</v>
      </c>
      <c r="AK58" s="69">
        <f t="shared" si="15"/>
        <v>1.0845716106837699</v>
      </c>
      <c r="AL58" s="69">
        <f t="shared" si="16"/>
        <v>1.8840123339999664</v>
      </c>
      <c r="AM58" s="77"/>
      <c r="AN58" s="76">
        <f>SUM('Options 1-3'!T49*'Summary (2)'!$AN$3)</f>
        <v>17735.973000000002</v>
      </c>
      <c r="AO58" s="75">
        <f t="shared" si="17"/>
        <v>3992.5118046875632</v>
      </c>
      <c r="AP58" s="22"/>
      <c r="AQ58" s="74">
        <f>'Op4'!AQ49</f>
        <v>24897.337146916798</v>
      </c>
      <c r="AR58" s="75">
        <f t="shared" si="18"/>
        <v>11153.875951604359</v>
      </c>
      <c r="AS58" s="22"/>
      <c r="AT58" s="74">
        <f>'Op5'!AQ49</f>
        <v>23152.661703651062</v>
      </c>
      <c r="AU58" s="75">
        <f t="shared" si="19"/>
        <v>9409.200508338623</v>
      </c>
      <c r="AV58" s="22"/>
      <c r="AW58" s="74">
        <f>'Op6'!AQ49</f>
        <v>15524.398409641413</v>
      </c>
      <c r="AX58" s="75">
        <f t="shared" si="20"/>
        <v>1780.9372143289747</v>
      </c>
      <c r="AY58" s="22"/>
      <c r="AZ58" s="74">
        <f>'Op7'!AQ49</f>
        <v>23152.661703651062</v>
      </c>
      <c r="BA58" s="75">
        <f t="shared" si="21"/>
        <v>9409.200508338623</v>
      </c>
      <c r="BB58" s="22"/>
      <c r="BC58" s="74">
        <f>'Op8'!AQ49</f>
        <v>23643.695846004295</v>
      </c>
      <c r="BD58" s="75">
        <f t="shared" si="22"/>
        <v>9900.2346506918566</v>
      </c>
      <c r="BE58" s="75"/>
      <c r="BF58" s="74">
        <v>23060.17266550392</v>
      </c>
      <c r="BG58" s="75">
        <v>9729.9484217479167</v>
      </c>
      <c r="BH58" s="75"/>
      <c r="BI58" s="75">
        <v>23674.223449970184</v>
      </c>
      <c r="BJ58" s="75">
        <v>10343.999206214181</v>
      </c>
      <c r="BK58" s="75"/>
      <c r="BL58" s="74">
        <v>20503.743195428753</v>
      </c>
      <c r="BM58" s="75">
        <v>7173.5189516727496</v>
      </c>
      <c r="BN58" s="75"/>
      <c r="BO58" s="74">
        <v>21609.734348497717</v>
      </c>
      <c r="BP58" s="75">
        <v>8279.5101047417138</v>
      </c>
      <c r="BQ58" s="74">
        <v>17225.841319043164</v>
      </c>
      <c r="BR58" s="75">
        <v>3895.6170752871603</v>
      </c>
      <c r="BS58" s="75"/>
      <c r="BT58" s="74">
        <v>14628.439807603732</v>
      </c>
      <c r="BU58" s="75">
        <v>1298.2155638477288</v>
      </c>
      <c r="BV58" s="75"/>
      <c r="BW58" s="22"/>
      <c r="BX58" s="74">
        <f>'Op9'!AQ49</f>
        <v>20536.817807297084</v>
      </c>
      <c r="BY58" s="75">
        <f t="shared" si="23"/>
        <v>6793.3566119846455</v>
      </c>
      <c r="BZ58" s="22"/>
      <c r="CA58" s="74">
        <v>20866.625961628004</v>
      </c>
      <c r="CB58" s="75">
        <v>7536.4017178720005</v>
      </c>
      <c r="CC58" s="22"/>
      <c r="CD58" s="74">
        <v>21115.08562878161</v>
      </c>
      <c r="CE58" s="75">
        <v>7784.8613850256061</v>
      </c>
      <c r="CF58" s="22"/>
      <c r="CG58" s="74">
        <v>17944.605374240178</v>
      </c>
      <c r="CH58" s="75">
        <v>4614.3811304841747</v>
      </c>
      <c r="CI58" s="22"/>
      <c r="CJ58" s="74">
        <v>19781.778761934449</v>
      </c>
      <c r="CK58" s="75">
        <v>6451.5545181784455</v>
      </c>
      <c r="CL58" s="22"/>
      <c r="CM58" s="74">
        <v>13577.998419058393</v>
      </c>
      <c r="CN58" s="75">
        <v>247.77417530238927</v>
      </c>
      <c r="CO58" s="22"/>
      <c r="CP58" s="74">
        <v>10964.460361335434</v>
      </c>
      <c r="CQ58" s="75">
        <v>-2365.7638824205696</v>
      </c>
    </row>
    <row r="59" spans="1:95" ht="15.75" customHeight="1" x14ac:dyDescent="0.5">
      <c r="A59" s="86" t="s">
        <v>165</v>
      </c>
      <c r="B59" s="89" t="s">
        <v>166</v>
      </c>
      <c r="C59" s="85" t="s">
        <v>75</v>
      </c>
      <c r="D59" s="88"/>
      <c r="E59" s="62">
        <f>AVERAGE('Avg master'!D48:F48)</f>
        <v>2487</v>
      </c>
      <c r="F59" s="62">
        <f>'Avg master'!H48</f>
        <v>2487</v>
      </c>
      <c r="G59" s="63">
        <f t="shared" si="0"/>
        <v>9.3043498864547533E-3</v>
      </c>
      <c r="H59" s="63">
        <f t="shared" si="1"/>
        <v>9.1993790634906335E-3</v>
      </c>
      <c r="I59" s="44">
        <f t="shared" si="2"/>
        <v>-1.1281908381039717E-2</v>
      </c>
      <c r="J59" s="64">
        <v>4283</v>
      </c>
      <c r="K59" s="64">
        <v>1955</v>
      </c>
      <c r="L59" s="64">
        <v>1223</v>
      </c>
      <c r="M59" s="65">
        <f t="shared" si="3"/>
        <v>2487</v>
      </c>
      <c r="N59" s="66">
        <f t="shared" si="4"/>
        <v>2.1358456213876557E-2</v>
      </c>
      <c r="O59" s="18"/>
      <c r="P59" s="67">
        <v>6135.6090600000016</v>
      </c>
      <c r="Q59" s="22"/>
      <c r="R59" s="68">
        <v>6534.4236489000014</v>
      </c>
      <c r="S59" s="22"/>
      <c r="T59" s="68">
        <v>6665.1121218780017</v>
      </c>
      <c r="U59" s="69">
        <f t="shared" si="5"/>
        <v>2.6799807486441503</v>
      </c>
      <c r="V59" s="46"/>
      <c r="W59" s="68">
        <f t="shared" si="6"/>
        <v>6871.7305976562193</v>
      </c>
      <c r="X59" s="68">
        <f t="shared" si="7"/>
        <v>206.61847577821754</v>
      </c>
      <c r="Y59" s="70">
        <f t="shared" si="8"/>
        <v>3.0999999999999923E-2</v>
      </c>
      <c r="Z59" s="71"/>
      <c r="AA59" s="72">
        <f t="shared" si="28"/>
        <v>6794.2043626342747</v>
      </c>
      <c r="AB59" s="68">
        <f t="shared" si="10"/>
        <v>129.09224075627299</v>
      </c>
      <c r="AC59" s="73">
        <f t="shared" si="11"/>
        <v>1.9368352459148006E-2</v>
      </c>
      <c r="AD59" s="22"/>
      <c r="AE59" s="74">
        <f>'Options 1-3'!AQ50</f>
        <v>2038.7048442048595</v>
      </c>
      <c r="AF59" s="75">
        <f t="shared" si="12"/>
        <v>-4833.0257534513603</v>
      </c>
      <c r="AG59" s="69">
        <f t="shared" si="13"/>
        <v>0.81974460965213491</v>
      </c>
      <c r="AH59" s="22"/>
      <c r="AI59" s="76">
        <v>4685.5386746579161</v>
      </c>
      <c r="AJ59" s="75">
        <f t="shared" si="14"/>
        <v>-2186.1919229983032</v>
      </c>
      <c r="AK59" s="69">
        <f t="shared" si="15"/>
        <v>1.8840123339999664</v>
      </c>
      <c r="AL59" s="69">
        <f t="shared" si="16"/>
        <v>1.8840123339999664</v>
      </c>
      <c r="AM59" s="77"/>
      <c r="AN59" s="76">
        <f>SUM('Options 1-3'!T50*'Summary (2)'!$AN$3)</f>
        <v>6074.0155000000004</v>
      </c>
      <c r="AO59" s="75">
        <f t="shared" si="17"/>
        <v>-797.71509765621886</v>
      </c>
      <c r="AP59" s="22"/>
      <c r="AQ59" s="74">
        <f>'Op4'!AQ50</f>
        <v>4638.9129791179421</v>
      </c>
      <c r="AR59" s="75">
        <f t="shared" si="18"/>
        <v>-2232.8176185382772</v>
      </c>
      <c r="AS59" s="22"/>
      <c r="AT59" s="74">
        <f>'Op5'!AQ50</f>
        <v>3844.2232377890182</v>
      </c>
      <c r="AU59" s="75">
        <f t="shared" si="19"/>
        <v>-3027.5073598672011</v>
      </c>
      <c r="AV59" s="22"/>
      <c r="AW59" s="74">
        <f>'Op6'!AQ50</f>
        <v>4854.2800950712772</v>
      </c>
      <c r="AX59" s="75">
        <f t="shared" si="20"/>
        <v>-2017.4505025849421</v>
      </c>
      <c r="AY59" s="22"/>
      <c r="AZ59" s="74">
        <f>'Op7'!AQ50</f>
        <v>3844.2232377890182</v>
      </c>
      <c r="BA59" s="75">
        <f t="shared" si="21"/>
        <v>-3027.5073598672011</v>
      </c>
      <c r="BB59" s="22"/>
      <c r="BC59" s="74">
        <f>'Op8'!AQ50</f>
        <v>3123.1224234798233</v>
      </c>
      <c r="BD59" s="75">
        <f t="shared" si="22"/>
        <v>-3748.608174176396</v>
      </c>
      <c r="BE59" s="75"/>
      <c r="BF59" s="74">
        <v>3037.1501963375108</v>
      </c>
      <c r="BG59" s="75">
        <v>-3627.9619255404909</v>
      </c>
      <c r="BH59" s="75"/>
      <c r="BI59" s="75">
        <v>3364.4620061931973</v>
      </c>
      <c r="BJ59" s="75">
        <v>-3300.6501156848044</v>
      </c>
      <c r="BK59" s="75"/>
      <c r="BL59" s="74">
        <v>3622.0824815544916</v>
      </c>
      <c r="BM59" s="75">
        <v>-3043.0296403235102</v>
      </c>
      <c r="BN59" s="75"/>
      <c r="BO59" s="74">
        <v>3311.3477704123679</v>
      </c>
      <c r="BP59" s="75">
        <v>-3353.7643514656338</v>
      </c>
      <c r="BQ59" s="74">
        <v>3901.8438018957177</v>
      </c>
      <c r="BR59" s="75">
        <v>-2763.2683199822841</v>
      </c>
      <c r="BS59" s="75"/>
      <c r="BT59" s="74">
        <v>3414.8030232165142</v>
      </c>
      <c r="BU59" s="75">
        <v>-3250.3090986614875</v>
      </c>
      <c r="BV59" s="75"/>
      <c r="BW59" s="22"/>
      <c r="BX59" s="74">
        <f>'Op9'!AQ50</f>
        <v>2194.6960072856727</v>
      </c>
      <c r="BY59" s="75">
        <f t="shared" si="23"/>
        <v>-4677.0345903705465</v>
      </c>
      <c r="BZ59" s="22"/>
      <c r="CA59" s="74">
        <v>2368.2227342640258</v>
      </c>
      <c r="CB59" s="75">
        <v>-4296.8893876139755</v>
      </c>
      <c r="CC59" s="22"/>
      <c r="CD59" s="74">
        <v>2584.0466337741318</v>
      </c>
      <c r="CE59" s="75">
        <v>-4081.0654881038699</v>
      </c>
      <c r="CF59" s="22"/>
      <c r="CG59" s="74">
        <v>2841.667109135426</v>
      </c>
      <c r="CH59" s="75">
        <v>-3823.4450127425757</v>
      </c>
      <c r="CI59" s="22"/>
      <c r="CJ59" s="74">
        <v>2753.9082186844639</v>
      </c>
      <c r="CK59" s="75">
        <v>-3911.2039031935378</v>
      </c>
      <c r="CL59" s="22"/>
      <c r="CM59" s="74">
        <v>2789.4251381772988</v>
      </c>
      <c r="CN59" s="75">
        <v>-3875.686983700703</v>
      </c>
      <c r="CO59" s="22"/>
      <c r="CP59" s="74">
        <v>2297.4634800233162</v>
      </c>
      <c r="CQ59" s="75">
        <v>-4367.6486418546856</v>
      </c>
    </row>
    <row r="60" spans="1:95" ht="15.75" customHeight="1" x14ac:dyDescent="0.5">
      <c r="A60" s="80" t="s">
        <v>167</v>
      </c>
      <c r="B60" s="59" t="s">
        <v>168</v>
      </c>
      <c r="C60" s="60" t="s">
        <v>64</v>
      </c>
      <c r="D60" s="61"/>
      <c r="E60" s="62">
        <f>AVERAGE('Avg master'!D49:F49)</f>
        <v>347.66666666666669</v>
      </c>
      <c r="F60" s="62">
        <f>'Avg master'!H49</f>
        <v>342.66666666666669</v>
      </c>
      <c r="G60" s="63">
        <f t="shared" si="0"/>
        <v>1.3006885044326911E-3</v>
      </c>
      <c r="H60" s="63">
        <f t="shared" si="1"/>
        <v>1.2675193241212133E-3</v>
      </c>
      <c r="I60" s="44">
        <f t="shared" si="2"/>
        <v>-2.5501248145454205E-2</v>
      </c>
      <c r="J60" s="64">
        <v>105</v>
      </c>
      <c r="K60" s="64">
        <v>95</v>
      </c>
      <c r="L60" s="64">
        <v>78</v>
      </c>
      <c r="M60" s="65">
        <f t="shared" si="3"/>
        <v>92.666666666666671</v>
      </c>
      <c r="N60" s="66">
        <f t="shared" si="4"/>
        <v>7.9582506734454932E-4</v>
      </c>
      <c r="O60" s="18"/>
      <c r="P60" s="67">
        <v>1227.1218120000001</v>
      </c>
      <c r="Q60" s="22"/>
      <c r="R60" s="68">
        <v>1306.88472978</v>
      </c>
      <c r="S60" s="22"/>
      <c r="T60" s="68">
        <v>1333.0224243756002</v>
      </c>
      <c r="U60" s="69">
        <f t="shared" si="5"/>
        <v>3.8901432617964984</v>
      </c>
      <c r="V60" s="46"/>
      <c r="W60" s="68">
        <f t="shared" si="6"/>
        <v>1374.3461195312436</v>
      </c>
      <c r="X60" s="68">
        <f t="shared" si="7"/>
        <v>41.323695155643463</v>
      </c>
      <c r="Y60" s="70">
        <f t="shared" si="8"/>
        <v>3.0999999999999892E-2</v>
      </c>
      <c r="Z60" s="71"/>
      <c r="AA60" s="72">
        <f t="shared" si="28"/>
        <v>1339.2985780993354</v>
      </c>
      <c r="AB60" s="68">
        <f t="shared" si="10"/>
        <v>6.2761537237352059</v>
      </c>
      <c r="AC60" s="73">
        <f t="shared" si="11"/>
        <v>4.7082131620366499E-3</v>
      </c>
      <c r="AD60" s="22"/>
      <c r="AE60" s="74">
        <f>'Options 1-3'!AQ51</f>
        <v>280.8991529074649</v>
      </c>
      <c r="AF60" s="75">
        <f t="shared" si="12"/>
        <v>-1093.4469666237787</v>
      </c>
      <c r="AG60" s="69">
        <f t="shared" si="13"/>
        <v>0.81974460965213491</v>
      </c>
      <c r="AH60" s="22"/>
      <c r="AI60" s="76">
        <v>174.58514295066354</v>
      </c>
      <c r="AJ60" s="75">
        <f t="shared" si="14"/>
        <v>-1199.7609765805801</v>
      </c>
      <c r="AK60" s="69">
        <f t="shared" si="15"/>
        <v>0.50948971678209198</v>
      </c>
      <c r="AL60" s="69">
        <f t="shared" si="16"/>
        <v>1.8840123339999661</v>
      </c>
      <c r="AM60" s="77"/>
      <c r="AN60" s="76">
        <f>SUM('Options 1-3'!T51*'Summary (2)'!$AN$3)</f>
        <v>1742.2185000000002</v>
      </c>
      <c r="AO60" s="75">
        <f t="shared" si="17"/>
        <v>367.87238046875655</v>
      </c>
      <c r="AP60" s="22"/>
      <c r="AQ60" s="74">
        <f>'Op4'!AQ51</f>
        <v>765.50314102969651</v>
      </c>
      <c r="AR60" s="75">
        <f t="shared" si="18"/>
        <v>-608.84297850154712</v>
      </c>
      <c r="AS60" s="22"/>
      <c r="AT60" s="74">
        <f>'Op5'!AQ51</f>
        <v>773.85773104207681</v>
      </c>
      <c r="AU60" s="75">
        <f t="shared" si="19"/>
        <v>-600.48838848916682</v>
      </c>
      <c r="AV60" s="22"/>
      <c r="AW60" s="74">
        <f>'Op6'!AQ51</f>
        <v>1910.9670824524308</v>
      </c>
      <c r="AX60" s="75">
        <f t="shared" si="20"/>
        <v>536.62096292118713</v>
      </c>
      <c r="AY60" s="22"/>
      <c r="AZ60" s="74">
        <f>'Op7'!AQ51</f>
        <v>773.85773104207681</v>
      </c>
      <c r="BA60" s="75">
        <f t="shared" si="21"/>
        <v>-600.48838848916682</v>
      </c>
      <c r="BB60" s="22"/>
      <c r="BC60" s="74">
        <f>'Op8'!AQ51</f>
        <v>1267.3068997918124</v>
      </c>
      <c r="BD60" s="75">
        <f t="shared" si="22"/>
        <v>-107.03921973943125</v>
      </c>
      <c r="BE60" s="75"/>
      <c r="BF60" s="74">
        <v>1366.1483908527764</v>
      </c>
      <c r="BG60" s="75">
        <v>33.125966477176235</v>
      </c>
      <c r="BH60" s="75"/>
      <c r="BI60" s="75">
        <v>1158.4418635654174</v>
      </c>
      <c r="BJ60" s="75">
        <v>-174.58056081018276</v>
      </c>
      <c r="BK60" s="75"/>
      <c r="BL60" s="74">
        <v>1469.855326110642</v>
      </c>
      <c r="BM60" s="75">
        <v>136.83290173504179</v>
      </c>
      <c r="BN60" s="75"/>
      <c r="BO60" s="74">
        <v>1489.9024164415043</v>
      </c>
      <c r="BP60" s="75">
        <v>156.87999206590416</v>
      </c>
      <c r="BQ60" s="74">
        <v>1952.5061482616347</v>
      </c>
      <c r="BR60" s="75">
        <v>619.48372388603457</v>
      </c>
      <c r="BS60" s="75"/>
      <c r="BT60" s="74">
        <v>1915.4781435766999</v>
      </c>
      <c r="BU60" s="75">
        <v>582.45571920109978</v>
      </c>
      <c r="BV60" s="75"/>
      <c r="BW60" s="22"/>
      <c r="BX60" s="74">
        <f>'Op9'!AQ51</f>
        <v>1273.8457250317324</v>
      </c>
      <c r="BY60" s="75">
        <f t="shared" si="23"/>
        <v>-100.50039449951123</v>
      </c>
      <c r="BZ60" s="22"/>
      <c r="CA60" s="74">
        <v>1401.825583767484</v>
      </c>
      <c r="CB60" s="75">
        <v>68.80315939188381</v>
      </c>
      <c r="CC60" s="22"/>
      <c r="CD60" s="74">
        <v>1200.0652552992431</v>
      </c>
      <c r="CE60" s="75">
        <v>-132.9571690763571</v>
      </c>
      <c r="CF60" s="22"/>
      <c r="CG60" s="74">
        <v>1511.4787178444674</v>
      </c>
      <c r="CH60" s="75">
        <v>178.45629346886722</v>
      </c>
      <c r="CI60" s="22"/>
      <c r="CJ60" s="74">
        <v>1519.6334105370941</v>
      </c>
      <c r="CK60" s="75">
        <v>186.61098616149388</v>
      </c>
      <c r="CL60" s="22"/>
      <c r="CM60" s="74">
        <v>2011.8369090953756</v>
      </c>
      <c r="CN60" s="75">
        <v>678.81448471977546</v>
      </c>
      <c r="CO60" s="22"/>
      <c r="CP60" s="74">
        <v>1975.0713591253175</v>
      </c>
      <c r="CQ60" s="75">
        <v>642.04893474971732</v>
      </c>
    </row>
    <row r="61" spans="1:95" ht="15.75" customHeight="1" x14ac:dyDescent="0.5">
      <c r="A61" s="80" t="s">
        <v>169</v>
      </c>
      <c r="B61" s="59" t="s">
        <v>170</v>
      </c>
      <c r="C61" s="117" t="s">
        <v>135</v>
      </c>
      <c r="D61" s="82"/>
      <c r="E61" s="62">
        <f>AVERAGE('Avg master'!D50:F50)</f>
        <v>10304.333333333334</v>
      </c>
      <c r="F61" s="62">
        <f>'Avg master'!H50</f>
        <v>10480.666666666666</v>
      </c>
      <c r="G61" s="63">
        <f t="shared" si="0"/>
        <v>3.855051173300842E-2</v>
      </c>
      <c r="H61" s="63">
        <f t="shared" si="1"/>
        <v>3.8767842985427216E-2</v>
      </c>
      <c r="I61" s="44">
        <f t="shared" si="2"/>
        <v>5.6375711410520148E-3</v>
      </c>
      <c r="J61" s="64">
        <v>2094</v>
      </c>
      <c r="K61" s="64">
        <v>1296</v>
      </c>
      <c r="L61" s="64">
        <v>908</v>
      </c>
      <c r="M61" s="65">
        <f t="shared" si="3"/>
        <v>1432.6666666666667</v>
      </c>
      <c r="N61" s="66">
        <f t="shared" si="4"/>
        <v>1.2303799062758537E-2</v>
      </c>
      <c r="O61" s="18"/>
      <c r="P61" s="67">
        <v>9793.6007472000019</v>
      </c>
      <c r="Q61" s="22"/>
      <c r="R61" s="68">
        <v>10430.184795768002</v>
      </c>
      <c r="S61" s="22"/>
      <c r="T61" s="68">
        <v>10638.788491683363</v>
      </c>
      <c r="U61" s="69">
        <f t="shared" si="5"/>
        <v>1.0150870006694896</v>
      </c>
      <c r="V61" s="46"/>
      <c r="W61" s="68">
        <f t="shared" si="6"/>
        <v>10968.590934925545</v>
      </c>
      <c r="X61" s="68">
        <f t="shared" si="7"/>
        <v>329.80244324218256</v>
      </c>
      <c r="Y61" s="70">
        <f t="shared" si="8"/>
        <v>3.099999999999984E-2</v>
      </c>
      <c r="Z61" s="71"/>
      <c r="AA61" s="72">
        <f t="shared" si="28"/>
        <v>11030.427146638287</v>
      </c>
      <c r="AB61" s="68">
        <f t="shared" si="10"/>
        <v>391.63865495492428</v>
      </c>
      <c r="AC61" s="73">
        <f t="shared" si="11"/>
        <v>3.6812335846424536E-2</v>
      </c>
      <c r="AD61" s="22"/>
      <c r="AE61" s="74">
        <f>'Options 1-3'!AQ52</f>
        <v>8591.4700055608064</v>
      </c>
      <c r="AF61" s="75">
        <f t="shared" si="12"/>
        <v>-2377.1209293647389</v>
      </c>
      <c r="AG61" s="69">
        <f t="shared" si="13"/>
        <v>0.81974460965213469</v>
      </c>
      <c r="AH61" s="22"/>
      <c r="AI61" s="76">
        <v>2699.1616705106185</v>
      </c>
      <c r="AJ61" s="75">
        <f t="shared" si="14"/>
        <v>-8269.4292644149264</v>
      </c>
      <c r="AK61" s="69">
        <f t="shared" si="15"/>
        <v>0.25753721174008831</v>
      </c>
      <c r="AL61" s="69">
        <f t="shared" si="16"/>
        <v>1.8840123339999664</v>
      </c>
      <c r="AM61" s="77"/>
      <c r="AN61" s="76">
        <f>SUM('Options 1-3'!T52*'Summary (2)'!$AN$3)</f>
        <v>4373.3375000000005</v>
      </c>
      <c r="AO61" s="75">
        <f t="shared" si="17"/>
        <v>-6595.2534349255448</v>
      </c>
      <c r="AP61" s="22"/>
      <c r="AQ61" s="74">
        <f>'Op4'!AQ52</f>
        <v>2933.2753182696724</v>
      </c>
      <c r="AR61" s="75">
        <f t="shared" si="18"/>
        <v>-8035.3156166558729</v>
      </c>
      <c r="AS61" s="22"/>
      <c r="AT61" s="74">
        <f>'Op5'!AQ52</f>
        <v>2531.2760153166055</v>
      </c>
      <c r="AU61" s="75">
        <f t="shared" si="19"/>
        <v>-8437.3149196089398</v>
      </c>
      <c r="AV61" s="22"/>
      <c r="AW61" s="74">
        <f>'Op6'!AQ52</f>
        <v>3747.2769632570898</v>
      </c>
      <c r="AX61" s="75">
        <f t="shared" si="20"/>
        <v>-7221.3139716684555</v>
      </c>
      <c r="AY61" s="22"/>
      <c r="AZ61" s="74">
        <f>'Op7'!AQ52</f>
        <v>2531.2760153166055</v>
      </c>
      <c r="BA61" s="75">
        <f t="shared" si="21"/>
        <v>-8437.3149196089398</v>
      </c>
      <c r="BB61" s="22"/>
      <c r="BC61" s="74">
        <f>'Op8'!AQ52</f>
        <v>2887.0194211111534</v>
      </c>
      <c r="BD61" s="75">
        <f t="shared" si="22"/>
        <v>-8081.5715138143914</v>
      </c>
      <c r="BE61" s="75"/>
      <c r="BF61" s="74">
        <v>2873.6056782760497</v>
      </c>
      <c r="BG61" s="75">
        <v>-7765.182813407313</v>
      </c>
      <c r="BH61" s="75"/>
      <c r="BI61" s="75">
        <v>2898.517598177556</v>
      </c>
      <c r="BJ61" s="75">
        <v>-7740.2708935058072</v>
      </c>
      <c r="BK61" s="75"/>
      <c r="BL61" s="74">
        <v>3010.9179160217659</v>
      </c>
      <c r="BM61" s="75">
        <v>-7627.8705756615964</v>
      </c>
      <c r="BN61" s="75"/>
      <c r="BO61" s="74">
        <v>3014.7490475591699</v>
      </c>
      <c r="BP61" s="75">
        <v>-7624.0394441241933</v>
      </c>
      <c r="BQ61" s="74">
        <v>3306.9915487493049</v>
      </c>
      <c r="BR61" s="75">
        <v>-7331.7969429340574</v>
      </c>
      <c r="BS61" s="75"/>
      <c r="BT61" s="74">
        <v>2569.2134603309769</v>
      </c>
      <c r="BU61" s="75">
        <v>-8069.5750313523858</v>
      </c>
      <c r="BV61" s="75"/>
      <c r="BW61" s="22"/>
      <c r="BX61" s="74">
        <f>'Op9'!AQ52</f>
        <v>4006.1343112433287</v>
      </c>
      <c r="BY61" s="75">
        <f t="shared" si="23"/>
        <v>-6962.4566236822166</v>
      </c>
      <c r="BZ61" s="22"/>
      <c r="CA61" s="74">
        <v>4321.0023833518726</v>
      </c>
      <c r="CB61" s="75">
        <v>-6317.7861083314901</v>
      </c>
      <c r="CC61" s="22"/>
      <c r="CD61" s="74">
        <v>4587.1470874326824</v>
      </c>
      <c r="CE61" s="75">
        <v>-6051.6414042506804</v>
      </c>
      <c r="CF61" s="22"/>
      <c r="CG61" s="74">
        <v>4699.5474052768923</v>
      </c>
      <c r="CH61" s="75">
        <v>-5939.2410864064705</v>
      </c>
      <c r="CI61" s="22"/>
      <c r="CJ61" s="74">
        <v>4220.9129684556892</v>
      </c>
      <c r="CK61" s="75">
        <v>-6417.8755232276735</v>
      </c>
      <c r="CL61" s="22"/>
      <c r="CM61" s="74">
        <v>5713.9955960042971</v>
      </c>
      <c r="CN61" s="75">
        <v>-4924.7928956790656</v>
      </c>
      <c r="CO61" s="22"/>
      <c r="CP61" s="74">
        <v>4986.8650966620598</v>
      </c>
      <c r="CQ61" s="75">
        <v>-5651.9233950213029</v>
      </c>
    </row>
    <row r="62" spans="1:95" ht="15.75" customHeight="1" x14ac:dyDescent="0.5">
      <c r="A62" s="83" t="s">
        <v>171</v>
      </c>
      <c r="B62" s="59" t="s">
        <v>172</v>
      </c>
      <c r="C62" s="94" t="s">
        <v>92</v>
      </c>
      <c r="D62" s="85"/>
      <c r="E62" s="62">
        <f>AVERAGE('Avg master'!D51:F51)</f>
        <v>3289</v>
      </c>
      <c r="F62" s="62">
        <f>'Avg master'!H51</f>
        <v>3394</v>
      </c>
      <c r="G62" s="63">
        <f t="shared" si="0"/>
        <v>1.2304787606171968E-2</v>
      </c>
      <c r="H62" s="63">
        <f t="shared" si="1"/>
        <v>1.2554359686967113E-2</v>
      </c>
      <c r="I62" s="44">
        <f t="shared" si="2"/>
        <v>2.0282518380891176E-2</v>
      </c>
      <c r="J62" s="64">
        <v>2081</v>
      </c>
      <c r="K62" s="64">
        <v>930</v>
      </c>
      <c r="L62" s="64">
        <v>713</v>
      </c>
      <c r="M62" s="65">
        <f t="shared" si="3"/>
        <v>1241.3333333333333</v>
      </c>
      <c r="N62" s="66">
        <f t="shared" si="4"/>
        <v>1.0660620686298927E-2</v>
      </c>
      <c r="O62" s="18"/>
      <c r="P62" s="67">
        <v>1659.5361648000001</v>
      </c>
      <c r="Q62" s="22"/>
      <c r="R62" s="68">
        <v>1767.4060155120001</v>
      </c>
      <c r="S62" s="22"/>
      <c r="T62" s="68">
        <v>1802.7541358222402</v>
      </c>
      <c r="U62" s="69">
        <f t="shared" si="5"/>
        <v>0.53115914432004718</v>
      </c>
      <c r="V62" s="46"/>
      <c r="W62" s="68">
        <f t="shared" si="6"/>
        <v>1858.6395140327295</v>
      </c>
      <c r="X62" s="68">
        <f t="shared" si="7"/>
        <v>55.885378210489307</v>
      </c>
      <c r="Y62" s="70">
        <f t="shared" si="8"/>
        <v>3.0999999999999923E-2</v>
      </c>
      <c r="Z62" s="71"/>
      <c r="AA62" s="72">
        <f t="shared" si="28"/>
        <v>1896.3374041395491</v>
      </c>
      <c r="AB62" s="68">
        <f t="shared" si="10"/>
        <v>93.583268317308921</v>
      </c>
      <c r="AC62" s="73">
        <f t="shared" si="11"/>
        <v>5.1911276450698797E-2</v>
      </c>
      <c r="AD62" s="22"/>
      <c r="AE62" s="74">
        <f>'Options 1-3'!AQ53</f>
        <v>2782.2132051593458</v>
      </c>
      <c r="AF62" s="75">
        <f t="shared" si="12"/>
        <v>923.57369112661627</v>
      </c>
      <c r="AG62" s="69">
        <f t="shared" si="13"/>
        <v>0.81974460965213491</v>
      </c>
      <c r="AH62" s="22"/>
      <c r="AI62" s="76">
        <v>2338.6873106052913</v>
      </c>
      <c r="AJ62" s="75">
        <f t="shared" si="14"/>
        <v>480.04779657256177</v>
      </c>
      <c r="AK62" s="69">
        <f t="shared" si="15"/>
        <v>0.68906520642465863</v>
      </c>
      <c r="AL62" s="69">
        <f t="shared" si="16"/>
        <v>1.8840123339999661</v>
      </c>
      <c r="AM62" s="77"/>
      <c r="AN62" s="76">
        <f>SUM('Options 1-3'!T53*'Summary (2)'!$AN$3)</f>
        <v>3649.6060000000002</v>
      </c>
      <c r="AO62" s="75">
        <f t="shared" si="17"/>
        <v>1790.9664859672707</v>
      </c>
      <c r="AP62" s="22"/>
      <c r="AQ62" s="74">
        <f>'Op4'!AQ53</f>
        <v>2623.7476491811781</v>
      </c>
      <c r="AR62" s="75">
        <f t="shared" si="18"/>
        <v>765.10813514844858</v>
      </c>
      <c r="AS62" s="22"/>
      <c r="AT62" s="74">
        <f>'Op5'!AQ53</f>
        <v>2454.5899916866247</v>
      </c>
      <c r="AU62" s="75">
        <f t="shared" si="19"/>
        <v>595.95047765389518</v>
      </c>
      <c r="AV62" s="22"/>
      <c r="AW62" s="74">
        <f>'Op6'!AQ53</f>
        <v>3406.8912839063732</v>
      </c>
      <c r="AX62" s="75">
        <f t="shared" si="20"/>
        <v>1548.2517698736438</v>
      </c>
      <c r="AY62" s="22"/>
      <c r="AZ62" s="74">
        <f>'Op7'!AQ53</f>
        <v>2454.5899916866247</v>
      </c>
      <c r="BA62" s="75">
        <f t="shared" si="21"/>
        <v>595.95047765389518</v>
      </c>
      <c r="BB62" s="22"/>
      <c r="BC62" s="74">
        <f>'Op8'!AQ53</f>
        <v>2798.6695578499894</v>
      </c>
      <c r="BD62" s="75">
        <f t="shared" si="22"/>
        <v>940.03004381725987</v>
      </c>
      <c r="BE62" s="75"/>
      <c r="BF62" s="74">
        <v>2816.1334183503677</v>
      </c>
      <c r="BG62" s="75">
        <v>1013.3792825281275</v>
      </c>
      <c r="BH62" s="75"/>
      <c r="BI62" s="75">
        <v>2773.4522920841923</v>
      </c>
      <c r="BJ62" s="75">
        <v>970.69815626195214</v>
      </c>
      <c r="BK62" s="75"/>
      <c r="BL62" s="74">
        <v>2904.9086486976125</v>
      </c>
      <c r="BM62" s="75">
        <v>1102.1545128753723</v>
      </c>
      <c r="BN62" s="75"/>
      <c r="BO62" s="74">
        <v>2920.4154592284494</v>
      </c>
      <c r="BP62" s="75">
        <v>1117.6613234062092</v>
      </c>
      <c r="BQ62" s="74">
        <v>3143.6958905498564</v>
      </c>
      <c r="BR62" s="75">
        <v>1340.9417547276162</v>
      </c>
      <c r="BS62" s="75"/>
      <c r="BT62" s="74">
        <v>2794.2395802566448</v>
      </c>
      <c r="BU62" s="75">
        <v>991.4854444344046</v>
      </c>
      <c r="BV62" s="75"/>
      <c r="BW62" s="22"/>
      <c r="BX62" s="74">
        <f>'Op9'!AQ53</f>
        <v>2730.0536250836203</v>
      </c>
      <c r="BY62" s="75">
        <f t="shared" si="23"/>
        <v>871.41411105089082</v>
      </c>
      <c r="BZ62" s="22"/>
      <c r="CA62" s="74">
        <v>2917.2506896818245</v>
      </c>
      <c r="CB62" s="75">
        <v>1114.4965538595843</v>
      </c>
      <c r="CC62" s="22"/>
      <c r="CD62" s="74">
        <v>2891.4224419708921</v>
      </c>
      <c r="CE62" s="75">
        <v>1088.6683061486519</v>
      </c>
      <c r="CF62" s="22"/>
      <c r="CG62" s="74">
        <v>3022.8787985843123</v>
      </c>
      <c r="CH62" s="75">
        <v>1220.1246627620721</v>
      </c>
      <c r="CI62" s="22"/>
      <c r="CJ62" s="74">
        <v>3004.6798520046636</v>
      </c>
      <c r="CK62" s="75">
        <v>1201.9257161824235</v>
      </c>
      <c r="CL62" s="22"/>
      <c r="CM62" s="74">
        <v>3311.8527479536788</v>
      </c>
      <c r="CN62" s="75">
        <v>1509.0986121314386</v>
      </c>
      <c r="CO62" s="22"/>
      <c r="CP62" s="74">
        <v>2963.1402939576778</v>
      </c>
      <c r="CQ62" s="75">
        <v>1160.3861581354377</v>
      </c>
    </row>
    <row r="63" spans="1:95" ht="15.75" customHeight="1" x14ac:dyDescent="0.5">
      <c r="A63" s="78" t="s">
        <v>173</v>
      </c>
      <c r="B63" s="59" t="s">
        <v>174</v>
      </c>
      <c r="C63" s="81" t="s">
        <v>69</v>
      </c>
      <c r="D63" s="61"/>
      <c r="E63" s="62">
        <f>AVERAGE('Avg master'!D52:F52)</f>
        <v>1916.6666666666667</v>
      </c>
      <c r="F63" s="62">
        <f>'Avg master'!H52</f>
        <v>1913.3333333333333</v>
      </c>
      <c r="G63" s="63">
        <f t="shared" si="0"/>
        <v>7.1706221481188633E-3</v>
      </c>
      <c r="H63" s="63">
        <f t="shared" si="1"/>
        <v>7.0773938914939329E-3</v>
      </c>
      <c r="I63" s="44">
        <f t="shared" si="2"/>
        <v>-1.3001418105594622E-2</v>
      </c>
      <c r="J63" s="64">
        <v>1469</v>
      </c>
      <c r="K63" s="64">
        <v>1093</v>
      </c>
      <c r="L63" s="64">
        <v>743</v>
      </c>
      <c r="M63" s="65">
        <f t="shared" si="3"/>
        <v>1101.6666666666667</v>
      </c>
      <c r="N63" s="66">
        <f t="shared" si="4"/>
        <v>9.4611577250853802E-3</v>
      </c>
      <c r="O63" s="18"/>
      <c r="P63" s="110"/>
      <c r="Q63" s="22"/>
      <c r="R63" s="79">
        <v>1568.7449999999999</v>
      </c>
      <c r="S63" s="22"/>
      <c r="T63" s="79">
        <v>1600.1198999999999</v>
      </c>
      <c r="U63" s="69">
        <f t="shared" si="5"/>
        <v>0.83629959930313591</v>
      </c>
      <c r="V63" s="46"/>
      <c r="W63" s="68">
        <f t="shared" si="6"/>
        <v>1649.7236168999998</v>
      </c>
      <c r="X63" s="68">
        <f t="shared" si="7"/>
        <v>49.603716899999881</v>
      </c>
      <c r="Y63" s="70">
        <f t="shared" si="8"/>
        <v>3.0999999999999927E-2</v>
      </c>
      <c r="Z63" s="71"/>
      <c r="AA63" s="72">
        <f t="shared" si="28"/>
        <v>1628.2748703980092</v>
      </c>
      <c r="AB63" s="68">
        <f t="shared" si="10"/>
        <v>28.154970398009254</v>
      </c>
      <c r="AC63" s="73">
        <f t="shared" si="11"/>
        <v>1.759553793313192E-2</v>
      </c>
      <c r="AD63" s="22"/>
      <c r="AE63" s="74">
        <f>'Options 1-3'!AQ54</f>
        <v>1568.4446864677514</v>
      </c>
      <c r="AF63" s="75">
        <f t="shared" si="12"/>
        <v>-81.278930432248444</v>
      </c>
      <c r="AG63" s="69">
        <f t="shared" si="13"/>
        <v>0.81974460965213491</v>
      </c>
      <c r="AH63" s="22"/>
      <c r="AI63" s="76">
        <v>2075.5535879566301</v>
      </c>
      <c r="AJ63" s="75">
        <f t="shared" si="14"/>
        <v>425.82997105663026</v>
      </c>
      <c r="AK63" s="69">
        <f t="shared" si="15"/>
        <v>1.0847841052038136</v>
      </c>
      <c r="AL63" s="69">
        <f t="shared" si="16"/>
        <v>1.8840123339999666</v>
      </c>
      <c r="AM63" s="77"/>
      <c r="AN63" s="76">
        <f>SUM('Options 1-3'!T54*'Summary (2)'!$AN$3)</f>
        <v>2772.6215000000002</v>
      </c>
      <c r="AO63" s="75">
        <f t="shared" si="17"/>
        <v>1122.8978831000004</v>
      </c>
      <c r="AP63" s="22"/>
      <c r="AQ63" s="74">
        <f>'Op4'!AQ54</f>
        <v>2397.8032356827825</v>
      </c>
      <c r="AR63" s="75">
        <f t="shared" si="18"/>
        <v>748.07961878278275</v>
      </c>
      <c r="AS63" s="22"/>
      <c r="AT63" s="74">
        <f>'Op5'!AQ54</f>
        <v>2866.7415608803003</v>
      </c>
      <c r="AU63" s="75">
        <f t="shared" si="19"/>
        <v>1217.0179439803005</v>
      </c>
      <c r="AV63" s="22"/>
      <c r="AW63" s="74">
        <f>'Op6'!AQ54</f>
        <v>3373.6510801506706</v>
      </c>
      <c r="AX63" s="75">
        <f t="shared" si="20"/>
        <v>1723.9274632506708</v>
      </c>
      <c r="AY63" s="22"/>
      <c r="AZ63" s="74">
        <f>'Op7'!AQ54</f>
        <v>2866.7415608803003</v>
      </c>
      <c r="BA63" s="75">
        <f t="shared" si="21"/>
        <v>1217.0179439803005</v>
      </c>
      <c r="BB63" s="22"/>
      <c r="BC63" s="74">
        <f>'Op8'!AQ54</f>
        <v>2913.5688891870736</v>
      </c>
      <c r="BD63" s="75">
        <f t="shared" si="22"/>
        <v>1263.8452722870738</v>
      </c>
      <c r="BE63" s="75"/>
      <c r="BF63" s="74">
        <v>2968.448807330883</v>
      </c>
      <c r="BG63" s="75">
        <v>1368.3289073308831</v>
      </c>
      <c r="BH63" s="75"/>
      <c r="BI63" s="75">
        <v>2884.8800439693291</v>
      </c>
      <c r="BJ63" s="75">
        <v>1284.7601439693292</v>
      </c>
      <c r="BK63" s="75"/>
      <c r="BL63" s="74">
        <v>3106.6584401408868</v>
      </c>
      <c r="BM63" s="75">
        <v>1506.5385401408869</v>
      </c>
      <c r="BN63" s="75"/>
      <c r="BO63" s="74">
        <v>3054.2762942887566</v>
      </c>
      <c r="BP63" s="75">
        <v>1454.1563942887567</v>
      </c>
      <c r="BQ63" s="74">
        <v>3167.9819439533553</v>
      </c>
      <c r="BR63" s="75">
        <v>1567.8620439533554</v>
      </c>
      <c r="BS63" s="75"/>
      <c r="BT63" s="74">
        <v>3751.2805553229027</v>
      </c>
      <c r="BU63" s="75">
        <v>2151.160655322903</v>
      </c>
      <c r="BV63" s="75"/>
      <c r="BW63" s="22"/>
      <c r="BX63" s="74">
        <f>'Op9'!AQ54</f>
        <v>3069.9701265728681</v>
      </c>
      <c r="BY63" s="75">
        <f t="shared" si="23"/>
        <v>1420.2465096728683</v>
      </c>
      <c r="BZ63" s="22"/>
      <c r="CA63" s="74">
        <v>2840.3143292628856</v>
      </c>
      <c r="CB63" s="75">
        <v>1240.1944292628857</v>
      </c>
      <c r="CC63" s="22"/>
      <c r="CD63" s="74">
        <v>2735.3898195566653</v>
      </c>
      <c r="CE63" s="75">
        <v>1135.2699195566654</v>
      </c>
      <c r="CF63" s="22"/>
      <c r="CG63" s="74">
        <v>2957.1682157282225</v>
      </c>
      <c r="CH63" s="75">
        <v>1357.0483157282226</v>
      </c>
      <c r="CI63" s="22"/>
      <c r="CJ63" s="74">
        <v>2947.4975625654251</v>
      </c>
      <c r="CK63" s="75">
        <v>1347.3776625654252</v>
      </c>
      <c r="CL63" s="22"/>
      <c r="CM63" s="74">
        <v>2954.8957829713736</v>
      </c>
      <c r="CN63" s="75">
        <v>1354.7758829713737</v>
      </c>
      <c r="CO63" s="22"/>
      <c r="CP63" s="74">
        <v>3537.251789411559</v>
      </c>
      <c r="CQ63" s="75">
        <v>1937.1318894115591</v>
      </c>
    </row>
    <row r="64" spans="1:95" ht="15.75" customHeight="1" x14ac:dyDescent="0.5">
      <c r="A64" s="83" t="s">
        <v>175</v>
      </c>
      <c r="B64" s="90" t="s">
        <v>176</v>
      </c>
      <c r="C64" s="104" t="s">
        <v>81</v>
      </c>
      <c r="D64" s="85"/>
      <c r="E64" s="62">
        <f>AVERAGE('Avg master'!D53:F53)</f>
        <v>450</v>
      </c>
      <c r="F64" s="62">
        <f>'Avg master'!H53</f>
        <v>450</v>
      </c>
      <c r="G64" s="63">
        <f t="shared" si="0"/>
        <v>1.6835373739061677E-3</v>
      </c>
      <c r="H64" s="63">
        <f t="shared" si="1"/>
        <v>1.6645438594977021E-3</v>
      </c>
      <c r="I64" s="44">
        <f t="shared" si="2"/>
        <v>-1.1281908381039731E-2</v>
      </c>
      <c r="J64" s="64">
        <v>495</v>
      </c>
      <c r="K64" s="64">
        <v>438</v>
      </c>
      <c r="L64" s="64">
        <v>417</v>
      </c>
      <c r="M64" s="65">
        <f t="shared" si="3"/>
        <v>450</v>
      </c>
      <c r="N64" s="66">
        <f t="shared" si="4"/>
        <v>3.8646181327882789E-3</v>
      </c>
      <c r="O64" s="18"/>
      <c r="P64" s="67">
        <v>1227.1218120000001</v>
      </c>
      <c r="Q64" s="22"/>
      <c r="R64" s="68">
        <v>1306.88472978</v>
      </c>
      <c r="S64" s="22"/>
      <c r="T64" s="68">
        <v>1333.0224243756002</v>
      </c>
      <c r="U64" s="69">
        <f t="shared" si="5"/>
        <v>2.9622720541680003</v>
      </c>
      <c r="V64" s="46"/>
      <c r="W64" s="68">
        <f t="shared" si="6"/>
        <v>1374.3461195312436</v>
      </c>
      <c r="X64" s="68">
        <f t="shared" si="7"/>
        <v>41.323695155643463</v>
      </c>
      <c r="Y64" s="70">
        <f t="shared" si="8"/>
        <v>3.0999999999999892E-2</v>
      </c>
      <c r="Z64" s="71"/>
      <c r="AA64" s="72">
        <f t="shared" si="28"/>
        <v>1358.8408725268546</v>
      </c>
      <c r="AB64" s="68">
        <f t="shared" si="10"/>
        <v>25.818448151254415</v>
      </c>
      <c r="AC64" s="73">
        <f t="shared" si="11"/>
        <v>1.9368352459147874E-2</v>
      </c>
      <c r="AD64" s="22"/>
      <c r="AE64" s="74">
        <f>'Options 1-3'!AQ55</f>
        <v>368.8850743434607</v>
      </c>
      <c r="AF64" s="75">
        <f t="shared" si="12"/>
        <v>-1005.4610451877829</v>
      </c>
      <c r="AG64" s="69">
        <f t="shared" si="13"/>
        <v>0.81974460965213491</v>
      </c>
      <c r="AH64" s="22"/>
      <c r="AI64" s="76">
        <v>847.80555029998482</v>
      </c>
      <c r="AJ64" s="75">
        <f t="shared" si="14"/>
        <v>-526.54056923125881</v>
      </c>
      <c r="AK64" s="69">
        <f t="shared" si="15"/>
        <v>1.8840123339999661</v>
      </c>
      <c r="AL64" s="69">
        <f t="shared" si="16"/>
        <v>1.8840123339999661</v>
      </c>
      <c r="AM64" s="77"/>
      <c r="AN64" s="76">
        <f>SUM('Options 1-3'!T55*'Summary (2)'!$AN$3)</f>
        <v>1768.6985000000002</v>
      </c>
      <c r="AO64" s="75">
        <f t="shared" si="17"/>
        <v>394.35238046875656</v>
      </c>
      <c r="AP64" s="22"/>
      <c r="AQ64" s="74">
        <f>'Op4'!AQ55</f>
        <v>1343.5757216270233</v>
      </c>
      <c r="AR64" s="75">
        <f t="shared" si="18"/>
        <v>-30.770397904220317</v>
      </c>
      <c r="AS64" s="22"/>
      <c r="AT64" s="74">
        <f>'Op5'!AQ55</f>
        <v>1133.0403639684798</v>
      </c>
      <c r="AU64" s="75">
        <f t="shared" si="19"/>
        <v>-241.30575556276381</v>
      </c>
      <c r="AV64" s="22"/>
      <c r="AW64" s="74">
        <f>'Op6'!AQ55</f>
        <v>1801.5029077002357</v>
      </c>
      <c r="AX64" s="75">
        <f t="shared" si="20"/>
        <v>427.15678816899208</v>
      </c>
      <c r="AY64" s="22"/>
      <c r="AZ64" s="74">
        <f>'Op7'!AQ55</f>
        <v>1133.0403639684798</v>
      </c>
      <c r="BA64" s="75">
        <f t="shared" si="21"/>
        <v>-241.30575556276381</v>
      </c>
      <c r="BB64" s="22"/>
      <c r="BC64" s="74">
        <f>'Op8'!AQ55</f>
        <v>1286.9118714538743</v>
      </c>
      <c r="BD64" s="75">
        <f t="shared" si="22"/>
        <v>-87.434248077369375</v>
      </c>
      <c r="BE64" s="75"/>
      <c r="BF64" s="74">
        <v>1384.6236079907867</v>
      </c>
      <c r="BG64" s="75">
        <v>51.601183615186528</v>
      </c>
      <c r="BH64" s="75"/>
      <c r="BI64" s="75">
        <v>1212.6079448437715</v>
      </c>
      <c r="BJ64" s="75">
        <v>-120.41447953182865</v>
      </c>
      <c r="BK64" s="75"/>
      <c r="BL64" s="74">
        <v>1533.4896899749515</v>
      </c>
      <c r="BM64" s="75">
        <v>200.46726559935132</v>
      </c>
      <c r="BN64" s="75"/>
      <c r="BO64" s="74">
        <v>1486.6740701213321</v>
      </c>
      <c r="BP64" s="75">
        <v>153.65164574573191</v>
      </c>
      <c r="BQ64" s="74">
        <v>2091.4024826135287</v>
      </c>
      <c r="BR64" s="75">
        <v>758.38005823792855</v>
      </c>
      <c r="BS64" s="75"/>
      <c r="BT64" s="74">
        <v>2093.141122266356</v>
      </c>
      <c r="BU64" s="75">
        <v>760.11869789075581</v>
      </c>
      <c r="BV64" s="75"/>
      <c r="BW64" s="22"/>
      <c r="BX64" s="74">
        <f>'Op9'!AQ55</f>
        <v>1162.290041916805</v>
      </c>
      <c r="BY64" s="75">
        <f t="shared" si="23"/>
        <v>-212.05607761443866</v>
      </c>
      <c r="BZ64" s="22"/>
      <c r="CA64" s="74">
        <v>1263.5872758906385</v>
      </c>
      <c r="CB64" s="75">
        <v>-69.435148484961701</v>
      </c>
      <c r="CC64" s="22"/>
      <c r="CD64" s="74">
        <v>1071.3988907269322</v>
      </c>
      <c r="CE64" s="75">
        <v>-261.62353364866794</v>
      </c>
      <c r="CF64" s="22"/>
      <c r="CG64" s="74">
        <v>1392.2806358581122</v>
      </c>
      <c r="CH64" s="75">
        <v>59.258211482512024</v>
      </c>
      <c r="CI64" s="22"/>
      <c r="CJ64" s="74">
        <v>1385.8104600378756</v>
      </c>
      <c r="CK64" s="75">
        <v>52.788035662275433</v>
      </c>
      <c r="CL64" s="22"/>
      <c r="CM64" s="74">
        <v>1890.1204566089896</v>
      </c>
      <c r="CN64" s="75">
        <v>557.0980322333894</v>
      </c>
      <c r="CO64" s="22"/>
      <c r="CP64" s="74">
        <v>1890.9687079370678</v>
      </c>
      <c r="CQ64" s="75">
        <v>557.94628356146768</v>
      </c>
    </row>
    <row r="65" spans="1:95" ht="15.75" customHeight="1" x14ac:dyDescent="0.5">
      <c r="A65" s="83" t="s">
        <v>177</v>
      </c>
      <c r="B65" s="59" t="s">
        <v>178</v>
      </c>
      <c r="C65" s="112" t="s">
        <v>69</v>
      </c>
      <c r="D65" s="85"/>
      <c r="E65" s="62">
        <f>AVERAGE('Avg master'!D54:F54)</f>
        <v>806.66666666666663</v>
      </c>
      <c r="F65" s="62">
        <f>'Avg master'!H54</f>
        <v>816.66666666666663</v>
      </c>
      <c r="G65" s="63">
        <f t="shared" si="0"/>
        <v>3.017896625816982E-3</v>
      </c>
      <c r="H65" s="63">
        <f t="shared" si="1"/>
        <v>3.0208388561254592E-3</v>
      </c>
      <c r="I65" s="44">
        <f t="shared" si="2"/>
        <v>9.7492746547631916E-4</v>
      </c>
      <c r="J65" s="64">
        <v>820</v>
      </c>
      <c r="K65" s="64">
        <v>635</v>
      </c>
      <c r="L65" s="64">
        <v>528</v>
      </c>
      <c r="M65" s="65">
        <f t="shared" si="3"/>
        <v>661</v>
      </c>
      <c r="N65" s="66">
        <f t="shared" si="4"/>
        <v>5.6766946350512272E-3</v>
      </c>
      <c r="O65" s="18"/>
      <c r="P65" s="67">
        <v>1472.5461744000004</v>
      </c>
      <c r="Q65" s="22"/>
      <c r="R65" s="68">
        <v>1568.2616757360004</v>
      </c>
      <c r="S65" s="22"/>
      <c r="T65" s="68">
        <v>1599.6269092507205</v>
      </c>
      <c r="U65" s="69">
        <f t="shared" si="5"/>
        <v>1.9587268276539436</v>
      </c>
      <c r="V65" s="46"/>
      <c r="W65" s="68">
        <f t="shared" si="6"/>
        <v>1649.2153434374927</v>
      </c>
      <c r="X65" s="68">
        <f t="shared" si="7"/>
        <v>49.588434186772247</v>
      </c>
      <c r="Y65" s="70">
        <f t="shared" si="8"/>
        <v>3.0999999999999944E-2</v>
      </c>
      <c r="Z65" s="71"/>
      <c r="AA65" s="72">
        <f t="shared" si="28"/>
        <v>1650.8232087722947</v>
      </c>
      <c r="AB65" s="68">
        <f t="shared" si="10"/>
        <v>51.196299521574247</v>
      </c>
      <c r="AC65" s="73">
        <f t="shared" si="11"/>
        <v>3.200515021690592E-2</v>
      </c>
      <c r="AD65" s="22"/>
      <c r="AE65" s="74">
        <f>'Options 1-3'!AQ56</f>
        <v>669.45809788257679</v>
      </c>
      <c r="AF65" s="75">
        <f t="shared" si="12"/>
        <v>-979.75724555491593</v>
      </c>
      <c r="AG65" s="69">
        <f t="shared" si="13"/>
        <v>0.81974460965213491</v>
      </c>
      <c r="AH65" s="22"/>
      <c r="AI65" s="76">
        <v>1245.3321527739777</v>
      </c>
      <c r="AJ65" s="75">
        <f t="shared" si="14"/>
        <v>-403.88319066351505</v>
      </c>
      <c r="AK65" s="69">
        <f t="shared" si="15"/>
        <v>1.524896513600789</v>
      </c>
      <c r="AL65" s="69">
        <f t="shared" si="16"/>
        <v>1.8840123339999661</v>
      </c>
      <c r="AM65" s="77"/>
      <c r="AN65" s="76">
        <f>SUM('Options 1-3'!T56*'Summary (2)'!$AN$3)</f>
        <v>2364.1675</v>
      </c>
      <c r="AO65" s="75">
        <f t="shared" si="17"/>
        <v>714.9521565625073</v>
      </c>
      <c r="AP65" s="22"/>
      <c r="AQ65" s="74">
        <f>'Op4'!AQ56</f>
        <v>1684.9189525207805</v>
      </c>
      <c r="AR65" s="75">
        <f t="shared" si="18"/>
        <v>35.703609083287802</v>
      </c>
      <c r="AS65" s="22"/>
      <c r="AT65" s="74">
        <f>'Op5'!AQ56</f>
        <v>1610.0719105980795</v>
      </c>
      <c r="AU65" s="75">
        <f t="shared" si="19"/>
        <v>-39.143432839413208</v>
      </c>
      <c r="AV65" s="22"/>
      <c r="AW65" s="74">
        <f>'Op6'!AQ56</f>
        <v>2422.355787601879</v>
      </c>
      <c r="AX65" s="75">
        <f t="shared" si="20"/>
        <v>773.14044416438628</v>
      </c>
      <c r="AY65" s="22"/>
      <c r="AZ65" s="74">
        <f>'Op7'!AQ56</f>
        <v>1610.0719105980795</v>
      </c>
      <c r="BA65" s="75">
        <f t="shared" si="21"/>
        <v>-39.143432839413208</v>
      </c>
      <c r="BB65" s="22"/>
      <c r="BC65" s="74">
        <f>'Op8'!AQ56</f>
        <v>1857.1744449443972</v>
      </c>
      <c r="BD65" s="75">
        <f t="shared" si="22"/>
        <v>207.95910150690452</v>
      </c>
      <c r="BE65" s="75"/>
      <c r="BF65" s="74">
        <v>1929.4808266217012</v>
      </c>
      <c r="BG65" s="75">
        <v>329.85391737098075</v>
      </c>
      <c r="BH65" s="75"/>
      <c r="BI65" s="75">
        <v>1795.5543619964053</v>
      </c>
      <c r="BJ65" s="75">
        <v>195.92745274568483</v>
      </c>
      <c r="BK65" s="75"/>
      <c r="BL65" s="74">
        <v>2057.102531868908</v>
      </c>
      <c r="BM65" s="75">
        <v>457.47562261818757</v>
      </c>
      <c r="BN65" s="75"/>
      <c r="BO65" s="74">
        <v>2035.7299344102842</v>
      </c>
      <c r="BP65" s="75">
        <v>436.10302515956369</v>
      </c>
      <c r="BQ65" s="74">
        <v>2457.3250493287969</v>
      </c>
      <c r="BR65" s="75">
        <v>857.69814007807645</v>
      </c>
      <c r="BS65" s="75"/>
      <c r="BT65" s="74">
        <v>2444.0616235579332</v>
      </c>
      <c r="BU65" s="75">
        <v>844.43471430721274</v>
      </c>
      <c r="BV65" s="75"/>
      <c r="BW65" s="22"/>
      <c r="BX65" s="74">
        <f>'Op9'!AQ56</f>
        <v>1699.8897542531645</v>
      </c>
      <c r="BY65" s="75">
        <f t="shared" si="23"/>
        <v>50.674410815671763</v>
      </c>
      <c r="BZ65" s="22"/>
      <c r="CA65" s="74">
        <v>1821.5186998361469</v>
      </c>
      <c r="CB65" s="75">
        <v>221.89179058542641</v>
      </c>
      <c r="CC65" s="22"/>
      <c r="CD65" s="74">
        <v>1669.5985474132588</v>
      </c>
      <c r="CE65" s="75">
        <v>69.971638162538284</v>
      </c>
      <c r="CF65" s="22"/>
      <c r="CG65" s="74">
        <v>1931.1467172857615</v>
      </c>
      <c r="CH65" s="75">
        <v>331.51980803504102</v>
      </c>
      <c r="CI65" s="22"/>
      <c r="CJ65" s="74">
        <v>1945.761495422322</v>
      </c>
      <c r="CK65" s="75">
        <v>346.13458617160154</v>
      </c>
      <c r="CL65" s="22"/>
      <c r="CM65" s="74">
        <v>2277.7852761541212</v>
      </c>
      <c r="CN65" s="75">
        <v>678.15836690340075</v>
      </c>
      <c r="CO65" s="22"/>
      <c r="CP65" s="74">
        <v>2263.7276407807608</v>
      </c>
      <c r="CQ65" s="75">
        <v>664.10073153004032</v>
      </c>
    </row>
    <row r="66" spans="1:95" ht="15.75" customHeight="1" x14ac:dyDescent="0.5">
      <c r="A66" s="118" t="s">
        <v>179</v>
      </c>
      <c r="B66" s="59" t="s">
        <v>180</v>
      </c>
      <c r="C66" s="81" t="s">
        <v>69</v>
      </c>
      <c r="D66" s="119"/>
      <c r="E66" s="62">
        <f>AVERAGE('Avg master'!D55:F55)</f>
        <v>966.33333333333337</v>
      </c>
      <c r="F66" s="62">
        <f>'Avg master'!H55</f>
        <v>979.66666666666663</v>
      </c>
      <c r="G66" s="63">
        <f t="shared" si="0"/>
        <v>3.6152406273733187E-3</v>
      </c>
      <c r="H66" s="63">
        <f t="shared" si="1"/>
        <v>3.6237736318990711E-3</v>
      </c>
      <c r="I66" s="44">
        <f t="shared" si="2"/>
        <v>2.3602867430575786E-3</v>
      </c>
      <c r="J66" s="64">
        <v>480</v>
      </c>
      <c r="K66" s="64">
        <v>344</v>
      </c>
      <c r="L66" s="64">
        <v>284</v>
      </c>
      <c r="M66" s="65">
        <f t="shared" si="3"/>
        <v>369.33333333333331</v>
      </c>
      <c r="N66" s="66">
        <f t="shared" si="4"/>
        <v>3.1718495489847505E-3</v>
      </c>
      <c r="O66" s="18"/>
      <c r="P66" s="67">
        <v>1473</v>
      </c>
      <c r="Q66" s="22"/>
      <c r="R66" s="68">
        <v>1568.7449999999999</v>
      </c>
      <c r="S66" s="22"/>
      <c r="T66" s="68">
        <v>1600.1198999999999</v>
      </c>
      <c r="U66" s="69">
        <f t="shared" si="5"/>
        <v>1.6333309629125552</v>
      </c>
      <c r="V66" s="46"/>
      <c r="W66" s="68">
        <f t="shared" si="6"/>
        <v>1649.7236168999998</v>
      </c>
      <c r="X66" s="68">
        <f t="shared" si="7"/>
        <v>49.603716899999881</v>
      </c>
      <c r="Y66" s="70">
        <f t="shared" si="8"/>
        <v>3.0999999999999927E-2</v>
      </c>
      <c r="Z66" s="71"/>
      <c r="AA66" s="72">
        <f t="shared" si="28"/>
        <v>1653.617437682678</v>
      </c>
      <c r="AB66" s="68">
        <f t="shared" si="10"/>
        <v>53.497537682678058</v>
      </c>
      <c r="AC66" s="73">
        <f t="shared" si="11"/>
        <v>3.3433455632092358E-2</v>
      </c>
      <c r="AD66" s="22"/>
      <c r="AE66" s="74">
        <f>'Options 1-3'!AQ57</f>
        <v>803.07646925587471</v>
      </c>
      <c r="AF66" s="75">
        <f t="shared" si="12"/>
        <v>-846.64714764412508</v>
      </c>
      <c r="AG66" s="69">
        <f t="shared" si="13"/>
        <v>0.8197446096521348</v>
      </c>
      <c r="AH66" s="22"/>
      <c r="AI66" s="76">
        <v>695.82855535732085</v>
      </c>
      <c r="AJ66" s="75">
        <f t="shared" si="14"/>
        <v>-953.89506154267895</v>
      </c>
      <c r="AK66" s="69">
        <f t="shared" si="15"/>
        <v>0.71027072680230097</v>
      </c>
      <c r="AL66" s="69">
        <f t="shared" si="16"/>
        <v>1.8840123339999664</v>
      </c>
      <c r="AM66" s="77"/>
      <c r="AN66" s="76">
        <f>SUM('Options 1-3'!T57*'Summary (2)'!$AN$3)</f>
        <v>1609.8185000000001</v>
      </c>
      <c r="AO66" s="75">
        <f t="shared" si="17"/>
        <v>-39.905116899999712</v>
      </c>
      <c r="AP66" s="22"/>
      <c r="AQ66" s="74">
        <f>'Op4'!AQ57</f>
        <v>1213.077993544418</v>
      </c>
      <c r="AR66" s="75">
        <f t="shared" si="18"/>
        <v>-436.64562335558185</v>
      </c>
      <c r="AS66" s="22"/>
      <c r="AT66" s="74">
        <f>'Op5'!AQ57</f>
        <v>1094.3966084220615</v>
      </c>
      <c r="AU66" s="75">
        <f t="shared" si="19"/>
        <v>-555.32700847793831</v>
      </c>
      <c r="AV66" s="22"/>
      <c r="AW66" s="74">
        <f>'Op6'!AQ57</f>
        <v>1757.7551026130343</v>
      </c>
      <c r="AX66" s="75">
        <f t="shared" si="20"/>
        <v>108.0314857130345</v>
      </c>
      <c r="AY66" s="22"/>
      <c r="AZ66" s="74">
        <f>'Op7'!AQ57</f>
        <v>1094.3966084220615</v>
      </c>
      <c r="BA66" s="75">
        <f t="shared" si="21"/>
        <v>-555.32700847793831</v>
      </c>
      <c r="BB66" s="22"/>
      <c r="BC66" s="74">
        <f>'Op8'!AQ57</f>
        <v>1378.127073427275</v>
      </c>
      <c r="BD66" s="75">
        <f t="shared" si="22"/>
        <v>-271.59654347272476</v>
      </c>
      <c r="BE66" s="75"/>
      <c r="BF66" s="74">
        <v>1482.6173371084967</v>
      </c>
      <c r="BG66" s="75">
        <v>-117.5025628915032</v>
      </c>
      <c r="BH66" s="75"/>
      <c r="BI66" s="75">
        <v>1276.2817687597594</v>
      </c>
      <c r="BJ66" s="75">
        <v>-323.8381312402405</v>
      </c>
      <c r="BK66" s="75"/>
      <c r="BL66" s="74">
        <v>1568.5943899367865</v>
      </c>
      <c r="BM66" s="75">
        <v>-31.52551006321346</v>
      </c>
      <c r="BN66" s="75"/>
      <c r="BO66" s="74">
        <v>1563.3044719093753</v>
      </c>
      <c r="BP66" s="75">
        <v>-36.815428090624664</v>
      </c>
      <c r="BQ66" s="74">
        <v>2154.2542356740792</v>
      </c>
      <c r="BR66" s="75">
        <v>554.13433567407924</v>
      </c>
      <c r="BS66" s="75"/>
      <c r="BT66" s="74">
        <v>2043.7069350939412</v>
      </c>
      <c r="BU66" s="75">
        <v>443.58703509394127</v>
      </c>
      <c r="BV66" s="75"/>
      <c r="BW66" s="22"/>
      <c r="BX66" s="74">
        <f>'Op9'!AQ57</f>
        <v>1346.6749967812964</v>
      </c>
      <c r="BY66" s="75">
        <f t="shared" si="23"/>
        <v>-303.04862011870341</v>
      </c>
      <c r="BZ66" s="22"/>
      <c r="CA66" s="74">
        <v>1510.3002113059808</v>
      </c>
      <c r="CB66" s="75">
        <v>-89.819688694019078</v>
      </c>
      <c r="CC66" s="22"/>
      <c r="CD66" s="74">
        <v>1308.5784553234905</v>
      </c>
      <c r="CE66" s="75">
        <v>-291.5414446765094</v>
      </c>
      <c r="CF66" s="22"/>
      <c r="CG66" s="74">
        <v>1600.8910765005178</v>
      </c>
      <c r="CH66" s="75">
        <v>0.77117650051786768</v>
      </c>
      <c r="CI66" s="22"/>
      <c r="CJ66" s="74">
        <v>1586.3735337406122</v>
      </c>
      <c r="CK66" s="75">
        <v>-13.746366259387742</v>
      </c>
      <c r="CL66" s="22"/>
      <c r="CM66" s="74">
        <v>2200.2905365716306</v>
      </c>
      <c r="CN66" s="75">
        <v>600.17063657163067</v>
      </c>
      <c r="CO66" s="22"/>
      <c r="CP66" s="74">
        <v>2089.9468815213368</v>
      </c>
      <c r="CQ66" s="75">
        <v>489.82698152133685</v>
      </c>
    </row>
    <row r="67" spans="1:95" ht="15.75" customHeight="1" x14ac:dyDescent="0.5">
      <c r="A67" s="52"/>
      <c r="B67" s="52"/>
      <c r="C67" s="7"/>
      <c r="D67" s="7"/>
      <c r="E67" s="7"/>
      <c r="F67" s="120"/>
      <c r="G67" s="121"/>
      <c r="H67" s="121"/>
      <c r="I67" s="7"/>
      <c r="J67" s="52"/>
      <c r="K67" s="52"/>
      <c r="L67" s="52"/>
      <c r="M67" s="22"/>
      <c r="N67" s="121"/>
      <c r="O67" s="18"/>
      <c r="P67" s="122"/>
      <c r="Q67" s="22"/>
      <c r="R67" s="123"/>
      <c r="S67" s="22"/>
      <c r="T67" s="123"/>
      <c r="U67" s="45"/>
      <c r="V67" s="46"/>
      <c r="W67" s="22"/>
      <c r="X67" s="22"/>
      <c r="Y67" s="22"/>
      <c r="Z67" s="22"/>
      <c r="AA67" s="22"/>
      <c r="AB67" s="22"/>
      <c r="AC67" s="44"/>
      <c r="AD67" s="22"/>
      <c r="AE67" s="22"/>
      <c r="AF67" s="22"/>
      <c r="AG67" s="22"/>
      <c r="AH67" s="22"/>
      <c r="AI67" s="121"/>
      <c r="AJ67" s="121"/>
      <c r="AK67" s="22"/>
      <c r="AL67" s="22"/>
      <c r="AM67" s="121"/>
      <c r="AN67" s="121"/>
      <c r="AO67" s="121"/>
      <c r="AP67" s="22"/>
      <c r="AQ67" s="22"/>
      <c r="AR67" s="121"/>
      <c r="AS67" s="22"/>
      <c r="AT67" s="22"/>
      <c r="AU67" s="121"/>
      <c r="AV67" s="22"/>
      <c r="AW67" s="22"/>
      <c r="AX67" s="121"/>
      <c r="AY67" s="22"/>
      <c r="AZ67" s="22"/>
      <c r="BA67" s="121"/>
      <c r="BB67" s="22"/>
      <c r="BC67" s="22"/>
      <c r="BD67" s="121"/>
      <c r="BE67" s="121"/>
      <c r="BF67" s="22"/>
      <c r="BG67" s="121"/>
      <c r="BH67" s="121"/>
      <c r="BI67" s="121"/>
      <c r="BJ67" s="121"/>
      <c r="BK67" s="121"/>
      <c r="BL67" s="22"/>
      <c r="BM67" s="121"/>
      <c r="BN67" s="121"/>
      <c r="BO67" s="22"/>
      <c r="BP67" s="121"/>
      <c r="BQ67" s="22"/>
      <c r="BR67" s="121"/>
      <c r="BS67" s="121"/>
      <c r="BT67" s="22"/>
      <c r="BU67" s="121"/>
      <c r="BV67" s="121"/>
      <c r="BW67" s="22"/>
      <c r="BX67" s="22"/>
      <c r="BY67" s="121"/>
      <c r="BZ67" s="22"/>
      <c r="CA67" s="22"/>
      <c r="CB67" s="121"/>
      <c r="CC67" s="22"/>
      <c r="CD67" s="22"/>
      <c r="CE67" s="121"/>
      <c r="CF67" s="22"/>
      <c r="CG67" s="22"/>
      <c r="CH67" s="121"/>
      <c r="CI67" s="22"/>
      <c r="CJ67" s="22"/>
      <c r="CK67" s="121"/>
      <c r="CL67" s="22"/>
      <c r="CM67" s="22"/>
      <c r="CN67" s="121"/>
      <c r="CO67" s="22"/>
      <c r="CP67" s="22"/>
      <c r="CQ67" s="121"/>
    </row>
    <row r="68" spans="1:95" ht="15.75" customHeight="1" x14ac:dyDescent="0.5">
      <c r="A68" s="124"/>
      <c r="B68" s="124"/>
      <c r="C68" s="125"/>
      <c r="D68" s="125"/>
      <c r="E68" s="125"/>
      <c r="F68" s="126"/>
      <c r="G68" s="127"/>
      <c r="H68" s="127"/>
      <c r="I68" s="125"/>
      <c r="J68" s="124"/>
      <c r="K68" s="124"/>
      <c r="L68" s="124"/>
      <c r="M68" s="128"/>
      <c r="N68" s="127"/>
      <c r="O68" s="127"/>
      <c r="P68" s="68"/>
      <c r="Q68" s="129"/>
      <c r="R68" s="68"/>
      <c r="S68" s="129"/>
      <c r="T68" s="68"/>
      <c r="U68" s="130"/>
      <c r="V68" s="131"/>
      <c r="W68" s="129"/>
      <c r="X68" s="129"/>
      <c r="Y68" s="129"/>
      <c r="Z68" s="129"/>
      <c r="AA68" s="129"/>
      <c r="AB68" s="129"/>
      <c r="AC68" s="70"/>
      <c r="AD68" s="129"/>
      <c r="AE68" s="129"/>
      <c r="AF68" s="129"/>
      <c r="AG68" s="129"/>
      <c r="AH68" s="129"/>
      <c r="AI68" s="127"/>
      <c r="AJ68" s="127"/>
      <c r="AK68" s="129"/>
      <c r="AL68" s="129"/>
      <c r="AM68" s="127"/>
      <c r="AN68" s="127"/>
      <c r="AO68" s="127"/>
      <c r="AP68" s="22"/>
      <c r="AQ68" s="22"/>
      <c r="AR68" s="127"/>
      <c r="AS68" s="22"/>
      <c r="AT68" s="22"/>
      <c r="AU68" s="127"/>
      <c r="AV68" s="22"/>
      <c r="AW68" s="22"/>
      <c r="AX68" s="127"/>
      <c r="AY68" s="22"/>
      <c r="AZ68" s="22"/>
      <c r="BA68" s="127"/>
      <c r="BB68" s="22"/>
      <c r="BC68" s="22"/>
      <c r="BD68" s="127"/>
      <c r="BE68" s="127"/>
      <c r="BF68" s="22"/>
      <c r="BG68" s="127"/>
      <c r="BH68" s="127"/>
      <c r="BI68" s="127"/>
      <c r="BJ68" s="127"/>
      <c r="BK68" s="127"/>
      <c r="BL68" s="22"/>
      <c r="BM68" s="127"/>
      <c r="BN68" s="127"/>
      <c r="BO68" s="22"/>
      <c r="BP68" s="127"/>
      <c r="BQ68" s="22"/>
      <c r="BR68" s="127"/>
      <c r="BS68" s="127"/>
      <c r="BT68" s="22"/>
      <c r="BU68" s="127"/>
      <c r="BV68" s="127"/>
      <c r="BW68" s="22"/>
      <c r="BX68" s="22"/>
      <c r="BY68" s="127"/>
      <c r="BZ68" s="22"/>
      <c r="CA68" s="22"/>
      <c r="CB68" s="127"/>
      <c r="CC68" s="22"/>
      <c r="CD68" s="22"/>
      <c r="CE68" s="127"/>
      <c r="CF68" s="22"/>
      <c r="CG68" s="22"/>
      <c r="CH68" s="127"/>
      <c r="CI68" s="22"/>
      <c r="CJ68" s="22"/>
      <c r="CK68" s="127"/>
      <c r="CL68" s="22"/>
      <c r="CM68" s="22"/>
      <c r="CN68" s="127"/>
      <c r="CO68" s="22"/>
      <c r="CP68" s="22"/>
      <c r="CQ68" s="127"/>
    </row>
    <row r="69" spans="1:95" ht="15.75" customHeight="1" x14ac:dyDescent="0.5">
      <c r="A69" s="132" t="s">
        <v>181</v>
      </c>
      <c r="B69" s="132"/>
      <c r="C69" s="133"/>
      <c r="D69" s="133"/>
      <c r="E69" s="134">
        <f t="shared" ref="E69:F69" si="29">SUM(E13:E66)</f>
        <v>267294.33333333343</v>
      </c>
      <c r="F69" s="134">
        <f t="shared" si="29"/>
        <v>270344.33333333337</v>
      </c>
      <c r="G69" s="135">
        <f t="shared" ref="G69:H69" si="30">SUM(G13:G68)</f>
        <v>0.99999999999999956</v>
      </c>
      <c r="H69" s="135">
        <f t="shared" si="30"/>
        <v>1.0000000000000002</v>
      </c>
      <c r="I69" s="136">
        <f>SUM(I13:I66)</f>
        <v>-0.31029922435256185</v>
      </c>
      <c r="J69" s="132"/>
      <c r="K69" s="132"/>
      <c r="L69" s="132"/>
      <c r="M69" s="134">
        <f>SUM(M13:M66)</f>
        <v>116441</v>
      </c>
      <c r="N69" s="135">
        <f>SUM(N13:N68)</f>
        <v>1</v>
      </c>
      <c r="O69" s="135"/>
      <c r="P69" s="137">
        <f>SUM(P13:P67)</f>
        <v>198229.70673759998</v>
      </c>
      <c r="Q69" s="131"/>
      <c r="R69" s="138">
        <f>SUM(R13:R67)</f>
        <v>217127.627675544</v>
      </c>
      <c r="S69" s="131"/>
      <c r="T69" s="138">
        <f>SUM(T13:T67)</f>
        <v>221470.18022905494</v>
      </c>
      <c r="U69" s="139"/>
      <c r="V69" s="131"/>
      <c r="W69" s="138">
        <f t="shared" ref="W69:X69" si="31">SUM(W13:W67)</f>
        <v>228335.75581615567</v>
      </c>
      <c r="X69" s="138">
        <f t="shared" si="31"/>
        <v>6865.5755871006822</v>
      </c>
      <c r="Y69" s="138"/>
      <c r="Z69" s="138"/>
      <c r="AA69" s="138">
        <f t="shared" ref="AA69:AB69" si="32">SUM(AA13:AA67)</f>
        <v>228015.56059141835</v>
      </c>
      <c r="AB69" s="138">
        <f t="shared" si="32"/>
        <v>6545.3803623634039</v>
      </c>
      <c r="AC69" s="140">
        <f>MEDIAN(AC13:AC66)</f>
        <v>2.2007930786961043E-2</v>
      </c>
      <c r="AD69" s="141"/>
      <c r="AE69" s="142">
        <f>SUM(AE13:AE67)</f>
        <v>221613.30999999994</v>
      </c>
      <c r="AF69" s="141"/>
      <c r="AG69" s="141"/>
      <c r="AH69" s="141"/>
      <c r="AI69" s="142">
        <f>SUM(AI13:AI67)</f>
        <v>219376.28018329013</v>
      </c>
      <c r="AJ69" s="142"/>
      <c r="AK69" s="141"/>
      <c r="AL69" s="141"/>
      <c r="AM69" s="142"/>
      <c r="AN69" s="142">
        <f>SUM(AN13:AN67)</f>
        <v>219182.57299999997</v>
      </c>
      <c r="AO69" s="142"/>
      <c r="AP69" s="143"/>
      <c r="AQ69" s="142">
        <f>SUM(AQ13:AQ67)</f>
        <v>221613.31000000003</v>
      </c>
      <c r="AR69" s="142"/>
      <c r="AS69" s="142"/>
      <c r="AT69" s="142">
        <f>SUM(AT13:AT67)</f>
        <v>221613.31000000006</v>
      </c>
      <c r="AU69" s="142"/>
      <c r="AV69" s="142"/>
      <c r="AW69" s="142">
        <f>SUM(AW13:AW67)</f>
        <v>221613.31</v>
      </c>
      <c r="AX69" s="142"/>
      <c r="AY69" s="142"/>
      <c r="AZ69" s="142">
        <f>SUM(AZ13:AZ67)</f>
        <v>221613.31000000006</v>
      </c>
      <c r="BA69" s="142"/>
      <c r="BB69" s="142"/>
      <c r="BC69" s="142">
        <f>SUM(BC13:BC67)</f>
        <v>221614.31</v>
      </c>
      <c r="BD69" s="142"/>
      <c r="BE69" s="142"/>
      <c r="BF69" s="142">
        <v>221614.31000000003</v>
      </c>
      <c r="BG69" s="142"/>
      <c r="BH69" s="142"/>
      <c r="BI69" s="142">
        <v>221614.31000000003</v>
      </c>
      <c r="BJ69" s="142"/>
      <c r="BK69" s="142"/>
      <c r="BL69" s="142">
        <v>221614.31000000003</v>
      </c>
      <c r="BM69" s="142"/>
      <c r="BN69" s="142"/>
      <c r="BO69" s="142">
        <v>221614.30999999997</v>
      </c>
      <c r="BP69" s="142"/>
      <c r="BQ69" s="142">
        <v>221614.31000000003</v>
      </c>
      <c r="BR69" s="142"/>
      <c r="BS69" s="142"/>
      <c r="BT69" s="142">
        <v>221614.30999999997</v>
      </c>
      <c r="BU69" s="142"/>
      <c r="BV69" s="142"/>
      <c r="BW69" s="142"/>
      <c r="BX69" s="142">
        <f>SUM(BX13:BX67)</f>
        <v>221614.31000000003</v>
      </c>
      <c r="BY69" s="142"/>
      <c r="BZ69" s="22"/>
      <c r="CA69" s="142">
        <v>221614.31000000003</v>
      </c>
      <c r="CB69" s="142"/>
      <c r="CC69" s="22"/>
      <c r="CD69" s="142">
        <v>221614.31000000006</v>
      </c>
      <c r="CE69" s="142"/>
      <c r="CF69" s="22"/>
      <c r="CG69" s="142">
        <v>221614.30999999997</v>
      </c>
      <c r="CH69" s="142"/>
      <c r="CI69" s="22"/>
      <c r="CJ69" s="142">
        <v>221614.31</v>
      </c>
      <c r="CK69" s="142"/>
      <c r="CL69" s="22"/>
      <c r="CM69" s="142">
        <v>221614.31</v>
      </c>
      <c r="CN69" s="142"/>
      <c r="CO69" s="22"/>
      <c r="CP69" s="142">
        <v>221614.30999999997</v>
      </c>
      <c r="CQ69" s="142"/>
    </row>
    <row r="70" spans="1:95" ht="15.75" customHeight="1" x14ac:dyDescent="0.45">
      <c r="A70" s="83" t="s">
        <v>182</v>
      </c>
      <c r="B70" s="83">
        <f>COUNTIF(B13:B66,"*")</f>
        <v>54</v>
      </c>
      <c r="C70" s="85"/>
      <c r="D70" s="85"/>
      <c r="E70" s="22">
        <f t="shared" ref="E70:F70" si="33">COUNTIF(E13:E67,"&gt;1")</f>
        <v>52</v>
      </c>
      <c r="F70" s="22">
        <f t="shared" si="33"/>
        <v>52</v>
      </c>
      <c r="G70" s="144"/>
      <c r="H70" s="144"/>
      <c r="I70" s="85"/>
      <c r="J70" s="83"/>
      <c r="K70" s="83"/>
      <c r="L70" s="83"/>
      <c r="M70" s="145"/>
      <c r="N70" s="144"/>
      <c r="O70" s="144"/>
      <c r="P70" s="22">
        <f>COUNTIF(P13:P67,"&gt;1")</f>
        <v>50</v>
      </c>
      <c r="Q70" s="22"/>
      <c r="R70" s="22">
        <f>COUNTIF(R13:R67,"&gt;1")</f>
        <v>54</v>
      </c>
      <c r="S70" s="22"/>
      <c r="T70" s="22">
        <f>COUNTIF(T13:T67,"&gt;1")</f>
        <v>54</v>
      </c>
      <c r="U70" s="45"/>
      <c r="V70" s="46"/>
      <c r="W70" s="83">
        <f>COUNTIF(W13:W66,"&gt;0")</f>
        <v>54</v>
      </c>
      <c r="X70" s="83"/>
      <c r="Y70" s="83"/>
      <c r="Z70" s="83"/>
      <c r="AA70" s="83"/>
      <c r="AB70" s="83"/>
      <c r="AC70" s="66"/>
      <c r="AD70" s="22"/>
      <c r="AE70" s="146">
        <f>SUM(W73)*AE71</f>
        <v>221613.31</v>
      </c>
      <c r="AF70" s="22"/>
      <c r="AG70" s="22"/>
      <c r="AH70" s="22"/>
      <c r="AI70" s="146">
        <f>SUM(W73)*AI71</f>
        <v>221613.31</v>
      </c>
      <c r="AJ70" s="146"/>
      <c r="AK70" s="22"/>
      <c r="AL70" s="22"/>
      <c r="AM70" s="146"/>
      <c r="AN70" s="146"/>
      <c r="AO70" s="146"/>
      <c r="AP70" s="22"/>
      <c r="AQ70" s="22"/>
      <c r="AR70" s="146"/>
      <c r="AS70" s="22"/>
      <c r="AT70" s="22"/>
      <c r="AU70" s="146"/>
      <c r="AV70" s="22"/>
      <c r="AW70" s="22"/>
      <c r="AX70" s="146"/>
      <c r="AY70" s="22"/>
      <c r="AZ70" s="22"/>
      <c r="BA70" s="146"/>
      <c r="BB70" s="22"/>
      <c r="BC70" s="22"/>
      <c r="BD70" s="146"/>
      <c r="BE70" s="146"/>
      <c r="BF70" s="22"/>
      <c r="BG70" s="146"/>
      <c r="BH70" s="146"/>
      <c r="BI70" s="146"/>
      <c r="BJ70" s="146"/>
      <c r="BK70" s="146"/>
      <c r="BL70" s="22"/>
      <c r="BM70" s="146"/>
      <c r="BN70" s="146"/>
      <c r="BO70" s="22"/>
      <c r="BP70" s="146"/>
      <c r="BQ70" s="22"/>
      <c r="BR70" s="146"/>
      <c r="BS70" s="146"/>
      <c r="BT70" s="22"/>
      <c r="BU70" s="146"/>
      <c r="BV70" s="146"/>
      <c r="BW70" s="22"/>
      <c r="BX70" s="22"/>
      <c r="BY70" s="146"/>
      <c r="BZ70" s="22"/>
      <c r="CA70" s="22"/>
      <c r="CB70" s="146"/>
      <c r="CC70" s="22"/>
      <c r="CD70" s="22"/>
      <c r="CE70" s="146"/>
      <c r="CF70" s="22"/>
      <c r="CG70" s="22"/>
      <c r="CH70" s="146"/>
      <c r="CI70" s="22"/>
      <c r="CJ70" s="22"/>
      <c r="CK70" s="146"/>
      <c r="CL70" s="22"/>
      <c r="CM70" s="22"/>
      <c r="CN70" s="146"/>
      <c r="CO70" s="22"/>
      <c r="CP70" s="22"/>
      <c r="CQ70" s="146"/>
    </row>
    <row r="71" spans="1:95" ht="15.75" customHeight="1" x14ac:dyDescent="0.45">
      <c r="A71" s="96" t="s">
        <v>183</v>
      </c>
      <c r="B71" s="83"/>
      <c r="C71" s="85"/>
      <c r="D71" s="85"/>
      <c r="E71" s="85"/>
      <c r="F71" s="147"/>
      <c r="G71" s="144"/>
      <c r="H71" s="144"/>
      <c r="I71" s="148"/>
      <c r="J71" s="83"/>
      <c r="K71" s="83"/>
      <c r="L71" s="83"/>
      <c r="M71" s="145"/>
      <c r="N71" s="144"/>
      <c r="O71" s="144"/>
      <c r="P71" s="149"/>
      <c r="Q71" s="22"/>
      <c r="R71" s="22"/>
      <c r="S71" s="22"/>
      <c r="T71" s="22"/>
      <c r="U71" s="45"/>
      <c r="V71" s="46"/>
      <c r="W71" s="22"/>
      <c r="X71" s="22"/>
      <c r="Y71" s="22"/>
      <c r="Z71" s="22"/>
      <c r="AA71" s="145">
        <f>SUM(AA69-W69)</f>
        <v>-320.19522473731195</v>
      </c>
      <c r="AB71" s="22"/>
      <c r="AC71" s="44"/>
      <c r="AD71" s="22"/>
      <c r="AE71" s="150">
        <v>1</v>
      </c>
      <c r="AF71" s="151"/>
      <c r="AG71" s="22"/>
      <c r="AH71" s="151"/>
      <c r="AI71" s="150">
        <v>1</v>
      </c>
      <c r="AJ71" s="50"/>
      <c r="AK71" s="22"/>
      <c r="AL71" s="22"/>
      <c r="AM71" s="50"/>
      <c r="AN71" s="50"/>
      <c r="AO71" s="50"/>
      <c r="AP71" s="22"/>
      <c r="AQ71" s="22"/>
      <c r="AR71" s="50"/>
      <c r="AS71" s="22"/>
      <c r="AT71" s="22"/>
      <c r="AU71" s="50"/>
      <c r="AV71" s="22"/>
      <c r="AW71" s="22"/>
      <c r="AX71" s="50"/>
      <c r="AY71" s="22"/>
      <c r="AZ71" s="22"/>
      <c r="BA71" s="50"/>
      <c r="BB71" s="22"/>
      <c r="BC71" s="22"/>
      <c r="BD71" s="50"/>
      <c r="BE71" s="50"/>
      <c r="BF71" s="22"/>
      <c r="BG71" s="50"/>
      <c r="BH71" s="50"/>
      <c r="BI71" s="50"/>
      <c r="BJ71" s="50"/>
      <c r="BK71" s="50"/>
      <c r="BL71" s="22"/>
      <c r="BM71" s="50"/>
      <c r="BN71" s="50"/>
      <c r="BO71" s="22"/>
      <c r="BP71" s="50"/>
      <c r="BQ71" s="22"/>
      <c r="BR71" s="50"/>
      <c r="BS71" s="50"/>
      <c r="BT71" s="22"/>
      <c r="BU71" s="50"/>
      <c r="BV71" s="50"/>
      <c r="BW71" s="22"/>
      <c r="BX71" s="22"/>
      <c r="BY71" s="50"/>
      <c r="BZ71" s="22"/>
      <c r="CA71" s="22"/>
      <c r="CB71" s="50"/>
      <c r="CC71" s="22"/>
      <c r="CD71" s="22"/>
      <c r="CE71" s="50"/>
      <c r="CF71" s="22"/>
      <c r="CG71" s="22"/>
      <c r="CH71" s="50"/>
      <c r="CI71" s="22"/>
      <c r="CJ71" s="22"/>
      <c r="CK71" s="50"/>
      <c r="CL71" s="22"/>
      <c r="CM71" s="22"/>
      <c r="CN71" s="50"/>
      <c r="CO71" s="22"/>
      <c r="CP71" s="22"/>
      <c r="CQ71" s="50"/>
    </row>
    <row r="72" spans="1:95" ht="15.75" customHeight="1" x14ac:dyDescent="0.45">
      <c r="A72" s="83"/>
      <c r="B72" s="83"/>
      <c r="C72" s="85"/>
      <c r="D72" s="85"/>
      <c r="E72" s="85"/>
      <c r="F72" s="147"/>
      <c r="G72" s="144"/>
      <c r="H72" s="144"/>
      <c r="I72" s="85"/>
      <c r="J72" s="83"/>
      <c r="K72" s="83"/>
      <c r="L72" s="83"/>
      <c r="M72" s="145"/>
      <c r="N72" s="144"/>
      <c r="O72" s="144"/>
      <c r="P72" s="149"/>
      <c r="Q72" s="22"/>
      <c r="R72" s="22"/>
      <c r="S72" s="22"/>
      <c r="T72" s="22"/>
      <c r="U72" s="45"/>
      <c r="V72" s="46"/>
      <c r="W72" s="22"/>
      <c r="X72" s="22"/>
      <c r="Y72" s="22"/>
      <c r="Z72" s="22"/>
      <c r="AA72" s="22"/>
      <c r="AB72" s="22"/>
      <c r="AC72" s="44"/>
      <c r="AD72" s="22"/>
      <c r="AE72" s="22"/>
      <c r="AF72" s="22"/>
      <c r="AG72" s="22"/>
      <c r="AH72" s="22"/>
      <c r="AI72" s="50"/>
      <c r="AJ72" s="50"/>
      <c r="AK72" s="22"/>
      <c r="AL72" s="22"/>
      <c r="AM72" s="50"/>
      <c r="AN72" s="50"/>
      <c r="AO72" s="50"/>
      <c r="AP72" s="22"/>
      <c r="AQ72" s="22"/>
      <c r="AR72" s="50"/>
      <c r="AS72" s="22"/>
      <c r="AT72" s="22"/>
      <c r="AU72" s="50"/>
      <c r="AV72" s="22"/>
      <c r="AW72" s="22"/>
      <c r="AX72" s="50"/>
      <c r="AY72" s="22"/>
      <c r="AZ72" s="22"/>
      <c r="BA72" s="50"/>
      <c r="BB72" s="22"/>
      <c r="BC72" s="22"/>
      <c r="BD72" s="50"/>
      <c r="BE72" s="50"/>
      <c r="BF72" s="22"/>
      <c r="BG72" s="50"/>
      <c r="BH72" s="50"/>
      <c r="BI72" s="50"/>
      <c r="BJ72" s="50"/>
      <c r="BK72" s="50"/>
      <c r="BL72" s="22"/>
      <c r="BM72" s="50"/>
      <c r="BN72" s="50"/>
      <c r="BO72" s="22"/>
      <c r="BP72" s="50"/>
      <c r="BQ72" s="22"/>
      <c r="BR72" s="50"/>
      <c r="BS72" s="50"/>
      <c r="BT72" s="22"/>
      <c r="BU72" s="50"/>
      <c r="BV72" s="50"/>
      <c r="BW72" s="22"/>
      <c r="BX72" s="22"/>
      <c r="BY72" s="50"/>
      <c r="BZ72" s="22"/>
      <c r="CA72" s="22"/>
      <c r="CB72" s="50"/>
      <c r="CC72" s="22"/>
      <c r="CD72" s="22"/>
      <c r="CE72" s="50"/>
      <c r="CF72" s="22"/>
      <c r="CG72" s="22"/>
      <c r="CH72" s="50"/>
      <c r="CI72" s="22"/>
      <c r="CJ72" s="22"/>
      <c r="CK72" s="50"/>
      <c r="CL72" s="22"/>
      <c r="CM72" s="22"/>
      <c r="CN72" s="50"/>
      <c r="CO72" s="22"/>
      <c r="CP72" s="22"/>
      <c r="CQ72" s="50"/>
    </row>
    <row r="73" spans="1:95" ht="15.75" customHeight="1" x14ac:dyDescent="0.45">
      <c r="A73" s="83" t="s">
        <v>184</v>
      </c>
      <c r="B73" s="83"/>
      <c r="C73" s="85"/>
      <c r="D73" s="85"/>
      <c r="E73" s="85"/>
      <c r="F73" s="147"/>
      <c r="G73" s="144"/>
      <c r="H73" s="144"/>
      <c r="I73" s="85"/>
      <c r="J73" s="83"/>
      <c r="K73" s="83"/>
      <c r="L73" s="83"/>
      <c r="M73" s="145"/>
      <c r="N73" s="144"/>
      <c r="O73" s="144"/>
      <c r="P73" s="152">
        <v>218234.62</v>
      </c>
      <c r="Q73" s="22"/>
      <c r="R73" s="74">
        <v>213467.59999999998</v>
      </c>
      <c r="S73" s="22"/>
      <c r="T73" s="74">
        <v>213467.59999999998</v>
      </c>
      <c r="U73" s="45"/>
      <c r="V73" s="46"/>
      <c r="W73" s="74">
        <f>'FY20-21 budget'!AD84</f>
        <v>221613.31</v>
      </c>
      <c r="X73" s="74"/>
      <c r="Y73" s="74"/>
      <c r="Z73" s="74"/>
      <c r="AA73" s="74"/>
      <c r="AB73" s="74"/>
      <c r="AC73" s="153"/>
      <c r="AD73" s="22"/>
      <c r="AE73" s="22"/>
      <c r="AF73" s="22"/>
      <c r="AG73" s="22"/>
      <c r="AH73" s="22"/>
      <c r="AI73" s="144"/>
      <c r="AJ73" s="144"/>
      <c r="AK73" s="22"/>
      <c r="AL73" s="22"/>
      <c r="AM73" s="144"/>
      <c r="AN73" s="144"/>
      <c r="AO73" s="144"/>
      <c r="AP73" s="22"/>
      <c r="AQ73" s="22"/>
      <c r="AR73" s="144"/>
      <c r="AS73" s="22"/>
      <c r="AT73" s="22"/>
      <c r="AU73" s="144"/>
      <c r="AV73" s="22"/>
      <c r="AW73" s="22"/>
      <c r="AX73" s="144"/>
      <c r="AY73" s="22"/>
      <c r="AZ73" s="22"/>
      <c r="BA73" s="144"/>
      <c r="BB73" s="22"/>
      <c r="BC73" s="22"/>
      <c r="BD73" s="144"/>
      <c r="BE73" s="144"/>
      <c r="BF73" s="22"/>
      <c r="BG73" s="144"/>
      <c r="BH73" s="144"/>
      <c r="BI73" s="144"/>
      <c r="BJ73" s="144"/>
      <c r="BK73" s="144"/>
      <c r="BL73" s="22"/>
      <c r="BM73" s="144"/>
      <c r="BN73" s="144"/>
      <c r="BO73" s="22"/>
      <c r="BP73" s="144"/>
      <c r="BQ73" s="22"/>
      <c r="BR73" s="144"/>
      <c r="BS73" s="144"/>
      <c r="BT73" s="22"/>
      <c r="BU73" s="144"/>
      <c r="BV73" s="144"/>
      <c r="BW73" s="22"/>
      <c r="BX73" s="22"/>
      <c r="BY73" s="144"/>
      <c r="BZ73" s="22"/>
      <c r="CA73" s="22"/>
      <c r="CB73" s="144"/>
      <c r="CC73" s="22"/>
      <c r="CD73" s="22"/>
      <c r="CE73" s="144"/>
      <c r="CF73" s="22"/>
      <c r="CG73" s="22"/>
      <c r="CH73" s="144"/>
      <c r="CI73" s="22"/>
      <c r="CJ73" s="22"/>
      <c r="CK73" s="144"/>
      <c r="CL73" s="22"/>
      <c r="CM73" s="22"/>
      <c r="CN73" s="144"/>
      <c r="CO73" s="22"/>
      <c r="CP73" s="22"/>
      <c r="CQ73" s="144"/>
    </row>
    <row r="74" spans="1:95" ht="15.75" customHeight="1" x14ac:dyDescent="0.45">
      <c r="A74" s="66" t="s">
        <v>185</v>
      </c>
      <c r="B74" s="66"/>
      <c r="C74" s="85"/>
      <c r="D74" s="85"/>
      <c r="E74" s="85"/>
      <c r="F74" s="147"/>
      <c r="G74" s="44"/>
      <c r="H74" s="44"/>
      <c r="I74" s="85"/>
      <c r="J74" s="66"/>
      <c r="K74" s="66"/>
      <c r="L74" s="66"/>
      <c r="M74" s="44"/>
      <c r="N74" s="44"/>
      <c r="O74" s="44"/>
      <c r="P74" s="44"/>
      <c r="Q74" s="44"/>
      <c r="R74" s="44">
        <f>SUM(R69-N69)/N69</f>
        <v>217126.627675544</v>
      </c>
      <c r="S74" s="44"/>
      <c r="T74" s="44">
        <f>SUM(T69-P69)/P69</f>
        <v>0.11724011438012553</v>
      </c>
      <c r="U74" s="45"/>
      <c r="V74" s="154"/>
      <c r="W74" s="44">
        <v>0.03</v>
      </c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22"/>
      <c r="AQ74" s="22"/>
      <c r="AR74" s="44"/>
      <c r="AS74" s="22"/>
      <c r="AT74" s="22"/>
      <c r="AU74" s="44"/>
      <c r="AV74" s="22"/>
      <c r="AW74" s="22"/>
      <c r="AX74" s="44"/>
      <c r="AY74" s="22"/>
      <c r="AZ74" s="22"/>
      <c r="BA74" s="44"/>
      <c r="BB74" s="22"/>
      <c r="BC74" s="22"/>
      <c r="BD74" s="44"/>
      <c r="BE74" s="44"/>
      <c r="BF74" s="22"/>
      <c r="BG74" s="44"/>
      <c r="BH74" s="44"/>
      <c r="BI74" s="44"/>
      <c r="BJ74" s="44"/>
      <c r="BK74" s="44"/>
      <c r="BL74" s="22"/>
      <c r="BM74" s="44"/>
      <c r="BN74" s="44"/>
      <c r="BO74" s="22"/>
      <c r="BP74" s="44"/>
      <c r="BQ74" s="22"/>
      <c r="BR74" s="44"/>
      <c r="BS74" s="44"/>
      <c r="BT74" s="22"/>
      <c r="BU74" s="44"/>
      <c r="BV74" s="44"/>
      <c r="BW74" s="22"/>
      <c r="BX74" s="22"/>
      <c r="BY74" s="44"/>
      <c r="BZ74" s="22"/>
      <c r="CA74" s="22"/>
      <c r="CB74" s="44"/>
      <c r="CC74" s="22"/>
      <c r="CD74" s="22"/>
      <c r="CE74" s="44"/>
      <c r="CF74" s="22"/>
      <c r="CG74" s="22"/>
      <c r="CH74" s="44"/>
      <c r="CI74" s="22"/>
      <c r="CJ74" s="22"/>
      <c r="CK74" s="44"/>
      <c r="CL74" s="22"/>
      <c r="CM74" s="22"/>
      <c r="CN74" s="44"/>
      <c r="CO74" s="22"/>
      <c r="CP74" s="22"/>
      <c r="CQ74" s="44"/>
    </row>
    <row r="75" spans="1:95" ht="15.75" customHeight="1" x14ac:dyDescent="0.45">
      <c r="A75" s="22"/>
      <c r="B75" s="22"/>
      <c r="C75" s="12"/>
      <c r="D75" s="12"/>
      <c r="E75" s="12"/>
      <c r="F75" s="155"/>
      <c r="G75" s="144"/>
      <c r="H75" s="144"/>
      <c r="I75" s="12"/>
      <c r="J75" s="22"/>
      <c r="K75" s="22"/>
      <c r="L75" s="22"/>
      <c r="M75" s="145"/>
      <c r="N75" s="144"/>
      <c r="O75" s="144"/>
      <c r="P75" s="74">
        <f>SUM(P69-P73)</f>
        <v>-20004.913262400019</v>
      </c>
      <c r="Q75" s="22"/>
      <c r="R75" s="74">
        <f>SUM(R69-R73)</f>
        <v>3660.0276755440282</v>
      </c>
      <c r="S75" s="22"/>
      <c r="T75" s="74">
        <f>SUM(T69-T73)</f>
        <v>8002.5802290549618</v>
      </c>
      <c r="U75" s="45"/>
      <c r="V75" s="46"/>
      <c r="W75" s="74">
        <f>SUM(W69-W73)</f>
        <v>6722.4458161556686</v>
      </c>
      <c r="X75" s="74"/>
      <c r="Y75" s="74"/>
      <c r="Z75" s="74"/>
      <c r="AA75" s="74"/>
      <c r="AB75" s="74"/>
      <c r="AC75" s="153"/>
      <c r="AD75" s="22"/>
      <c r="AE75" s="22"/>
      <c r="AF75" s="22"/>
      <c r="AG75" s="22"/>
      <c r="AH75" s="22"/>
      <c r="AI75" s="144"/>
      <c r="AJ75" s="144"/>
      <c r="AK75" s="22"/>
      <c r="AL75" s="22"/>
      <c r="AM75" s="144"/>
      <c r="AN75" s="144"/>
      <c r="AO75" s="144"/>
      <c r="AP75" s="22"/>
      <c r="AQ75" s="22"/>
      <c r="AR75" s="144"/>
      <c r="AS75" s="22"/>
      <c r="AT75" s="22"/>
      <c r="AU75" s="144"/>
      <c r="AV75" s="22"/>
      <c r="AW75" s="22"/>
      <c r="AX75" s="144"/>
      <c r="AY75" s="22"/>
      <c r="AZ75" s="22"/>
      <c r="BA75" s="144"/>
      <c r="BB75" s="22"/>
      <c r="BC75" s="22"/>
      <c r="BD75" s="144"/>
      <c r="BE75" s="144"/>
      <c r="BF75" s="22"/>
      <c r="BG75" s="144"/>
      <c r="BH75" s="144"/>
      <c r="BI75" s="144"/>
      <c r="BJ75" s="144"/>
      <c r="BK75" s="144"/>
      <c r="BL75" s="22"/>
      <c r="BM75" s="144"/>
      <c r="BN75" s="144"/>
      <c r="BO75" s="22"/>
      <c r="BP75" s="144"/>
      <c r="BQ75" s="22"/>
      <c r="BR75" s="144"/>
      <c r="BS75" s="144"/>
      <c r="BT75" s="22"/>
      <c r="BU75" s="144"/>
      <c r="BV75" s="144"/>
      <c r="BW75" s="22"/>
      <c r="BX75" s="22"/>
      <c r="BY75" s="144"/>
      <c r="BZ75" s="22"/>
      <c r="CA75" s="22"/>
      <c r="CB75" s="144"/>
      <c r="CC75" s="22"/>
      <c r="CD75" s="22"/>
      <c r="CE75" s="144"/>
      <c r="CF75" s="22"/>
      <c r="CG75" s="22"/>
      <c r="CH75" s="144"/>
      <c r="CI75" s="22"/>
      <c r="CJ75" s="22"/>
      <c r="CK75" s="144"/>
      <c r="CL75" s="22"/>
      <c r="CM75" s="22"/>
      <c r="CN75" s="144"/>
      <c r="CO75" s="22"/>
      <c r="CP75" s="22"/>
      <c r="CQ75" s="144"/>
    </row>
    <row r="76" spans="1:95" ht="15.75" customHeight="1" x14ac:dyDescent="0.45">
      <c r="A76" s="156" t="s">
        <v>186</v>
      </c>
      <c r="B76" s="22"/>
      <c r="C76" s="12"/>
      <c r="D76" s="12"/>
      <c r="E76" s="12"/>
      <c r="F76" s="155"/>
      <c r="G76" s="144"/>
      <c r="H76" s="144"/>
      <c r="I76" s="12"/>
      <c r="J76" s="22"/>
      <c r="K76" s="22"/>
      <c r="L76" s="22"/>
      <c r="M76" s="145"/>
      <c r="N76" s="144"/>
      <c r="O76" s="144"/>
      <c r="P76" s="157"/>
      <c r="Q76" s="22"/>
      <c r="R76" s="22"/>
      <c r="S76" s="22"/>
      <c r="T76" s="22"/>
      <c r="U76" s="45"/>
      <c r="V76" s="158"/>
      <c r="W76" s="45"/>
      <c r="X76" s="45"/>
      <c r="Y76" s="45"/>
      <c r="Z76" s="45"/>
      <c r="AA76" s="45"/>
      <c r="AB76" s="45"/>
      <c r="AC76" s="44"/>
      <c r="AD76" s="45"/>
      <c r="AE76" s="45"/>
      <c r="AF76" s="45"/>
      <c r="AG76" s="45"/>
      <c r="AH76" s="45"/>
      <c r="AI76" s="144"/>
      <c r="AJ76" s="144"/>
      <c r="AK76" s="45"/>
      <c r="AL76" s="45"/>
      <c r="AM76" s="144"/>
      <c r="AN76" s="144"/>
      <c r="AO76" s="144"/>
      <c r="AP76" s="22"/>
      <c r="AQ76" s="22"/>
      <c r="AR76" s="144"/>
      <c r="AS76" s="22"/>
      <c r="AT76" s="22"/>
      <c r="AU76" s="144"/>
      <c r="AV76" s="22"/>
      <c r="AW76" s="22"/>
      <c r="AX76" s="144"/>
      <c r="AY76" s="22"/>
      <c r="AZ76" s="22"/>
      <c r="BA76" s="144"/>
      <c r="BB76" s="22"/>
      <c r="BC76" s="22"/>
      <c r="BD76" s="159">
        <f>COUNTIF(BD13:BD66,"&gt;0")</f>
        <v>25</v>
      </c>
      <c r="BE76" s="144"/>
      <c r="BF76" s="22"/>
      <c r="BG76" s="159">
        <f>COUNTIF(BG13:BG66,"&gt;0")</f>
        <v>32</v>
      </c>
      <c r="BH76" s="144"/>
      <c r="BI76" s="144"/>
      <c r="BJ76" s="159">
        <f>COUNTIF(BJ13:BJ66,"&gt;0")</f>
        <v>27</v>
      </c>
      <c r="BK76" s="144"/>
      <c r="BL76" s="22"/>
      <c r="BM76" s="159">
        <f>COUNTIF(BM13:BM66,"&gt;0")</f>
        <v>36</v>
      </c>
      <c r="BN76" s="144"/>
      <c r="BO76" s="22"/>
      <c r="BP76" s="159">
        <f>COUNTIF(BP13:BP66,"&gt;0")</f>
        <v>35</v>
      </c>
      <c r="BQ76" s="22"/>
      <c r="BR76" s="159">
        <f>COUNTIF(BR13:BR66,"&gt;0")</f>
        <v>41</v>
      </c>
      <c r="BS76" s="144"/>
      <c r="BT76" s="22"/>
      <c r="BU76" s="159">
        <f>COUNTIF(BU13:BU66,"&gt;0")</f>
        <v>40</v>
      </c>
      <c r="BV76" s="144"/>
      <c r="BW76" s="22"/>
      <c r="BX76" s="22"/>
      <c r="BY76" s="159">
        <f>COUNTIF(BY13:BY66,"&gt;0")</f>
        <v>26</v>
      </c>
      <c r="BZ76" s="22"/>
      <c r="CA76" s="22"/>
      <c r="CB76" s="159">
        <f>COUNTIF(CB13:CB66,"&gt;0")</f>
        <v>31</v>
      </c>
      <c r="CC76" s="22"/>
      <c r="CD76" s="22"/>
      <c r="CE76" s="159">
        <f>COUNTIF(CE13:CE66,"&gt;0")</f>
        <v>25</v>
      </c>
      <c r="CF76" s="22"/>
      <c r="CG76" s="22"/>
      <c r="CH76" s="159">
        <f>COUNTIF(CH13:CH66,"&gt;0")</f>
        <v>39</v>
      </c>
      <c r="CI76" s="22"/>
      <c r="CJ76" s="22"/>
      <c r="CK76" s="159">
        <f>COUNTIF(CK13:CK66,"&gt;0")</f>
        <v>37</v>
      </c>
      <c r="CL76" s="22"/>
      <c r="CM76" s="22"/>
      <c r="CN76" s="159">
        <f>COUNTIF(CN13:CN66,"&gt;0")</f>
        <v>38</v>
      </c>
      <c r="CO76" s="22"/>
      <c r="CP76" s="22"/>
      <c r="CQ76" s="159">
        <f>COUNTIF(CQ13:CQ66,"&gt;0")</f>
        <v>39</v>
      </c>
    </row>
    <row r="77" spans="1:95" ht="15.75" customHeight="1" x14ac:dyDescent="0.45">
      <c r="A77" s="156" t="s">
        <v>187</v>
      </c>
      <c r="B77" s="22"/>
      <c r="C77" s="12"/>
      <c r="D77" s="12"/>
      <c r="E77" s="12"/>
      <c r="F77" s="155"/>
      <c r="G77" s="144"/>
      <c r="H77" s="144"/>
      <c r="I77" s="12"/>
      <c r="J77" s="22"/>
      <c r="K77" s="22"/>
      <c r="L77" s="22"/>
      <c r="M77" s="145"/>
      <c r="N77" s="144"/>
      <c r="O77" s="144"/>
      <c r="P77" s="157"/>
      <c r="Q77" s="22"/>
      <c r="R77" s="22"/>
      <c r="S77" s="22"/>
      <c r="T77" s="22"/>
      <c r="U77" s="45"/>
      <c r="V77" s="158"/>
      <c r="W77" s="45"/>
      <c r="X77" s="45"/>
      <c r="Y77" s="45"/>
      <c r="Z77" s="45"/>
      <c r="AA77" s="45"/>
      <c r="AB77" s="45"/>
      <c r="AC77" s="44"/>
      <c r="AD77" s="45"/>
      <c r="AE77" s="45"/>
      <c r="AF77" s="45"/>
      <c r="AG77" s="45"/>
      <c r="AH77" s="45"/>
      <c r="AI77" s="144"/>
      <c r="AJ77" s="144"/>
      <c r="AK77" s="45"/>
      <c r="AL77" s="45"/>
      <c r="AM77" s="144"/>
      <c r="AN77" s="144"/>
      <c r="AO77" s="144"/>
      <c r="AP77" s="22"/>
      <c r="AQ77" s="22"/>
      <c r="AR77" s="144"/>
      <c r="AS77" s="22"/>
      <c r="AT77" s="22"/>
      <c r="AU77" s="144"/>
      <c r="AV77" s="22"/>
      <c r="AW77" s="22"/>
      <c r="AX77" s="144"/>
      <c r="AY77" s="22"/>
      <c r="AZ77" s="22"/>
      <c r="BA77" s="144"/>
      <c r="BB77" s="22"/>
      <c r="BC77" s="22"/>
      <c r="BD77" s="159">
        <f>COUNTIF(BD11:BD66,"&lt;0")</f>
        <v>29</v>
      </c>
      <c r="BE77" s="144"/>
      <c r="BF77" s="22"/>
      <c r="BG77" s="159">
        <f>COUNTIF(BG11:BG66,"&lt;0")</f>
        <v>22</v>
      </c>
      <c r="BH77" s="144"/>
      <c r="BI77" s="144"/>
      <c r="BJ77" s="159">
        <f>COUNTIF(BJ11:BJ66,"&lt;0")</f>
        <v>27</v>
      </c>
      <c r="BK77" s="144"/>
      <c r="BL77" s="22"/>
      <c r="BM77" s="159">
        <f>COUNTIF(BM11:BM66,"&lt;0")</f>
        <v>18</v>
      </c>
      <c r="BN77" s="144"/>
      <c r="BO77" s="22"/>
      <c r="BP77" s="159">
        <f>COUNTIF(BP11:BP66,"&lt;0")</f>
        <v>19</v>
      </c>
      <c r="BQ77" s="22"/>
      <c r="BR77" s="159">
        <f>COUNTIF(BR11:BR66,"&lt;0")</f>
        <v>13</v>
      </c>
      <c r="BS77" s="144"/>
      <c r="BT77" s="22"/>
      <c r="BU77" s="159">
        <f>COUNTIF(BU11:BU66,"&lt;0")</f>
        <v>14</v>
      </c>
      <c r="BV77" s="144"/>
      <c r="BW77" s="22"/>
      <c r="BX77" s="22"/>
      <c r="BY77" s="159">
        <f>COUNTIF(BY11:BY66,"&lt;0")</f>
        <v>28</v>
      </c>
      <c r="BZ77" s="22"/>
      <c r="CA77" s="22"/>
      <c r="CB77" s="159">
        <f>COUNTIF(CB11:CB66,"&lt;0")</f>
        <v>23</v>
      </c>
      <c r="CC77" s="22"/>
      <c r="CD77" s="22"/>
      <c r="CE77" s="159">
        <f>COUNTIF(CE11:CE66,"&lt;0")</f>
        <v>29</v>
      </c>
      <c r="CF77" s="22"/>
      <c r="CG77" s="22"/>
      <c r="CH77" s="159">
        <f>COUNTIF(CH11:CH66,"&lt;0")</f>
        <v>15</v>
      </c>
      <c r="CI77" s="22"/>
      <c r="CJ77" s="22"/>
      <c r="CK77" s="159">
        <f>COUNTIF(CK11:CK66,"&lt;0")</f>
        <v>17</v>
      </c>
      <c r="CL77" s="22"/>
      <c r="CM77" s="22"/>
      <c r="CN77" s="159">
        <f>COUNTIF(CN11:CN66,"&lt;0")</f>
        <v>16</v>
      </c>
      <c r="CO77" s="22"/>
      <c r="CP77" s="22"/>
      <c r="CQ77" s="159">
        <f>COUNTIF(CQ11:CQ66,"&lt;0")</f>
        <v>15</v>
      </c>
    </row>
    <row r="78" spans="1:95" ht="15.75" customHeight="1" x14ac:dyDescent="0.45">
      <c r="A78" s="156" t="s">
        <v>188</v>
      </c>
      <c r="B78" s="22"/>
      <c r="C78" s="12"/>
      <c r="D78" s="12"/>
      <c r="E78" s="12"/>
      <c r="F78" s="155"/>
      <c r="G78" s="144"/>
      <c r="H78" s="144"/>
      <c r="I78" s="12"/>
      <c r="J78" s="22"/>
      <c r="K78" s="22"/>
      <c r="L78" s="22"/>
      <c r="M78" s="145"/>
      <c r="N78" s="144"/>
      <c r="O78" s="144"/>
      <c r="P78" s="157"/>
      <c r="Q78" s="22"/>
      <c r="R78" s="22"/>
      <c r="S78" s="22"/>
      <c r="T78" s="22"/>
      <c r="U78" s="45"/>
      <c r="V78" s="158"/>
      <c r="W78" s="45"/>
      <c r="X78" s="45"/>
      <c r="Y78" s="45"/>
      <c r="Z78" s="45"/>
      <c r="AA78" s="45"/>
      <c r="AB78" s="45"/>
      <c r="AC78" s="44"/>
      <c r="AD78" s="45"/>
      <c r="AE78" s="45"/>
      <c r="AF78" s="45"/>
      <c r="AG78" s="45"/>
      <c r="AH78" s="45"/>
      <c r="AI78" s="144"/>
      <c r="AJ78" s="144"/>
      <c r="AK78" s="45"/>
      <c r="AL78" s="45"/>
      <c r="AM78" s="144"/>
      <c r="AN78" s="144"/>
      <c r="AO78" s="144"/>
      <c r="AP78" s="22"/>
      <c r="AQ78" s="22"/>
      <c r="AR78" s="144"/>
      <c r="AS78" s="22"/>
      <c r="AT78" s="22"/>
      <c r="AU78" s="144"/>
      <c r="AV78" s="22"/>
      <c r="AW78" s="22"/>
      <c r="AX78" s="144"/>
      <c r="AY78" s="22"/>
      <c r="AZ78" s="22"/>
      <c r="BA78" s="144"/>
      <c r="BB78" s="22"/>
      <c r="BC78" s="22"/>
      <c r="BD78" s="159">
        <f>MEDIAN(BD13:BD66)</f>
        <v>-91.52493319599273</v>
      </c>
      <c r="BE78" s="144"/>
      <c r="BF78" s="22"/>
      <c r="BG78" s="159">
        <f>MEDIAN(BG13:BG66)</f>
        <v>78.554311138357548</v>
      </c>
      <c r="BH78" s="144"/>
      <c r="BI78" s="144"/>
      <c r="BJ78" s="159">
        <f>MEDIAN(BJ13:BJ66)</f>
        <v>-9.7398827211063121</v>
      </c>
      <c r="BK78" s="144"/>
      <c r="BL78" s="22"/>
      <c r="BM78" s="159">
        <f>MEDIAN(BM13:BM66)</f>
        <v>248.43543151903248</v>
      </c>
      <c r="BN78" s="144"/>
      <c r="BO78" s="22"/>
      <c r="BP78" s="159">
        <f>MEDIAN(BP13:BP66)</f>
        <v>155.26581890581804</v>
      </c>
      <c r="BQ78" s="22"/>
      <c r="BR78" s="159">
        <f>MEDIAN(BR13:BR66)</f>
        <v>721.85317245275792</v>
      </c>
      <c r="BS78" s="144"/>
      <c r="BT78" s="22"/>
      <c r="BU78" s="159">
        <f>MEDIAN(BU13:BU66)</f>
        <v>780.05700946656521</v>
      </c>
      <c r="BV78" s="144"/>
      <c r="BW78" s="22"/>
      <c r="BX78" s="22"/>
      <c r="BY78" s="159">
        <f>MEDIAN(BY13:BY66)</f>
        <v>-68.18993106310279</v>
      </c>
      <c r="BZ78" s="22"/>
      <c r="CA78" s="22"/>
      <c r="CB78" s="159">
        <f>MEDIAN(CB13:CB66)</f>
        <v>60.603111984871816</v>
      </c>
      <c r="CC78" s="22"/>
      <c r="CD78" s="22"/>
      <c r="CE78" s="159">
        <f>MEDIAN(CE13:CE66)</f>
        <v>-96.10238553821398</v>
      </c>
      <c r="CF78" s="22"/>
      <c r="CG78" s="22"/>
      <c r="CH78" s="159">
        <f>MEDIAN(CH13:CH66)</f>
        <v>217.95443034725338</v>
      </c>
      <c r="CI78" s="22"/>
      <c r="CJ78" s="22"/>
      <c r="CK78" s="159">
        <f>MEDIAN(CK13:CK66)</f>
        <v>224.4592403828027</v>
      </c>
      <c r="CL78" s="22"/>
      <c r="CM78" s="22"/>
      <c r="CN78" s="159">
        <f>MEDIAN(CN13:CN66)</f>
        <v>665.34772328147108</v>
      </c>
      <c r="CO78" s="22"/>
      <c r="CP78" s="22"/>
      <c r="CQ78" s="159">
        <f>MEDIAN(CQ13:CQ66)</f>
        <v>657.24161880499423</v>
      </c>
    </row>
    <row r="79" spans="1:95" ht="15.75" customHeight="1" x14ac:dyDescent="0.5">
      <c r="A79" s="160" t="s">
        <v>189</v>
      </c>
      <c r="B79" s="161" t="s">
        <v>190</v>
      </c>
      <c r="C79" s="162"/>
      <c r="D79" s="162"/>
      <c r="E79" s="162"/>
      <c r="F79" s="145">
        <f>SUM(F13,F15,F21,F30,F44,F51,F52,F55,F61,F66,F60)</f>
        <v>54837.666666666657</v>
      </c>
      <c r="G79" s="144"/>
      <c r="H79" s="144"/>
      <c r="I79" s="162"/>
      <c r="J79" s="160"/>
      <c r="K79" s="160"/>
      <c r="L79" s="160"/>
      <c r="M79" s="145">
        <f>SUM(M13,M15,M21,M30,M44,M51,M52,M55,M61,M66,M60)</f>
        <v>16112.333333333332</v>
      </c>
      <c r="N79" s="144"/>
      <c r="O79" s="144"/>
      <c r="P79" s="145">
        <f>SUM(P13,P15,P21,P30,P44,P51,P52,P55,P61,P66,P60)</f>
        <v>43276.949728800006</v>
      </c>
      <c r="Q79" s="22"/>
      <c r="R79" s="145">
        <f>SUM(R13,R15,R21,R30,R44,R51,R52,R55,R61,R66,R60)</f>
        <v>46089.951461172008</v>
      </c>
      <c r="S79" s="22"/>
      <c r="T79" s="145">
        <f>SUM(T13,T15,T21,T30,T44,T51,T52,T55,T61,T66,T60)</f>
        <v>47011.750490395454</v>
      </c>
      <c r="U79" s="45"/>
      <c r="V79" s="158"/>
      <c r="W79" s="145">
        <f>SUM(W13,W15,W21,W30,W44,W51,W52,W55,W61,W66,W60)</f>
        <v>48469.114755597708</v>
      </c>
      <c r="X79" s="145"/>
      <c r="Y79" s="70">
        <f>SUM(W79-T79)/T79</f>
        <v>3.0999999999999882E-2</v>
      </c>
      <c r="Z79" s="145"/>
      <c r="AA79" s="145">
        <f>SUM(AA13,AA15,AA21,AA30,AA44,AA51,AA52,AA55,AA61,AA66,AA60)</f>
        <v>48252.545241875727</v>
      </c>
      <c r="AB79" s="68">
        <f>SUM(AA79-T79)</f>
        <v>1240.7947514802727</v>
      </c>
      <c r="AC79" s="73">
        <f>SUM(AA79-T79)/T79</f>
        <v>2.6393289731548461E-2</v>
      </c>
      <c r="AD79" s="45"/>
      <c r="AE79" s="45"/>
      <c r="AF79" s="45"/>
      <c r="AG79" s="45"/>
      <c r="AH79" s="45"/>
      <c r="AI79" s="145">
        <f>SUM(AI13,AI15,AI21,AI30,AI44,AI51,AI52,AI55,AI61,AI66,AI60)</f>
        <v>30355.834729518785</v>
      </c>
      <c r="AJ79" s="145"/>
      <c r="AK79" s="45"/>
      <c r="AL79" s="45"/>
      <c r="AM79" s="145"/>
      <c r="AN79" s="145">
        <f>SUM(AN13,AN15,AN21,AN30,AN44,AN51,AN52,AN55,AN61,AN66,AN60)</f>
        <v>32226.160000000003</v>
      </c>
      <c r="AO79" s="145"/>
      <c r="AP79" s="22"/>
      <c r="AQ79" s="145">
        <f>SUM(AQ13,AQ15,AQ21,AQ30,AQ44,AQ51,AQ52,AQ55,AQ61,AQ66,AQ60)</f>
        <v>32837.090873030356</v>
      </c>
      <c r="AR79" s="145"/>
      <c r="AS79" s="22"/>
      <c r="AT79" s="145">
        <f>SUM(AT13,AT15,AT21,AT30,AT44,AT51,AT52,AT55,AT61,AT66,AT60)</f>
        <v>34235.987801376337</v>
      </c>
      <c r="AU79" s="145"/>
      <c r="AV79" s="22"/>
      <c r="AW79" s="145">
        <f>SUM(AW13,AW15,AW21,AW30,AW44,AW51,AW52,AW55,AW61,AW66,AW60)</f>
        <v>35611.967210994131</v>
      </c>
      <c r="AX79" s="145"/>
      <c r="AY79" s="22"/>
      <c r="AZ79" s="145">
        <f>SUM(AZ13,AZ15,AZ21,AZ30,AZ44,AZ51,AZ52,AZ55,AZ61,AZ66,AZ60)</f>
        <v>34235.987801376337</v>
      </c>
      <c r="BA79" s="145"/>
      <c r="BB79" s="22"/>
      <c r="BC79" s="145">
        <f>SUM(BC13,BC15,BC21,BC30,BC44,BC51,BC52,BC55,BC61,BC66,BC60)</f>
        <v>35933.842976945823</v>
      </c>
      <c r="BD79" s="75">
        <f>SUM(BC79-$W79)</f>
        <v>-12535.271778651884</v>
      </c>
      <c r="BE79" s="145"/>
      <c r="BF79" s="145">
        <v>36463.82677673069</v>
      </c>
      <c r="BG79" s="75">
        <v>-10547.923713664764</v>
      </c>
      <c r="BH79" s="145"/>
      <c r="BI79" s="145">
        <v>35276.692027786929</v>
      </c>
      <c r="BJ79" s="75">
        <v>-11735.058462608526</v>
      </c>
      <c r="BK79" s="145"/>
      <c r="BL79" s="145">
        <v>36244.20525915191</v>
      </c>
      <c r="BM79" s="75">
        <v>-10767.545231243545</v>
      </c>
      <c r="BN79" s="145"/>
      <c r="BO79" s="145">
        <v>36498.539557899945</v>
      </c>
      <c r="BP79" s="75">
        <v>-10513.210932495509</v>
      </c>
      <c r="BQ79" s="145">
        <v>38708.276654298999</v>
      </c>
      <c r="BR79" s="75">
        <v>-8303.4738360964548</v>
      </c>
      <c r="BS79" s="75"/>
      <c r="BT79" s="145">
        <v>38316.96896560942</v>
      </c>
      <c r="BU79" s="75">
        <v>-8694.7815247860344</v>
      </c>
      <c r="BV79" s="75"/>
      <c r="BW79" s="22"/>
      <c r="BX79" s="145">
        <f>SUM(BX13,BX15,BX21,BX30,BX44,BX51,BX52,BX55,BX61,BX66,BX60)</f>
        <v>39357.775229555031</v>
      </c>
      <c r="BY79" s="75">
        <f>SUM(BX79-$W79)</f>
        <v>-9111.3395260426769</v>
      </c>
      <c r="BZ79" s="22"/>
      <c r="CA79" s="145">
        <v>40150.742127904385</v>
      </c>
      <c r="CB79" s="75">
        <v>-6861.0083624910694</v>
      </c>
      <c r="CC79" s="22"/>
      <c r="CD79" s="145">
        <v>39578.093270822908</v>
      </c>
      <c r="CE79" s="75">
        <v>-7433.6572195725457</v>
      </c>
      <c r="CF79" s="22"/>
      <c r="CG79" s="145">
        <v>40545.606502187889</v>
      </c>
      <c r="CH79" s="75">
        <v>-6466.1439882075647</v>
      </c>
      <c r="CI79" s="22"/>
      <c r="CJ79" s="145">
        <v>39570.969017211355</v>
      </c>
      <c r="CK79" s="75">
        <v>-7440.781473184099</v>
      </c>
      <c r="CL79" s="22"/>
      <c r="CM79" s="145">
        <v>44839.574411880079</v>
      </c>
      <c r="CN79" s="75">
        <v>-2172.1760785153747</v>
      </c>
      <c r="CO79" s="22"/>
      <c r="CP79" s="145">
        <v>44475.389045273972</v>
      </c>
      <c r="CQ79" s="75">
        <v>-2536.3614451214817</v>
      </c>
    </row>
    <row r="80" spans="1:95" ht="15.75" customHeight="1" x14ac:dyDescent="0.45">
      <c r="A80" s="22"/>
      <c r="B80" s="22"/>
      <c r="C80" s="12"/>
      <c r="D80" s="12"/>
      <c r="E80" s="12"/>
      <c r="F80" s="155"/>
      <c r="G80" s="144"/>
      <c r="H80" s="144"/>
      <c r="I80" s="12"/>
      <c r="J80" s="22"/>
      <c r="K80" s="22"/>
      <c r="L80" s="22"/>
      <c r="M80" s="145"/>
      <c r="N80" s="144"/>
      <c r="O80" s="144"/>
      <c r="P80" s="157"/>
      <c r="Q80" s="22"/>
      <c r="R80" s="22"/>
      <c r="S80" s="22"/>
      <c r="T80" s="22"/>
      <c r="U80" s="45"/>
      <c r="V80" s="158"/>
      <c r="W80" s="45"/>
      <c r="X80" s="45"/>
      <c r="Y80" s="45"/>
      <c r="Z80" s="45"/>
      <c r="AA80" s="45"/>
      <c r="AB80" s="45"/>
      <c r="AC80" s="44"/>
      <c r="AD80" s="45"/>
      <c r="AE80" s="45"/>
      <c r="AF80" s="45"/>
      <c r="AG80" s="45"/>
      <c r="AH80" s="45"/>
      <c r="AI80" s="144"/>
      <c r="AJ80" s="144"/>
      <c r="AK80" s="45"/>
      <c r="AL80" s="45"/>
      <c r="AM80" s="144"/>
      <c r="AN80" s="144"/>
      <c r="AO80" s="144"/>
      <c r="AP80" s="22"/>
      <c r="AQ80" s="22"/>
      <c r="AR80" s="144"/>
      <c r="AS80" s="22"/>
      <c r="AT80" s="22"/>
      <c r="AU80" s="144"/>
      <c r="AV80" s="22"/>
      <c r="AW80" s="22"/>
      <c r="AX80" s="144"/>
      <c r="AY80" s="22"/>
      <c r="AZ80" s="22"/>
      <c r="BA80" s="144"/>
      <c r="BB80" s="22"/>
      <c r="BC80" s="22"/>
      <c r="BD80" s="144"/>
      <c r="BE80" s="144"/>
      <c r="BF80" s="22"/>
      <c r="BG80" s="144"/>
      <c r="BH80" s="144"/>
      <c r="BI80" s="144"/>
      <c r="BJ80" s="144"/>
      <c r="BK80" s="144"/>
      <c r="BL80" s="22"/>
      <c r="BM80" s="144"/>
      <c r="BN80" s="144"/>
      <c r="BO80" s="22"/>
      <c r="BP80" s="144"/>
      <c r="BQ80" s="22"/>
      <c r="BR80" s="144"/>
      <c r="BS80" s="144"/>
      <c r="BT80" s="22"/>
      <c r="BU80" s="144"/>
      <c r="BV80" s="144"/>
      <c r="BW80" s="22"/>
      <c r="BX80" s="22"/>
      <c r="BY80" s="144"/>
      <c r="BZ80" s="22"/>
      <c r="CA80" s="22"/>
      <c r="CB80" s="144"/>
      <c r="CC80" s="22"/>
      <c r="CD80" s="22"/>
      <c r="CE80" s="144"/>
      <c r="CF80" s="22"/>
      <c r="CG80" s="22"/>
      <c r="CH80" s="144"/>
      <c r="CI80" s="22"/>
      <c r="CJ80" s="22"/>
      <c r="CK80" s="144"/>
      <c r="CL80" s="22"/>
      <c r="CM80" s="22"/>
      <c r="CN80" s="144"/>
      <c r="CO80" s="22"/>
      <c r="CP80" s="22"/>
      <c r="CQ80" s="144"/>
    </row>
    <row r="81" spans="1:95" ht="15.75" customHeight="1" x14ac:dyDescent="0.45">
      <c r="A81" s="22"/>
      <c r="B81" s="22"/>
      <c r="C81" s="12"/>
      <c r="D81" s="12"/>
      <c r="E81" s="12"/>
      <c r="F81" s="155"/>
      <c r="G81" s="144"/>
      <c r="H81" s="144"/>
      <c r="I81" s="12"/>
      <c r="J81" s="22"/>
      <c r="K81" s="22"/>
      <c r="L81" s="22"/>
      <c r="M81" s="145"/>
      <c r="N81" s="144"/>
      <c r="O81" s="144"/>
      <c r="P81" s="157"/>
      <c r="Q81" s="22"/>
      <c r="R81" s="22"/>
      <c r="S81" s="22"/>
      <c r="T81" s="22"/>
      <c r="U81" s="45"/>
      <c r="V81" s="158"/>
      <c r="W81" s="45"/>
      <c r="X81" s="45"/>
      <c r="Y81" s="45"/>
      <c r="Z81" s="45"/>
      <c r="AA81" s="45"/>
      <c r="AB81" s="45"/>
      <c r="AC81" s="44"/>
      <c r="AD81" s="45"/>
      <c r="AE81" s="45"/>
      <c r="AF81" s="45"/>
      <c r="AG81" s="45"/>
      <c r="AH81" s="45"/>
      <c r="AI81" s="144"/>
      <c r="AJ81" s="144"/>
      <c r="AK81" s="45"/>
      <c r="AL81" s="45"/>
      <c r="AM81" s="144"/>
      <c r="AN81" s="144"/>
      <c r="AO81" s="144"/>
      <c r="AP81" s="22"/>
      <c r="AQ81" s="22"/>
      <c r="AR81" s="144"/>
      <c r="AS81" s="22"/>
      <c r="AT81" s="22"/>
      <c r="AU81" s="144"/>
      <c r="AV81" s="22"/>
      <c r="AW81" s="22"/>
      <c r="AX81" s="144"/>
      <c r="AY81" s="22"/>
      <c r="AZ81" s="22"/>
      <c r="BA81" s="144"/>
      <c r="BB81" s="22"/>
      <c r="BC81" s="22"/>
      <c r="BD81" s="144"/>
      <c r="BE81" s="144"/>
      <c r="BF81" s="22"/>
      <c r="BG81" s="144"/>
      <c r="BH81" s="144"/>
      <c r="BI81" s="144"/>
      <c r="BJ81" s="144"/>
      <c r="BK81" s="144"/>
      <c r="BL81" s="22"/>
      <c r="BM81" s="144"/>
      <c r="BN81" s="144"/>
      <c r="BO81" s="22"/>
      <c r="BP81" s="144"/>
      <c r="BQ81" s="22"/>
      <c r="BR81" s="144"/>
      <c r="BS81" s="144"/>
      <c r="BT81" s="22"/>
      <c r="BU81" s="144"/>
      <c r="BV81" s="144"/>
      <c r="BW81" s="22"/>
      <c r="BX81" s="22"/>
      <c r="BY81" s="144"/>
      <c r="BZ81" s="22"/>
      <c r="CA81" s="22"/>
      <c r="CB81" s="144"/>
      <c r="CC81" s="22"/>
      <c r="CD81" s="22"/>
      <c r="CE81" s="144"/>
      <c r="CF81" s="22"/>
      <c r="CG81" s="22"/>
      <c r="CH81" s="144"/>
      <c r="CI81" s="22"/>
      <c r="CJ81" s="22"/>
      <c r="CK81" s="144"/>
      <c r="CL81" s="22"/>
      <c r="CM81" s="22"/>
      <c r="CN81" s="144"/>
      <c r="CO81" s="22"/>
      <c r="CP81" s="22"/>
      <c r="CQ81" s="144"/>
    </row>
    <row r="82" spans="1:95" ht="15.75" customHeight="1" x14ac:dyDescent="0.45">
      <c r="A82" s="22"/>
      <c r="B82" s="22"/>
      <c r="C82" s="155"/>
      <c r="D82" s="12"/>
      <c r="E82" s="12"/>
      <c r="F82" s="155"/>
      <c r="G82" s="144"/>
      <c r="H82" s="144"/>
      <c r="I82" s="12"/>
      <c r="J82" s="22"/>
      <c r="K82" s="22"/>
      <c r="L82" s="22"/>
      <c r="M82" s="145"/>
      <c r="N82" s="144"/>
      <c r="O82" s="144"/>
      <c r="P82" s="157"/>
      <c r="Q82" s="22"/>
      <c r="R82" s="22"/>
      <c r="S82" s="22"/>
      <c r="T82" s="22"/>
      <c r="U82" s="45"/>
      <c r="V82" s="158"/>
      <c r="W82" s="45"/>
      <c r="X82" s="45"/>
      <c r="Y82" s="45"/>
      <c r="Z82" s="45"/>
      <c r="AA82" s="45"/>
      <c r="AB82" s="45"/>
      <c r="AC82" s="44"/>
      <c r="AD82" s="45"/>
      <c r="AE82" s="45"/>
      <c r="AF82" s="45"/>
      <c r="AG82" s="45"/>
      <c r="AH82" s="45"/>
      <c r="AI82" s="144"/>
      <c r="AJ82" s="144"/>
      <c r="AK82" s="45"/>
      <c r="AL82" s="45"/>
      <c r="AM82" s="144"/>
      <c r="AN82" s="144"/>
      <c r="AO82" s="144"/>
      <c r="AP82" s="22"/>
      <c r="AQ82" s="22"/>
      <c r="AR82" s="144"/>
      <c r="AS82" s="22"/>
      <c r="AT82" s="22"/>
      <c r="AU82" s="144"/>
      <c r="AV82" s="22"/>
      <c r="AW82" s="22"/>
      <c r="AX82" s="144"/>
      <c r="AY82" s="22"/>
      <c r="AZ82" s="22"/>
      <c r="BA82" s="144"/>
      <c r="BB82" s="22"/>
      <c r="BC82" s="22"/>
      <c r="BD82" s="144"/>
      <c r="BE82" s="144"/>
      <c r="BF82" s="22"/>
      <c r="BG82" s="144"/>
      <c r="BH82" s="144"/>
      <c r="BI82" s="144"/>
      <c r="BJ82" s="144"/>
      <c r="BK82" s="144"/>
      <c r="BL82" s="22"/>
      <c r="BM82" s="144"/>
      <c r="BN82" s="144"/>
      <c r="BO82" s="22"/>
      <c r="BP82" s="144"/>
      <c r="BQ82" s="22"/>
      <c r="BR82" s="144"/>
      <c r="BS82" s="144"/>
      <c r="BT82" s="22"/>
      <c r="BU82" s="144"/>
      <c r="BV82" s="144"/>
      <c r="BW82" s="22"/>
      <c r="BX82" s="22"/>
      <c r="BY82" s="144"/>
      <c r="BZ82" s="22"/>
      <c r="CA82" s="22"/>
      <c r="CB82" s="144"/>
      <c r="CC82" s="22"/>
      <c r="CD82" s="22"/>
      <c r="CE82" s="144"/>
      <c r="CF82" s="22"/>
      <c r="CG82" s="22"/>
      <c r="CH82" s="144"/>
      <c r="CI82" s="22"/>
      <c r="CJ82" s="22"/>
      <c r="CK82" s="144"/>
      <c r="CL82" s="22"/>
      <c r="CM82" s="22"/>
      <c r="CN82" s="144"/>
      <c r="CO82" s="22"/>
      <c r="CP82" s="22"/>
      <c r="CQ82" s="144"/>
    </row>
    <row r="83" spans="1:95" ht="15.75" customHeight="1" x14ac:dyDescent="0.45">
      <c r="A83" s="84" t="s">
        <v>75</v>
      </c>
      <c r="B83" s="22"/>
      <c r="C83" s="155">
        <f>COUNTIF($C$13:$C$66,"*MODERATE*")</f>
        <v>2</v>
      </c>
      <c r="D83" s="12"/>
      <c r="E83" s="12"/>
      <c r="F83" s="155"/>
      <c r="G83" s="144"/>
      <c r="H83" s="144"/>
      <c r="I83" s="12"/>
      <c r="J83" s="22"/>
      <c r="K83" s="22"/>
      <c r="L83" s="22"/>
      <c r="M83" s="145"/>
      <c r="N83" s="144"/>
      <c r="O83" s="144"/>
      <c r="P83" s="152"/>
      <c r="Q83" s="22"/>
      <c r="R83" s="74"/>
      <c r="S83" s="22"/>
      <c r="T83" s="74"/>
      <c r="U83" s="45"/>
      <c r="V83" s="158"/>
      <c r="W83" s="45"/>
      <c r="X83" s="45"/>
      <c r="Y83" s="45"/>
      <c r="Z83" s="45"/>
      <c r="AA83" s="45"/>
      <c r="AB83" s="45"/>
      <c r="AC83" s="44"/>
      <c r="AD83" s="45"/>
      <c r="AE83" s="45"/>
      <c r="AF83" s="45"/>
      <c r="AG83" s="45"/>
      <c r="AH83" s="45"/>
      <c r="AI83" s="144"/>
      <c r="AJ83" s="144"/>
      <c r="AK83" s="45"/>
      <c r="AL83" s="45"/>
      <c r="AM83" s="144"/>
      <c r="AN83" s="144"/>
      <c r="AO83" s="144"/>
      <c r="AP83" s="22"/>
      <c r="AQ83" s="22"/>
      <c r="AR83" s="144"/>
      <c r="AS83" s="22"/>
      <c r="AT83" s="22"/>
      <c r="AU83" s="144"/>
      <c r="AV83" s="22"/>
      <c r="AW83" s="22"/>
      <c r="AX83" s="144"/>
      <c r="AY83" s="22"/>
      <c r="AZ83" s="22"/>
      <c r="BA83" s="144"/>
      <c r="BB83" s="22"/>
      <c r="BC83" s="22"/>
      <c r="BD83" s="144"/>
      <c r="BE83" s="144"/>
      <c r="BF83" s="22"/>
      <c r="BG83" s="144"/>
      <c r="BH83" s="144"/>
      <c r="BI83" s="144"/>
      <c r="BJ83" s="144"/>
      <c r="BK83" s="144"/>
      <c r="BL83" s="22"/>
      <c r="BM83" s="144"/>
      <c r="BN83" s="144"/>
      <c r="BO83" s="22"/>
      <c r="BP83" s="144"/>
      <c r="BQ83" s="22"/>
      <c r="BR83" s="144"/>
      <c r="BS83" s="144"/>
      <c r="BT83" s="22"/>
      <c r="BU83" s="144"/>
      <c r="BV83" s="144"/>
      <c r="BW83" s="22"/>
      <c r="BX83" s="22"/>
      <c r="BY83" s="144"/>
      <c r="BZ83" s="22"/>
      <c r="CA83" s="22"/>
      <c r="CB83" s="144"/>
      <c r="CC83" s="22"/>
      <c r="CD83" s="22"/>
      <c r="CE83" s="144"/>
      <c r="CF83" s="22"/>
      <c r="CG83" s="22"/>
      <c r="CH83" s="144"/>
      <c r="CI83" s="22"/>
      <c r="CJ83" s="22"/>
      <c r="CK83" s="144"/>
      <c r="CL83" s="22"/>
      <c r="CM83" s="22"/>
      <c r="CN83" s="144"/>
      <c r="CO83" s="22"/>
      <c r="CP83" s="22"/>
      <c r="CQ83" s="144"/>
    </row>
    <row r="84" spans="1:95" ht="15.75" customHeight="1" x14ac:dyDescent="0.45">
      <c r="A84" s="84" t="s">
        <v>78</v>
      </c>
      <c r="B84" s="22"/>
      <c r="C84" s="155">
        <f>COUNTIF($C$13:$C$66,"*SMALL*")</f>
        <v>2</v>
      </c>
      <c r="D84" s="12"/>
      <c r="E84" s="12"/>
      <c r="F84" s="155"/>
      <c r="G84" s="144"/>
      <c r="H84" s="144"/>
      <c r="I84" s="12"/>
      <c r="J84" s="22"/>
      <c r="K84" s="22"/>
      <c r="L84" s="22"/>
      <c r="M84" s="145"/>
      <c r="N84" s="144"/>
      <c r="O84" s="144"/>
      <c r="P84" s="152"/>
      <c r="Q84" s="22"/>
      <c r="R84" s="74"/>
      <c r="S84" s="22"/>
      <c r="T84" s="74"/>
      <c r="U84" s="45"/>
      <c r="V84" s="158"/>
      <c r="W84" s="45"/>
      <c r="X84" s="45"/>
      <c r="Y84" s="45"/>
      <c r="Z84" s="45"/>
      <c r="AA84" s="45"/>
      <c r="AB84" s="45"/>
      <c r="AC84" s="44"/>
      <c r="AD84" s="45"/>
      <c r="AE84" s="45"/>
      <c r="AF84" s="45"/>
      <c r="AG84" s="45"/>
      <c r="AH84" s="45"/>
      <c r="AI84" s="144"/>
      <c r="AJ84" s="144"/>
      <c r="AK84" s="45"/>
      <c r="AL84" s="45"/>
      <c r="AM84" s="144"/>
      <c r="AN84" s="144"/>
      <c r="AO84" s="144"/>
      <c r="AP84" s="22"/>
      <c r="AQ84" s="22"/>
      <c r="AR84" s="144"/>
      <c r="AS84" s="22"/>
      <c r="AT84" s="22"/>
      <c r="AU84" s="144"/>
      <c r="AV84" s="22"/>
      <c r="AW84" s="22"/>
      <c r="AX84" s="144"/>
      <c r="AY84" s="22"/>
      <c r="AZ84" s="22"/>
      <c r="BA84" s="144"/>
      <c r="BB84" s="22"/>
      <c r="BC84" s="22"/>
      <c r="BD84" s="144"/>
      <c r="BE84" s="144"/>
      <c r="BF84" s="22"/>
      <c r="BG84" s="144"/>
      <c r="BH84" s="144"/>
      <c r="BI84" s="144"/>
      <c r="BJ84" s="144"/>
      <c r="BK84" s="144"/>
      <c r="BL84" s="22"/>
      <c r="BM84" s="144"/>
      <c r="BN84" s="144"/>
      <c r="BO84" s="22"/>
      <c r="BP84" s="144"/>
      <c r="BQ84" s="22"/>
      <c r="BR84" s="144"/>
      <c r="BS84" s="144"/>
      <c r="BT84" s="22"/>
      <c r="BU84" s="144"/>
      <c r="BV84" s="144"/>
      <c r="BW84" s="22"/>
      <c r="BX84" s="22"/>
      <c r="BY84" s="144"/>
      <c r="BZ84" s="22"/>
      <c r="CA84" s="22"/>
      <c r="CB84" s="144"/>
      <c r="CC84" s="22"/>
      <c r="CD84" s="22"/>
      <c r="CE84" s="144"/>
      <c r="CF84" s="22"/>
      <c r="CG84" s="22"/>
      <c r="CH84" s="144"/>
      <c r="CI84" s="22"/>
      <c r="CJ84" s="22"/>
      <c r="CK84" s="144"/>
      <c r="CL84" s="22"/>
      <c r="CM84" s="22"/>
      <c r="CN84" s="144"/>
      <c r="CO84" s="22"/>
      <c r="CP84" s="22"/>
      <c r="CQ84" s="144"/>
    </row>
    <row r="85" spans="1:95" ht="15.75" customHeight="1" x14ac:dyDescent="0.45">
      <c r="A85" s="61" t="s">
        <v>89</v>
      </c>
      <c r="B85" s="22"/>
      <c r="C85" s="155">
        <f>COUNTIF($C$13:$C$66,"*ILL*")</f>
        <v>6</v>
      </c>
      <c r="D85" s="12"/>
      <c r="E85" s="12"/>
      <c r="F85" s="155"/>
      <c r="G85" s="144"/>
      <c r="H85" s="144"/>
      <c r="I85" s="12"/>
      <c r="J85" s="22"/>
      <c r="K85" s="22"/>
      <c r="L85" s="22"/>
      <c r="M85" s="145"/>
      <c r="N85" s="144"/>
      <c r="O85" s="144"/>
      <c r="P85" s="152"/>
      <c r="Q85" s="22"/>
      <c r="R85" s="74"/>
      <c r="S85" s="22"/>
      <c r="T85" s="74"/>
      <c r="U85" s="45"/>
      <c r="V85" s="158"/>
      <c r="W85" s="45"/>
      <c r="X85" s="45"/>
      <c r="Y85" s="45"/>
      <c r="Z85" s="45"/>
      <c r="AA85" s="45"/>
      <c r="AB85" s="45"/>
      <c r="AC85" s="44"/>
      <c r="AD85" s="45"/>
      <c r="AE85" s="45"/>
      <c r="AF85" s="45"/>
      <c r="AG85" s="45"/>
      <c r="AH85" s="45"/>
      <c r="AI85" s="144"/>
      <c r="AJ85" s="144"/>
      <c r="AK85" s="45"/>
      <c r="AL85" s="45"/>
      <c r="AM85" s="144"/>
      <c r="AN85" s="144"/>
      <c r="AO85" s="144"/>
      <c r="AP85" s="22"/>
      <c r="AQ85" s="22"/>
      <c r="AR85" s="144"/>
      <c r="AS85" s="22"/>
      <c r="AT85" s="22"/>
      <c r="AU85" s="144"/>
      <c r="AV85" s="22"/>
      <c r="AW85" s="22"/>
      <c r="AX85" s="144"/>
      <c r="AY85" s="22"/>
      <c r="AZ85" s="22"/>
      <c r="BA85" s="144"/>
      <c r="BB85" s="22"/>
      <c r="BC85" s="22"/>
      <c r="BD85" s="144"/>
      <c r="BE85" s="144"/>
      <c r="BF85" s="22"/>
      <c r="BG85" s="144"/>
      <c r="BH85" s="144"/>
      <c r="BI85" s="144"/>
      <c r="BJ85" s="144"/>
      <c r="BK85" s="144"/>
      <c r="BL85" s="22"/>
      <c r="BM85" s="144"/>
      <c r="BN85" s="144"/>
      <c r="BO85" s="22"/>
      <c r="BP85" s="144"/>
      <c r="BQ85" s="22"/>
      <c r="BR85" s="144"/>
      <c r="BS85" s="144"/>
      <c r="BT85" s="22"/>
      <c r="BU85" s="144"/>
      <c r="BV85" s="144"/>
      <c r="BW85" s="22"/>
      <c r="BX85" s="22"/>
      <c r="BY85" s="144"/>
      <c r="BZ85" s="22"/>
      <c r="CA85" s="22"/>
      <c r="CB85" s="144"/>
      <c r="CC85" s="22"/>
      <c r="CD85" s="22"/>
      <c r="CE85" s="144"/>
      <c r="CF85" s="22"/>
      <c r="CG85" s="22"/>
      <c r="CH85" s="144"/>
      <c r="CI85" s="22"/>
      <c r="CJ85" s="22"/>
      <c r="CK85" s="144"/>
      <c r="CL85" s="22"/>
      <c r="CM85" s="22"/>
      <c r="CN85" s="144"/>
      <c r="CO85" s="22"/>
      <c r="CP85" s="22"/>
      <c r="CQ85" s="144"/>
    </row>
    <row r="86" spans="1:95" ht="15.75" customHeight="1" x14ac:dyDescent="0.45">
      <c r="A86" s="81" t="s">
        <v>69</v>
      </c>
      <c r="B86" s="22"/>
      <c r="C86" s="155">
        <f>COUNTIF($C$13:$C$66,"*Public  (750-2K)*")</f>
        <v>10</v>
      </c>
      <c r="D86" s="12"/>
      <c r="E86" s="12"/>
      <c r="F86" s="155"/>
      <c r="G86" s="144"/>
      <c r="H86" s="144"/>
      <c r="I86" s="12"/>
      <c r="J86" s="22"/>
      <c r="K86" s="22"/>
      <c r="L86" s="22"/>
      <c r="M86" s="145"/>
      <c r="N86" s="144"/>
      <c r="O86" s="144"/>
      <c r="P86" s="152"/>
      <c r="Q86" s="22"/>
      <c r="R86" s="74"/>
      <c r="S86" s="22"/>
      <c r="T86" s="74"/>
      <c r="U86" s="45"/>
      <c r="V86" s="158"/>
      <c r="W86" s="45"/>
      <c r="X86" s="45"/>
      <c r="Y86" s="45"/>
      <c r="Z86" s="45"/>
      <c r="AA86" s="45"/>
      <c r="AB86" s="45"/>
      <c r="AC86" s="44"/>
      <c r="AD86" s="45"/>
      <c r="AE86" s="45"/>
      <c r="AF86" s="45"/>
      <c r="AG86" s="45"/>
      <c r="AH86" s="45"/>
      <c r="AI86" s="144"/>
      <c r="AJ86" s="144"/>
      <c r="AK86" s="45"/>
      <c r="AL86" s="45"/>
      <c r="AM86" s="144"/>
      <c r="AN86" s="144"/>
      <c r="AO86" s="144"/>
      <c r="AP86" s="22"/>
      <c r="AQ86" s="22"/>
      <c r="AR86" s="144"/>
      <c r="AS86" s="22"/>
      <c r="AT86" s="22"/>
      <c r="AU86" s="144"/>
      <c r="AV86" s="22"/>
      <c r="AW86" s="22"/>
      <c r="AX86" s="144"/>
      <c r="AY86" s="22"/>
      <c r="AZ86" s="22"/>
      <c r="BA86" s="144"/>
      <c r="BB86" s="22"/>
      <c r="BC86" s="22"/>
      <c r="BD86" s="144"/>
      <c r="BE86" s="144"/>
      <c r="BF86" s="22"/>
      <c r="BG86" s="144"/>
      <c r="BH86" s="144"/>
      <c r="BI86" s="144"/>
      <c r="BJ86" s="144"/>
      <c r="BK86" s="144"/>
      <c r="BL86" s="22"/>
      <c r="BM86" s="144"/>
      <c r="BN86" s="144"/>
      <c r="BO86" s="22"/>
      <c r="BP86" s="144"/>
      <c r="BQ86" s="22"/>
      <c r="BR86" s="144"/>
      <c r="BS86" s="144"/>
      <c r="BT86" s="22"/>
      <c r="BU86" s="144"/>
      <c r="BV86" s="144"/>
      <c r="BW86" s="22"/>
      <c r="BX86" s="22"/>
      <c r="BY86" s="144"/>
      <c r="BZ86" s="22"/>
      <c r="CA86" s="22"/>
      <c r="CB86" s="144"/>
      <c r="CC86" s="22"/>
      <c r="CD86" s="22"/>
      <c r="CE86" s="144"/>
      <c r="CF86" s="22"/>
      <c r="CG86" s="22"/>
      <c r="CH86" s="144"/>
      <c r="CI86" s="22"/>
      <c r="CJ86" s="22"/>
      <c r="CK86" s="144"/>
      <c r="CL86" s="22"/>
      <c r="CM86" s="22"/>
      <c r="CN86" s="144"/>
      <c r="CO86" s="22"/>
      <c r="CP86" s="22"/>
      <c r="CQ86" s="144"/>
    </row>
    <row r="87" spans="1:95" ht="15.75" customHeight="1" x14ac:dyDescent="0.45">
      <c r="A87" s="60" t="s">
        <v>64</v>
      </c>
      <c r="B87" s="22"/>
      <c r="C87" s="155">
        <f>COUNTIF($C$13:$C$66,"*Public (&lt; 750)*")</f>
        <v>6</v>
      </c>
      <c r="D87" s="12"/>
      <c r="E87" s="12"/>
      <c r="F87" s="155"/>
      <c r="G87" s="144"/>
      <c r="H87" s="144"/>
      <c r="I87" s="12"/>
      <c r="J87" s="22"/>
      <c r="K87" s="22"/>
      <c r="L87" s="22"/>
      <c r="M87" s="145"/>
      <c r="N87" s="144"/>
      <c r="O87" s="144"/>
      <c r="P87" s="152"/>
      <c r="Q87" s="22"/>
      <c r="R87" s="74"/>
      <c r="S87" s="22"/>
      <c r="T87" s="74"/>
      <c r="U87" s="45"/>
      <c r="V87" s="158"/>
      <c r="W87" s="45"/>
      <c r="X87" s="45"/>
      <c r="Y87" s="45"/>
      <c r="Z87" s="45"/>
      <c r="AA87" s="45"/>
      <c r="AB87" s="45"/>
      <c r="AC87" s="44"/>
      <c r="AD87" s="45"/>
      <c r="AE87" s="45"/>
      <c r="AF87" s="45"/>
      <c r="AG87" s="45"/>
      <c r="AH87" s="45"/>
      <c r="AI87" s="144"/>
      <c r="AJ87" s="144"/>
      <c r="AK87" s="45"/>
      <c r="AL87" s="45"/>
      <c r="AM87" s="144"/>
      <c r="AN87" s="144"/>
      <c r="AO87" s="144"/>
      <c r="AP87" s="22"/>
      <c r="AQ87" s="22"/>
      <c r="AR87" s="144"/>
      <c r="AS87" s="22"/>
      <c r="AT87" s="22"/>
      <c r="AU87" s="144"/>
      <c r="AV87" s="22"/>
      <c r="AW87" s="22"/>
      <c r="AX87" s="144"/>
      <c r="AY87" s="22"/>
      <c r="AZ87" s="22"/>
      <c r="BA87" s="144"/>
      <c r="BB87" s="22"/>
      <c r="BC87" s="22"/>
      <c r="BD87" s="144"/>
      <c r="BE87" s="144"/>
      <c r="BF87" s="22"/>
      <c r="BG87" s="144"/>
      <c r="BH87" s="144"/>
      <c r="BI87" s="144"/>
      <c r="BJ87" s="144"/>
      <c r="BK87" s="144"/>
      <c r="BL87" s="22"/>
      <c r="BM87" s="144"/>
      <c r="BN87" s="144"/>
      <c r="BO87" s="22"/>
      <c r="BP87" s="144"/>
      <c r="BQ87" s="22"/>
      <c r="BR87" s="144"/>
      <c r="BS87" s="144"/>
      <c r="BT87" s="22"/>
      <c r="BU87" s="144"/>
      <c r="BV87" s="144"/>
      <c r="BW87" s="22"/>
      <c r="BX87" s="22"/>
      <c r="BY87" s="144"/>
      <c r="BZ87" s="22"/>
      <c r="CA87" s="22"/>
      <c r="CB87" s="144"/>
      <c r="CC87" s="22"/>
      <c r="CD87" s="22"/>
      <c r="CE87" s="144"/>
      <c r="CF87" s="22"/>
      <c r="CG87" s="22"/>
      <c r="CH87" s="144"/>
      <c r="CI87" s="22"/>
      <c r="CJ87" s="22"/>
      <c r="CK87" s="144"/>
      <c r="CL87" s="22"/>
      <c r="CM87" s="22"/>
      <c r="CN87" s="144"/>
      <c r="CO87" s="22"/>
      <c r="CP87" s="22"/>
      <c r="CQ87" s="144"/>
    </row>
    <row r="88" spans="1:95" ht="15.75" customHeight="1" x14ac:dyDescent="0.45">
      <c r="A88" s="84" t="s">
        <v>72</v>
      </c>
      <c r="B88" s="22"/>
      <c r="C88" s="155">
        <f>COUNTIF($C$13:$C$66,"*30K*")</f>
        <v>7</v>
      </c>
      <c r="D88" s="12"/>
      <c r="E88" s="12"/>
      <c r="F88" s="155"/>
      <c r="G88" s="144"/>
      <c r="H88" s="144"/>
      <c r="I88" s="12"/>
      <c r="J88" s="22"/>
      <c r="K88" s="22"/>
      <c r="L88" s="22"/>
      <c r="M88" s="145"/>
      <c r="N88" s="144"/>
      <c r="O88" s="144"/>
      <c r="P88" s="152"/>
      <c r="Q88" s="22"/>
      <c r="R88" s="74"/>
      <c r="S88" s="22"/>
      <c r="T88" s="74"/>
      <c r="U88" s="45"/>
      <c r="V88" s="158"/>
      <c r="W88" s="45"/>
      <c r="X88" s="45"/>
      <c r="Y88" s="45"/>
      <c r="Z88" s="45"/>
      <c r="AA88" s="45"/>
      <c r="AB88" s="45"/>
      <c r="AC88" s="44"/>
      <c r="AD88" s="45"/>
      <c r="AE88" s="45"/>
      <c r="AF88" s="45"/>
      <c r="AG88" s="45"/>
      <c r="AH88" s="45"/>
      <c r="AI88" s="144"/>
      <c r="AJ88" s="144"/>
      <c r="AK88" s="45"/>
      <c r="AL88" s="45"/>
      <c r="AM88" s="144"/>
      <c r="AN88" s="144"/>
      <c r="AO88" s="144"/>
      <c r="AP88" s="22"/>
      <c r="AQ88" s="22"/>
      <c r="AR88" s="144"/>
      <c r="AS88" s="22"/>
      <c r="AT88" s="22"/>
      <c r="AU88" s="144"/>
      <c r="AV88" s="22"/>
      <c r="AW88" s="22"/>
      <c r="AX88" s="144"/>
      <c r="AY88" s="22"/>
      <c r="AZ88" s="22"/>
      <c r="BA88" s="144"/>
      <c r="BB88" s="22"/>
      <c r="BC88" s="22"/>
      <c r="BD88" s="144"/>
      <c r="BE88" s="144"/>
      <c r="BF88" s="22"/>
      <c r="BG88" s="144"/>
      <c r="BH88" s="144"/>
      <c r="BI88" s="144"/>
      <c r="BJ88" s="144"/>
      <c r="BK88" s="144"/>
      <c r="BL88" s="22"/>
      <c r="BM88" s="144"/>
      <c r="BN88" s="144"/>
      <c r="BO88" s="22"/>
      <c r="BP88" s="144"/>
      <c r="BQ88" s="22"/>
      <c r="BR88" s="144"/>
      <c r="BS88" s="144"/>
      <c r="BT88" s="22"/>
      <c r="BU88" s="144"/>
      <c r="BV88" s="144"/>
      <c r="BW88" s="22"/>
      <c r="BX88" s="22"/>
      <c r="BY88" s="144"/>
      <c r="BZ88" s="22"/>
      <c r="CA88" s="22"/>
      <c r="CB88" s="144"/>
      <c r="CC88" s="22"/>
      <c r="CD88" s="22"/>
      <c r="CE88" s="144"/>
      <c r="CF88" s="22"/>
      <c r="CG88" s="22"/>
      <c r="CH88" s="144"/>
      <c r="CI88" s="22"/>
      <c r="CJ88" s="22"/>
      <c r="CK88" s="144"/>
      <c r="CL88" s="22"/>
      <c r="CM88" s="22"/>
      <c r="CN88" s="144"/>
      <c r="CO88" s="22"/>
      <c r="CP88" s="22"/>
      <c r="CQ88" s="144"/>
    </row>
    <row r="89" spans="1:95" ht="15.75" customHeight="1" x14ac:dyDescent="0.45">
      <c r="A89" s="94" t="s">
        <v>92</v>
      </c>
      <c r="B89" s="22"/>
      <c r="C89" s="155">
        <f>COUNTIF($C$13:$C$66,"*2K - 4K*")</f>
        <v>5</v>
      </c>
      <c r="D89" s="12"/>
      <c r="E89" s="12"/>
      <c r="F89" s="155"/>
      <c r="G89" s="144"/>
      <c r="H89" s="144"/>
      <c r="I89" s="12"/>
      <c r="J89" s="22"/>
      <c r="K89" s="22"/>
      <c r="L89" s="22"/>
      <c r="M89" s="145"/>
      <c r="N89" s="144"/>
      <c r="O89" s="144"/>
      <c r="P89" s="152"/>
      <c r="Q89" s="22"/>
      <c r="R89" s="74"/>
      <c r="S89" s="22"/>
      <c r="T89" s="74"/>
      <c r="U89" s="45"/>
      <c r="V89" s="158"/>
      <c r="W89" s="45"/>
      <c r="X89" s="45"/>
      <c r="Y89" s="45"/>
      <c r="Z89" s="45"/>
      <c r="AA89" s="45"/>
      <c r="AB89" s="45"/>
      <c r="AC89" s="44"/>
      <c r="AD89" s="45"/>
      <c r="AE89" s="45"/>
      <c r="AF89" s="45"/>
      <c r="AG89" s="45"/>
      <c r="AH89" s="45"/>
      <c r="AI89" s="144"/>
      <c r="AJ89" s="144"/>
      <c r="AK89" s="45"/>
      <c r="AL89" s="45"/>
      <c r="AM89" s="144"/>
      <c r="AN89" s="144"/>
      <c r="AO89" s="144"/>
      <c r="AP89" s="22"/>
      <c r="AQ89" s="22"/>
      <c r="AR89" s="144"/>
      <c r="AS89" s="22"/>
      <c r="AT89" s="22"/>
      <c r="AU89" s="144"/>
      <c r="AV89" s="22"/>
      <c r="AW89" s="22"/>
      <c r="AX89" s="144"/>
      <c r="AY89" s="22"/>
      <c r="AZ89" s="22"/>
      <c r="BA89" s="144"/>
      <c r="BB89" s="22"/>
      <c r="BC89" s="22"/>
      <c r="BD89" s="144"/>
      <c r="BE89" s="144"/>
      <c r="BF89" s="22"/>
      <c r="BG89" s="144"/>
      <c r="BH89" s="144"/>
      <c r="BI89" s="144"/>
      <c r="BJ89" s="144"/>
      <c r="BK89" s="144"/>
      <c r="BL89" s="22"/>
      <c r="BM89" s="144"/>
      <c r="BN89" s="144"/>
      <c r="BO89" s="22"/>
      <c r="BP89" s="144"/>
      <c r="BQ89" s="22"/>
      <c r="BR89" s="144"/>
      <c r="BS89" s="144"/>
      <c r="BT89" s="22"/>
      <c r="BU89" s="144"/>
      <c r="BV89" s="144"/>
      <c r="BW89" s="22"/>
      <c r="BX89" s="22"/>
      <c r="BY89" s="144"/>
      <c r="BZ89" s="22"/>
      <c r="CA89" s="22"/>
      <c r="CB89" s="144"/>
      <c r="CC89" s="22"/>
      <c r="CD89" s="22"/>
      <c r="CE89" s="144"/>
      <c r="CF89" s="22"/>
      <c r="CG89" s="22"/>
      <c r="CH89" s="144"/>
      <c r="CI89" s="22"/>
      <c r="CJ89" s="22"/>
      <c r="CK89" s="144"/>
      <c r="CL89" s="22"/>
      <c r="CM89" s="22"/>
      <c r="CN89" s="144"/>
      <c r="CO89" s="22"/>
      <c r="CP89" s="22"/>
      <c r="CQ89" s="144"/>
    </row>
    <row r="90" spans="1:95" ht="15.75" customHeight="1" x14ac:dyDescent="0.45">
      <c r="A90" s="97" t="s">
        <v>101</v>
      </c>
      <c r="B90" s="22"/>
      <c r="C90" s="155">
        <f>COUNTIF($C$13:$C$66,"*4K - 7500*")</f>
        <v>2</v>
      </c>
      <c r="D90" s="12"/>
      <c r="E90" s="12"/>
      <c r="F90" s="155"/>
      <c r="G90" s="144"/>
      <c r="H90" s="144"/>
      <c r="I90" s="12"/>
      <c r="J90" s="22"/>
      <c r="K90" s="22"/>
      <c r="L90" s="22"/>
      <c r="M90" s="145"/>
      <c r="N90" s="144"/>
      <c r="O90" s="144"/>
      <c r="P90" s="152"/>
      <c r="Q90" s="22"/>
      <c r="R90" s="74"/>
      <c r="S90" s="22"/>
      <c r="T90" s="74"/>
      <c r="U90" s="45"/>
      <c r="V90" s="158"/>
      <c r="W90" s="45"/>
      <c r="X90" s="45"/>
      <c r="Y90" s="45"/>
      <c r="Z90" s="45"/>
      <c r="AA90" s="45"/>
      <c r="AB90" s="45"/>
      <c r="AC90" s="44"/>
      <c r="AD90" s="45"/>
      <c r="AE90" s="45"/>
      <c r="AF90" s="45"/>
      <c r="AG90" s="45"/>
      <c r="AH90" s="45"/>
      <c r="AI90" s="144"/>
      <c r="AJ90" s="144"/>
      <c r="AK90" s="45"/>
      <c r="AL90" s="45"/>
      <c r="AM90" s="144"/>
      <c r="AN90" s="144"/>
      <c r="AO90" s="144"/>
      <c r="AP90" s="22"/>
      <c r="AQ90" s="22"/>
      <c r="AR90" s="144"/>
      <c r="AS90" s="22"/>
      <c r="AT90" s="22"/>
      <c r="AU90" s="144"/>
      <c r="AV90" s="22"/>
      <c r="AW90" s="22"/>
      <c r="AX90" s="144"/>
      <c r="AY90" s="22"/>
      <c r="AZ90" s="22"/>
      <c r="BA90" s="144"/>
      <c r="BB90" s="22"/>
      <c r="BC90" s="22"/>
      <c r="BD90" s="144"/>
      <c r="BE90" s="144"/>
      <c r="BF90" s="22"/>
      <c r="BG90" s="144"/>
      <c r="BH90" s="144"/>
      <c r="BI90" s="144"/>
      <c r="BJ90" s="144"/>
      <c r="BK90" s="144"/>
      <c r="BL90" s="22"/>
      <c r="BM90" s="144"/>
      <c r="BN90" s="144"/>
      <c r="BO90" s="22"/>
      <c r="BP90" s="144"/>
      <c r="BQ90" s="22"/>
      <c r="BR90" s="144"/>
      <c r="BS90" s="144"/>
      <c r="BT90" s="22"/>
      <c r="BU90" s="144"/>
      <c r="BV90" s="144"/>
      <c r="BW90" s="22"/>
      <c r="BX90" s="22"/>
      <c r="BY90" s="144"/>
      <c r="BZ90" s="22"/>
      <c r="CA90" s="22"/>
      <c r="CB90" s="144"/>
      <c r="CC90" s="22"/>
      <c r="CD90" s="22"/>
      <c r="CE90" s="144"/>
      <c r="CF90" s="22"/>
      <c r="CG90" s="22"/>
      <c r="CH90" s="144"/>
      <c r="CI90" s="22"/>
      <c r="CJ90" s="22"/>
      <c r="CK90" s="144"/>
      <c r="CL90" s="22"/>
      <c r="CM90" s="22"/>
      <c r="CN90" s="144"/>
      <c r="CO90" s="22"/>
      <c r="CP90" s="22"/>
      <c r="CQ90" s="144"/>
    </row>
    <row r="91" spans="1:95" ht="15.75" customHeight="1" x14ac:dyDescent="0.45">
      <c r="A91" s="115" t="s">
        <v>135</v>
      </c>
      <c r="B91" s="22"/>
      <c r="C91" s="155">
        <f>COUNTIF($C$13:$C$66,"*Public (7.5K - 15K)*")</f>
        <v>4</v>
      </c>
      <c r="D91" s="12"/>
      <c r="E91" s="12"/>
      <c r="F91" s="155"/>
      <c r="G91" s="144"/>
      <c r="H91" s="144"/>
      <c r="I91" s="12"/>
      <c r="J91" s="22"/>
      <c r="K91" s="22"/>
      <c r="L91" s="22"/>
      <c r="M91" s="145"/>
      <c r="N91" s="144"/>
      <c r="O91" s="144"/>
      <c r="P91" s="152"/>
      <c r="Q91" s="22"/>
      <c r="R91" s="74"/>
      <c r="S91" s="22"/>
      <c r="T91" s="74"/>
      <c r="U91" s="45"/>
      <c r="V91" s="158"/>
      <c r="W91" s="45"/>
      <c r="X91" s="45"/>
      <c r="Y91" s="45"/>
      <c r="Z91" s="45"/>
      <c r="AA91" s="45"/>
      <c r="AB91" s="45"/>
      <c r="AC91" s="44"/>
      <c r="AD91" s="45"/>
      <c r="AE91" s="45"/>
      <c r="AF91" s="45"/>
      <c r="AG91" s="45"/>
      <c r="AH91" s="45"/>
      <c r="AI91" s="144"/>
      <c r="AJ91" s="144"/>
      <c r="AK91" s="45"/>
      <c r="AL91" s="45"/>
      <c r="AM91" s="144"/>
      <c r="AN91" s="144"/>
      <c r="AO91" s="144"/>
      <c r="AP91" s="22"/>
      <c r="AQ91" s="22"/>
      <c r="AR91" s="144"/>
      <c r="AS91" s="22"/>
      <c r="AT91" s="22"/>
      <c r="AU91" s="144"/>
      <c r="AV91" s="22"/>
      <c r="AW91" s="22"/>
      <c r="AX91" s="144"/>
      <c r="AY91" s="22"/>
      <c r="AZ91" s="22"/>
      <c r="BA91" s="144"/>
      <c r="BB91" s="22"/>
      <c r="BC91" s="22"/>
      <c r="BD91" s="144"/>
      <c r="BE91" s="144"/>
      <c r="BF91" s="22"/>
      <c r="BG91" s="144"/>
      <c r="BH91" s="144"/>
      <c r="BI91" s="144"/>
      <c r="BJ91" s="144"/>
      <c r="BK91" s="144"/>
      <c r="BL91" s="22"/>
      <c r="BM91" s="144"/>
      <c r="BN91" s="144"/>
      <c r="BO91" s="22"/>
      <c r="BP91" s="144"/>
      <c r="BQ91" s="22"/>
      <c r="BR91" s="144"/>
      <c r="BS91" s="144"/>
      <c r="BT91" s="22"/>
      <c r="BU91" s="144"/>
      <c r="BV91" s="144"/>
      <c r="BW91" s="22"/>
      <c r="BX91" s="22"/>
      <c r="BY91" s="144"/>
      <c r="BZ91" s="22"/>
      <c r="CA91" s="22"/>
      <c r="CB91" s="144"/>
      <c r="CC91" s="22"/>
      <c r="CD91" s="22"/>
      <c r="CE91" s="144"/>
      <c r="CF91" s="22"/>
      <c r="CG91" s="22"/>
      <c r="CH91" s="144"/>
      <c r="CI91" s="22"/>
      <c r="CJ91" s="22"/>
      <c r="CK91" s="144"/>
      <c r="CL91" s="22"/>
      <c r="CM91" s="22"/>
      <c r="CN91" s="144"/>
      <c r="CO91" s="22"/>
      <c r="CP91" s="22"/>
      <c r="CQ91" s="144"/>
    </row>
    <row r="92" spans="1:95" ht="15.75" customHeight="1" x14ac:dyDescent="0.45">
      <c r="A92" s="91" t="s">
        <v>81</v>
      </c>
      <c r="B92" s="22"/>
      <c r="C92" s="155">
        <f>COUNTIF($C$13:$C$66,"*Schools (&lt; 500)*")</f>
        <v>6</v>
      </c>
      <c r="D92" s="12"/>
      <c r="E92" s="12"/>
      <c r="F92" s="155"/>
      <c r="G92" s="144"/>
      <c r="H92" s="144"/>
      <c r="I92" s="12"/>
      <c r="J92" s="22"/>
      <c r="K92" s="22"/>
      <c r="L92" s="22"/>
      <c r="M92" s="145"/>
      <c r="N92" s="144"/>
      <c r="O92" s="144"/>
      <c r="P92" s="152"/>
      <c r="Q92" s="22"/>
      <c r="R92" s="74"/>
      <c r="S92" s="22"/>
      <c r="T92" s="74"/>
      <c r="U92" s="45"/>
      <c r="V92" s="158"/>
      <c r="W92" s="45"/>
      <c r="X92" s="45"/>
      <c r="Y92" s="45"/>
      <c r="Z92" s="45"/>
      <c r="AA92" s="45"/>
      <c r="AB92" s="45"/>
      <c r="AC92" s="44"/>
      <c r="AD92" s="45"/>
      <c r="AE92" s="45"/>
      <c r="AF92" s="45"/>
      <c r="AG92" s="45"/>
      <c r="AH92" s="45"/>
      <c r="AI92" s="144"/>
      <c r="AJ92" s="144"/>
      <c r="AK92" s="45"/>
      <c r="AL92" s="45"/>
      <c r="AM92" s="144"/>
      <c r="AN92" s="144"/>
      <c r="AO92" s="144"/>
      <c r="AP92" s="22"/>
      <c r="AQ92" s="22"/>
      <c r="AR92" s="144"/>
      <c r="AS92" s="22"/>
      <c r="AT92" s="22"/>
      <c r="AU92" s="144"/>
      <c r="AV92" s="22"/>
      <c r="AW92" s="22"/>
      <c r="AX92" s="144"/>
      <c r="AY92" s="22"/>
      <c r="AZ92" s="22"/>
      <c r="BA92" s="144"/>
      <c r="BB92" s="22"/>
      <c r="BC92" s="22"/>
      <c r="BD92" s="144"/>
      <c r="BE92" s="144"/>
      <c r="BF92" s="22"/>
      <c r="BG92" s="144"/>
      <c r="BH92" s="144"/>
      <c r="BI92" s="144"/>
      <c r="BJ92" s="144"/>
      <c r="BK92" s="144"/>
      <c r="BL92" s="22"/>
      <c r="BM92" s="144"/>
      <c r="BN92" s="144"/>
      <c r="BO92" s="22"/>
      <c r="BP92" s="144"/>
      <c r="BQ92" s="22"/>
      <c r="BR92" s="144"/>
      <c r="BS92" s="144"/>
      <c r="BT92" s="22"/>
      <c r="BU92" s="144"/>
      <c r="BV92" s="144"/>
      <c r="BW92" s="22"/>
      <c r="BX92" s="22"/>
      <c r="BY92" s="144"/>
      <c r="BZ92" s="22"/>
      <c r="CA92" s="22"/>
      <c r="CB92" s="144"/>
      <c r="CC92" s="22"/>
      <c r="CD92" s="22"/>
      <c r="CE92" s="144"/>
      <c r="CF92" s="22"/>
      <c r="CG92" s="22"/>
      <c r="CH92" s="144"/>
      <c r="CI92" s="22"/>
      <c r="CJ92" s="22"/>
      <c r="CK92" s="144"/>
      <c r="CL92" s="22"/>
      <c r="CM92" s="22"/>
      <c r="CN92" s="144"/>
      <c r="CO92" s="22"/>
      <c r="CP92" s="22"/>
      <c r="CQ92" s="144"/>
    </row>
    <row r="93" spans="1:95" ht="15.75" customHeight="1" x14ac:dyDescent="0.45">
      <c r="A93" s="91" t="s">
        <v>84</v>
      </c>
      <c r="B93" s="22"/>
      <c r="C93" s="155">
        <f>COUNTIF($C$13:$C$66,"*Schools (&lt;100)*")</f>
        <v>2</v>
      </c>
      <c r="D93" s="12"/>
      <c r="E93" s="12"/>
      <c r="F93" s="155"/>
      <c r="G93" s="144"/>
      <c r="H93" s="144"/>
      <c r="I93" s="12"/>
      <c r="J93" s="22"/>
      <c r="K93" s="22"/>
      <c r="L93" s="22"/>
      <c r="M93" s="145"/>
      <c r="N93" s="144"/>
      <c r="O93" s="144"/>
      <c r="P93" s="152"/>
      <c r="Q93" s="22"/>
      <c r="R93" s="74"/>
      <c r="S93" s="22"/>
      <c r="T93" s="74"/>
      <c r="U93" s="45"/>
      <c r="V93" s="158"/>
      <c r="W93" s="45"/>
      <c r="X93" s="45"/>
      <c r="Y93" s="45"/>
      <c r="Z93" s="45"/>
      <c r="AA93" s="45"/>
      <c r="AB93" s="45"/>
      <c r="AC93" s="44"/>
      <c r="AD93" s="45"/>
      <c r="AE93" s="45"/>
      <c r="AF93" s="45"/>
      <c r="AG93" s="45"/>
      <c r="AH93" s="45"/>
      <c r="AI93" s="144"/>
      <c r="AJ93" s="144"/>
      <c r="AK93" s="45"/>
      <c r="AL93" s="45"/>
      <c r="AM93" s="144"/>
      <c r="AN93" s="144"/>
      <c r="AO93" s="144"/>
      <c r="AP93" s="22"/>
      <c r="AQ93" s="22"/>
      <c r="AR93" s="144"/>
      <c r="AS93" s="22"/>
      <c r="AT93" s="22"/>
      <c r="AU93" s="144"/>
      <c r="AV93" s="22"/>
      <c r="AW93" s="22"/>
      <c r="AX93" s="144"/>
      <c r="AY93" s="22"/>
      <c r="AZ93" s="22"/>
      <c r="BA93" s="144"/>
      <c r="BB93" s="22"/>
      <c r="BC93" s="22"/>
      <c r="BD93" s="144"/>
      <c r="BE93" s="144"/>
      <c r="BF93" s="22"/>
      <c r="BG93" s="144"/>
      <c r="BH93" s="144"/>
      <c r="BI93" s="144"/>
      <c r="BJ93" s="144"/>
      <c r="BK93" s="144"/>
      <c r="BL93" s="22"/>
      <c r="BM93" s="144"/>
      <c r="BN93" s="144"/>
      <c r="BO93" s="22"/>
      <c r="BP93" s="144"/>
      <c r="BQ93" s="22"/>
      <c r="BR93" s="144"/>
      <c r="BS93" s="144"/>
      <c r="BT93" s="22"/>
      <c r="BU93" s="144"/>
      <c r="BV93" s="144"/>
      <c r="BW93" s="22"/>
      <c r="BX93" s="22"/>
      <c r="BY93" s="144"/>
      <c r="BZ93" s="22"/>
      <c r="CA93" s="22"/>
      <c r="CB93" s="144"/>
      <c r="CC93" s="22"/>
      <c r="CD93" s="22"/>
      <c r="CE93" s="144"/>
      <c r="CF93" s="22"/>
      <c r="CG93" s="22"/>
      <c r="CH93" s="144"/>
      <c r="CI93" s="22"/>
      <c r="CJ93" s="22"/>
      <c r="CK93" s="144"/>
      <c r="CL93" s="22"/>
      <c r="CM93" s="22"/>
      <c r="CN93" s="144"/>
      <c r="CO93" s="22"/>
      <c r="CP93" s="22"/>
      <c r="CQ93" s="144"/>
    </row>
    <row r="94" spans="1:95" ht="15.75" customHeight="1" x14ac:dyDescent="0.45">
      <c r="A94" s="104" t="s">
        <v>118</v>
      </c>
      <c r="B94" s="22"/>
      <c r="C94" s="155">
        <f>COUNTIF($C$13:$C$66,"*&gt; 500*")</f>
        <v>2</v>
      </c>
      <c r="D94" s="12"/>
      <c r="E94" s="12"/>
      <c r="F94" s="155"/>
      <c r="G94" s="144"/>
      <c r="H94" s="144"/>
      <c r="I94" s="12"/>
      <c r="J94" s="22"/>
      <c r="K94" s="22"/>
      <c r="L94" s="22"/>
      <c r="M94" s="145"/>
      <c r="N94" s="144"/>
      <c r="O94" s="144"/>
      <c r="P94" s="152"/>
      <c r="Q94" s="22"/>
      <c r="R94" s="74"/>
      <c r="S94" s="22"/>
      <c r="T94" s="74"/>
      <c r="U94" s="45"/>
      <c r="V94" s="158"/>
      <c r="W94" s="45"/>
      <c r="X94" s="45"/>
      <c r="Y94" s="45"/>
      <c r="Z94" s="45"/>
      <c r="AA94" s="45"/>
      <c r="AB94" s="45"/>
      <c r="AC94" s="44"/>
      <c r="AD94" s="45"/>
      <c r="AE94" s="45"/>
      <c r="AF94" s="45"/>
      <c r="AG94" s="45"/>
      <c r="AH94" s="45"/>
      <c r="AI94" s="144"/>
      <c r="AJ94" s="144"/>
      <c r="AK94" s="45"/>
      <c r="AL94" s="45"/>
      <c r="AM94" s="144"/>
      <c r="AN94" s="144"/>
      <c r="AO94" s="144"/>
      <c r="AP94" s="22"/>
      <c r="AQ94" s="22"/>
      <c r="AR94" s="144"/>
      <c r="AS94" s="22"/>
      <c r="AT94" s="22"/>
      <c r="AU94" s="144"/>
      <c r="AV94" s="22"/>
      <c r="AW94" s="22"/>
      <c r="AX94" s="144"/>
      <c r="AY94" s="22"/>
      <c r="AZ94" s="22"/>
      <c r="BA94" s="144"/>
      <c r="BB94" s="22"/>
      <c r="BC94" s="22"/>
      <c r="BD94" s="144"/>
      <c r="BE94" s="144"/>
      <c r="BF94" s="22"/>
      <c r="BG94" s="144"/>
      <c r="BH94" s="144"/>
      <c r="BI94" s="144"/>
      <c r="BJ94" s="144"/>
      <c r="BK94" s="144"/>
      <c r="BL94" s="22"/>
      <c r="BM94" s="144"/>
      <c r="BN94" s="144"/>
      <c r="BO94" s="22"/>
      <c r="BP94" s="144"/>
      <c r="BQ94" s="22"/>
      <c r="BR94" s="144"/>
      <c r="BS94" s="144"/>
      <c r="BT94" s="22"/>
      <c r="BU94" s="144"/>
      <c r="BV94" s="144"/>
      <c r="BW94" s="22"/>
      <c r="BX94" s="22"/>
      <c r="BY94" s="144"/>
      <c r="BZ94" s="22"/>
      <c r="CA94" s="22"/>
      <c r="CB94" s="144"/>
      <c r="CC94" s="22"/>
      <c r="CD94" s="22"/>
      <c r="CE94" s="144"/>
      <c r="CF94" s="22"/>
      <c r="CG94" s="22"/>
      <c r="CH94" s="144"/>
      <c r="CI94" s="22"/>
      <c r="CJ94" s="22"/>
      <c r="CK94" s="144"/>
      <c r="CL94" s="22"/>
      <c r="CM94" s="22"/>
      <c r="CN94" s="144"/>
      <c r="CO94" s="22"/>
      <c r="CP94" s="22"/>
      <c r="CQ94" s="144"/>
    </row>
    <row r="95" spans="1:95" ht="15.75" customHeight="1" x14ac:dyDescent="0.45">
      <c r="A95" s="22"/>
      <c r="B95" s="22"/>
      <c r="C95" s="120">
        <f>SUM(C83:C94)</f>
        <v>54</v>
      </c>
      <c r="D95" s="12"/>
      <c r="E95" s="12"/>
      <c r="F95" s="155"/>
      <c r="G95" s="144"/>
      <c r="H95" s="144"/>
      <c r="I95" s="12"/>
      <c r="J95" s="22"/>
      <c r="K95" s="22"/>
      <c r="L95" s="22"/>
      <c r="M95" s="145"/>
      <c r="N95" s="144"/>
      <c r="O95" s="144"/>
      <c r="P95" s="152"/>
      <c r="Q95" s="22"/>
      <c r="R95" s="74"/>
      <c r="S95" s="22"/>
      <c r="T95" s="74"/>
      <c r="U95" s="45"/>
      <c r="V95" s="158"/>
      <c r="W95" s="45"/>
      <c r="X95" s="45"/>
      <c r="Y95" s="45"/>
      <c r="Z95" s="45"/>
      <c r="AA95" s="45"/>
      <c r="AB95" s="45"/>
      <c r="AC95" s="44"/>
      <c r="AD95" s="45"/>
      <c r="AE95" s="45"/>
      <c r="AF95" s="45"/>
      <c r="AG95" s="45"/>
      <c r="AH95" s="45"/>
      <c r="AI95" s="144"/>
      <c r="AJ95" s="144"/>
      <c r="AK95" s="45"/>
      <c r="AL95" s="45"/>
      <c r="AM95" s="144"/>
      <c r="AN95" s="144"/>
      <c r="AO95" s="144"/>
      <c r="AP95" s="22"/>
      <c r="AQ95" s="22"/>
      <c r="AR95" s="144"/>
      <c r="AS95" s="22"/>
      <c r="AT95" s="22"/>
      <c r="AU95" s="144"/>
      <c r="AV95" s="22"/>
      <c r="AW95" s="22"/>
      <c r="AX95" s="144"/>
      <c r="AY95" s="22"/>
      <c r="AZ95" s="22"/>
      <c r="BA95" s="144"/>
      <c r="BB95" s="22"/>
      <c r="BC95" s="22"/>
      <c r="BD95" s="144"/>
      <c r="BE95" s="144"/>
      <c r="BF95" s="22"/>
      <c r="BG95" s="144"/>
      <c r="BH95" s="144"/>
      <c r="BI95" s="144"/>
      <c r="BJ95" s="144"/>
      <c r="BK95" s="144"/>
      <c r="BL95" s="22"/>
      <c r="BM95" s="144"/>
      <c r="BN95" s="144"/>
      <c r="BO95" s="22"/>
      <c r="BP95" s="144"/>
      <c r="BQ95" s="22"/>
      <c r="BR95" s="144"/>
      <c r="BS95" s="144"/>
      <c r="BT95" s="22"/>
      <c r="BU95" s="144"/>
      <c r="BV95" s="144"/>
      <c r="BW95" s="22"/>
      <c r="BX95" s="22"/>
      <c r="BY95" s="144"/>
      <c r="BZ95" s="22"/>
      <c r="CA95" s="22"/>
      <c r="CB95" s="144"/>
      <c r="CC95" s="22"/>
      <c r="CD95" s="22"/>
      <c r="CE95" s="144"/>
      <c r="CF95" s="22"/>
      <c r="CG95" s="22"/>
      <c r="CH95" s="144"/>
      <c r="CI95" s="22"/>
      <c r="CJ95" s="22"/>
      <c r="CK95" s="144"/>
      <c r="CL95" s="22"/>
      <c r="CM95" s="22"/>
      <c r="CN95" s="144"/>
      <c r="CO95" s="22"/>
      <c r="CP95" s="22"/>
      <c r="CQ95" s="144"/>
    </row>
    <row r="96" spans="1:95" ht="15.75" customHeight="1" x14ac:dyDescent="0.45">
      <c r="A96" s="22"/>
      <c r="B96" s="22"/>
      <c r="C96" s="155"/>
      <c r="D96" s="12"/>
      <c r="E96" s="12"/>
      <c r="F96" s="155"/>
      <c r="G96" s="144"/>
      <c r="H96" s="144"/>
      <c r="I96" s="12"/>
      <c r="J96" s="22"/>
      <c r="K96" s="22"/>
      <c r="L96" s="22"/>
      <c r="M96" s="145"/>
      <c r="N96" s="144"/>
      <c r="O96" s="144"/>
      <c r="P96" s="152"/>
      <c r="Q96" s="22"/>
      <c r="R96" s="74"/>
      <c r="S96" s="22"/>
      <c r="T96" s="74"/>
      <c r="U96" s="45"/>
      <c r="V96" s="158"/>
      <c r="W96" s="45"/>
      <c r="X96" s="45"/>
      <c r="Y96" s="45"/>
      <c r="Z96" s="45"/>
      <c r="AA96" s="45"/>
      <c r="AB96" s="45"/>
      <c r="AC96" s="44"/>
      <c r="AD96" s="45"/>
      <c r="AE96" s="45"/>
      <c r="AF96" s="45"/>
      <c r="AG96" s="45"/>
      <c r="AH96" s="45"/>
      <c r="AI96" s="144"/>
      <c r="AJ96" s="144"/>
      <c r="AK96" s="45"/>
      <c r="AL96" s="45"/>
      <c r="AM96" s="144"/>
      <c r="AN96" s="144"/>
      <c r="AO96" s="144"/>
      <c r="AP96" s="22"/>
      <c r="AQ96" s="22"/>
      <c r="AR96" s="144"/>
      <c r="AS96" s="22"/>
      <c r="AT96" s="22"/>
      <c r="AU96" s="144"/>
      <c r="AV96" s="22"/>
      <c r="AW96" s="22"/>
      <c r="AX96" s="144"/>
      <c r="AY96" s="22"/>
      <c r="AZ96" s="22"/>
      <c r="BA96" s="144"/>
      <c r="BB96" s="22"/>
      <c r="BC96" s="22"/>
      <c r="BD96" s="144"/>
      <c r="BE96" s="144"/>
      <c r="BF96" s="22"/>
      <c r="BG96" s="144"/>
      <c r="BH96" s="144"/>
      <c r="BI96" s="144"/>
      <c r="BJ96" s="144"/>
      <c r="BK96" s="144"/>
      <c r="BL96" s="22"/>
      <c r="BM96" s="144"/>
      <c r="BN96" s="144"/>
      <c r="BO96" s="22"/>
      <c r="BP96" s="144"/>
      <c r="BQ96" s="22"/>
      <c r="BR96" s="144"/>
      <c r="BS96" s="144"/>
      <c r="BT96" s="22"/>
      <c r="BU96" s="144"/>
      <c r="BV96" s="144"/>
      <c r="BW96" s="22"/>
      <c r="BX96" s="22"/>
      <c r="BY96" s="144"/>
      <c r="BZ96" s="22"/>
      <c r="CA96" s="22"/>
      <c r="CB96" s="144"/>
      <c r="CC96" s="22"/>
      <c r="CD96" s="22"/>
      <c r="CE96" s="144"/>
      <c r="CF96" s="22"/>
      <c r="CG96" s="22"/>
      <c r="CH96" s="144"/>
      <c r="CI96" s="22"/>
      <c r="CJ96" s="22"/>
      <c r="CK96" s="144"/>
      <c r="CL96" s="22"/>
      <c r="CM96" s="22"/>
      <c r="CN96" s="144"/>
      <c r="CO96" s="22"/>
      <c r="CP96" s="22"/>
      <c r="CQ96" s="144"/>
    </row>
    <row r="97" spans="1:95" ht="15.75" customHeight="1" x14ac:dyDescent="0.45">
      <c r="A97" s="22"/>
      <c r="B97" s="22"/>
      <c r="C97" s="155"/>
      <c r="D97" s="12"/>
      <c r="E97" s="12"/>
      <c r="F97" s="155"/>
      <c r="G97" s="144"/>
      <c r="H97" s="144"/>
      <c r="I97" s="12"/>
      <c r="J97" s="22"/>
      <c r="K97" s="22"/>
      <c r="L97" s="22"/>
      <c r="M97" s="145"/>
      <c r="N97" s="144"/>
      <c r="O97" s="144"/>
      <c r="P97" s="152"/>
      <c r="Q97" s="22"/>
      <c r="R97" s="74"/>
      <c r="S97" s="22"/>
      <c r="T97" s="74"/>
      <c r="U97" s="45"/>
      <c r="V97" s="158"/>
      <c r="W97" s="45"/>
      <c r="X97" s="45"/>
      <c r="Y97" s="45"/>
      <c r="Z97" s="45"/>
      <c r="AA97" s="45"/>
      <c r="AB97" s="45"/>
      <c r="AC97" s="44"/>
      <c r="AD97" s="45"/>
      <c r="AE97" s="45"/>
      <c r="AF97" s="45"/>
      <c r="AG97" s="45"/>
      <c r="AH97" s="45"/>
      <c r="AI97" s="144"/>
      <c r="AJ97" s="144"/>
      <c r="AK97" s="45"/>
      <c r="AL97" s="45"/>
      <c r="AM97" s="144"/>
      <c r="AN97" s="144"/>
      <c r="AO97" s="144"/>
      <c r="AP97" s="22"/>
      <c r="AQ97" s="22"/>
      <c r="AR97" s="144"/>
      <c r="AS97" s="22"/>
      <c r="AT97" s="22"/>
      <c r="AU97" s="144"/>
      <c r="AV97" s="22"/>
      <c r="AW97" s="22"/>
      <c r="AX97" s="144"/>
      <c r="AY97" s="22"/>
      <c r="AZ97" s="22"/>
      <c r="BA97" s="144"/>
      <c r="BB97" s="22"/>
      <c r="BC97" s="22"/>
      <c r="BD97" s="144"/>
      <c r="BE97" s="144"/>
      <c r="BF97" s="22"/>
      <c r="BG97" s="144"/>
      <c r="BH97" s="144"/>
      <c r="BI97" s="144"/>
      <c r="BJ97" s="144"/>
      <c r="BK97" s="144"/>
      <c r="BL97" s="22"/>
      <c r="BM97" s="144"/>
      <c r="BN97" s="144"/>
      <c r="BO97" s="22"/>
      <c r="BP97" s="144"/>
      <c r="BQ97" s="22"/>
      <c r="BR97" s="144"/>
      <c r="BS97" s="144"/>
      <c r="BT97" s="22"/>
      <c r="BU97" s="144"/>
      <c r="BV97" s="144"/>
      <c r="BW97" s="22"/>
      <c r="BX97" s="22"/>
      <c r="BY97" s="144"/>
      <c r="BZ97" s="22"/>
      <c r="CA97" s="22"/>
      <c r="CB97" s="144"/>
      <c r="CC97" s="22"/>
      <c r="CD97" s="22"/>
      <c r="CE97" s="144"/>
      <c r="CF97" s="22"/>
      <c r="CG97" s="22"/>
      <c r="CH97" s="144"/>
      <c r="CI97" s="22"/>
      <c r="CJ97" s="22"/>
      <c r="CK97" s="144"/>
      <c r="CL97" s="22"/>
      <c r="CM97" s="22"/>
      <c r="CN97" s="144"/>
      <c r="CO97" s="22"/>
      <c r="CP97" s="22"/>
      <c r="CQ97" s="144"/>
    </row>
    <row r="98" spans="1:95" ht="15.75" customHeight="1" x14ac:dyDescent="0.45">
      <c r="A98" s="22"/>
      <c r="B98" s="22"/>
      <c r="C98" s="155"/>
      <c r="D98" s="12"/>
      <c r="E98" s="12"/>
      <c r="F98" s="155"/>
      <c r="G98" s="144"/>
      <c r="H98" s="144"/>
      <c r="I98" s="12"/>
      <c r="J98" s="22"/>
      <c r="K98" s="22"/>
      <c r="L98" s="22"/>
      <c r="M98" s="145"/>
      <c r="N98" s="144"/>
      <c r="O98" s="144"/>
      <c r="P98" s="152"/>
      <c r="Q98" s="22"/>
      <c r="R98" s="74"/>
      <c r="S98" s="22"/>
      <c r="T98" s="74"/>
      <c r="U98" s="45"/>
      <c r="V98" s="158"/>
      <c r="W98" s="45"/>
      <c r="X98" s="45"/>
      <c r="Y98" s="45"/>
      <c r="Z98" s="45"/>
      <c r="AA98" s="45"/>
      <c r="AB98" s="45"/>
      <c r="AC98" s="44"/>
      <c r="AD98" s="45"/>
      <c r="AE98" s="45"/>
      <c r="AF98" s="45"/>
      <c r="AG98" s="45"/>
      <c r="AH98" s="45"/>
      <c r="AI98" s="144"/>
      <c r="AJ98" s="144"/>
      <c r="AK98" s="45"/>
      <c r="AL98" s="45"/>
      <c r="AM98" s="144"/>
      <c r="AN98" s="144"/>
      <c r="AO98" s="144"/>
      <c r="AP98" s="22"/>
      <c r="AQ98" s="22"/>
      <c r="AR98" s="144"/>
      <c r="AS98" s="22"/>
      <c r="AT98" s="22"/>
      <c r="AU98" s="144"/>
      <c r="AV98" s="22"/>
      <c r="AW98" s="22"/>
      <c r="AX98" s="144"/>
      <c r="AY98" s="22"/>
      <c r="AZ98" s="22"/>
      <c r="BA98" s="144"/>
      <c r="BB98" s="22"/>
      <c r="BC98" s="22"/>
      <c r="BD98" s="144"/>
      <c r="BE98" s="144"/>
      <c r="BF98" s="22"/>
      <c r="BG98" s="144"/>
      <c r="BH98" s="144"/>
      <c r="BI98" s="144"/>
      <c r="BJ98" s="144"/>
      <c r="BK98" s="144"/>
      <c r="BL98" s="22"/>
      <c r="BM98" s="144"/>
      <c r="BN98" s="144"/>
      <c r="BO98" s="22"/>
      <c r="BP98" s="144"/>
      <c r="BQ98" s="22"/>
      <c r="BR98" s="144"/>
      <c r="BS98" s="144"/>
      <c r="BT98" s="22"/>
      <c r="BU98" s="144"/>
      <c r="BV98" s="144"/>
      <c r="BW98" s="22"/>
      <c r="BX98" s="22"/>
      <c r="BY98" s="144"/>
      <c r="BZ98" s="22"/>
      <c r="CA98" s="22"/>
      <c r="CB98" s="144"/>
      <c r="CC98" s="22"/>
      <c r="CD98" s="22"/>
      <c r="CE98" s="144"/>
      <c r="CF98" s="22"/>
      <c r="CG98" s="22"/>
      <c r="CH98" s="144"/>
      <c r="CI98" s="22"/>
      <c r="CJ98" s="22"/>
      <c r="CK98" s="144"/>
      <c r="CL98" s="22"/>
      <c r="CM98" s="22"/>
      <c r="CN98" s="144"/>
      <c r="CO98" s="22"/>
      <c r="CP98" s="22"/>
      <c r="CQ98" s="144"/>
    </row>
    <row r="99" spans="1:95" ht="15.75" customHeight="1" x14ac:dyDescent="0.45">
      <c r="A99" s="22"/>
      <c r="B99" s="22"/>
      <c r="C99" s="12"/>
      <c r="D99" s="12"/>
      <c r="E99" s="12"/>
      <c r="F99" s="155"/>
      <c r="G99" s="144"/>
      <c r="H99" s="144"/>
      <c r="I99" s="12"/>
      <c r="J99" s="22"/>
      <c r="K99" s="22"/>
      <c r="L99" s="22"/>
      <c r="M99" s="145"/>
      <c r="N99" s="144"/>
      <c r="O99" s="144"/>
      <c r="P99" s="152"/>
      <c r="Q99" s="22"/>
      <c r="R99" s="74"/>
      <c r="S99" s="22"/>
      <c r="T99" s="74"/>
      <c r="U99" s="45"/>
      <c r="V99" s="158"/>
      <c r="W99" s="45"/>
      <c r="X99" s="45"/>
      <c r="Y99" s="45"/>
      <c r="Z99" s="45"/>
      <c r="AA99" s="45"/>
      <c r="AB99" s="45"/>
      <c r="AC99" s="44"/>
      <c r="AD99" s="45"/>
      <c r="AE99" s="45"/>
      <c r="AF99" s="45"/>
      <c r="AG99" s="45"/>
      <c r="AH99" s="45"/>
      <c r="AI99" s="144"/>
      <c r="AJ99" s="144"/>
      <c r="AK99" s="45"/>
      <c r="AL99" s="45"/>
      <c r="AM99" s="144"/>
      <c r="AN99" s="144"/>
      <c r="AO99" s="144"/>
      <c r="AP99" s="22"/>
      <c r="AQ99" s="22"/>
      <c r="AR99" s="144"/>
      <c r="AS99" s="22"/>
      <c r="AT99" s="22"/>
      <c r="AU99" s="144"/>
      <c r="AV99" s="22"/>
      <c r="AW99" s="22"/>
      <c r="AX99" s="144"/>
      <c r="AY99" s="22"/>
      <c r="AZ99" s="22"/>
      <c r="BA99" s="144"/>
      <c r="BB99" s="22"/>
      <c r="BC99" s="22"/>
      <c r="BD99" s="144"/>
      <c r="BE99" s="144"/>
      <c r="BF99" s="22"/>
      <c r="BG99" s="144"/>
      <c r="BH99" s="144"/>
      <c r="BI99" s="144"/>
      <c r="BJ99" s="144"/>
      <c r="BK99" s="144"/>
      <c r="BL99" s="22"/>
      <c r="BM99" s="144"/>
      <c r="BN99" s="144"/>
      <c r="BO99" s="22"/>
      <c r="BP99" s="144"/>
      <c r="BQ99" s="22"/>
      <c r="BR99" s="144"/>
      <c r="BS99" s="144"/>
      <c r="BT99" s="22"/>
      <c r="BU99" s="144"/>
      <c r="BV99" s="144"/>
      <c r="BW99" s="22"/>
      <c r="BX99" s="22"/>
      <c r="BY99" s="144"/>
      <c r="BZ99" s="22"/>
      <c r="CA99" s="22"/>
      <c r="CB99" s="144"/>
      <c r="CC99" s="22"/>
      <c r="CD99" s="22"/>
      <c r="CE99" s="144"/>
      <c r="CF99" s="22"/>
      <c r="CG99" s="22"/>
      <c r="CH99" s="144"/>
      <c r="CI99" s="22"/>
      <c r="CJ99" s="22"/>
      <c r="CK99" s="144"/>
      <c r="CL99" s="22"/>
      <c r="CM99" s="22"/>
      <c r="CN99" s="144"/>
      <c r="CO99" s="22"/>
      <c r="CP99" s="22"/>
      <c r="CQ99" s="144"/>
    </row>
    <row r="100" spans="1:95" ht="15.75" customHeight="1" x14ac:dyDescent="0.45">
      <c r="A100" s="22"/>
      <c r="B100" s="22"/>
      <c r="C100" s="12"/>
      <c r="D100" s="12"/>
      <c r="E100" s="12"/>
      <c r="F100" s="155"/>
      <c r="G100" s="144"/>
      <c r="H100" s="144"/>
      <c r="I100" s="12"/>
      <c r="J100" s="22"/>
      <c r="K100" s="22"/>
      <c r="L100" s="22"/>
      <c r="M100" s="145"/>
      <c r="N100" s="144"/>
      <c r="O100" s="144"/>
      <c r="P100" s="152"/>
      <c r="Q100" s="22"/>
      <c r="R100" s="74"/>
      <c r="S100" s="22"/>
      <c r="T100" s="74"/>
      <c r="U100" s="45"/>
      <c r="V100" s="158"/>
      <c r="W100" s="45"/>
      <c r="X100" s="45"/>
      <c r="Y100" s="45"/>
      <c r="Z100" s="45"/>
      <c r="AA100" s="45"/>
      <c r="AB100" s="45"/>
      <c r="AC100" s="44"/>
      <c r="AD100" s="45"/>
      <c r="AE100" s="45"/>
      <c r="AF100" s="45"/>
      <c r="AG100" s="45"/>
      <c r="AH100" s="45"/>
      <c r="AI100" s="144"/>
      <c r="AJ100" s="144"/>
      <c r="AK100" s="45"/>
      <c r="AL100" s="45"/>
      <c r="AM100" s="144"/>
      <c r="AN100" s="144"/>
      <c r="AO100" s="144"/>
      <c r="AP100" s="22"/>
      <c r="AQ100" s="22"/>
      <c r="AR100" s="144"/>
      <c r="AS100" s="22"/>
      <c r="AT100" s="22"/>
      <c r="AU100" s="144"/>
      <c r="AV100" s="22"/>
      <c r="AW100" s="22"/>
      <c r="AX100" s="144"/>
      <c r="AY100" s="22"/>
      <c r="AZ100" s="22"/>
      <c r="BA100" s="144"/>
      <c r="BB100" s="22"/>
      <c r="BC100" s="22"/>
      <c r="BD100" s="144"/>
      <c r="BE100" s="144"/>
      <c r="BF100" s="22"/>
      <c r="BG100" s="144"/>
      <c r="BH100" s="144"/>
      <c r="BI100" s="144"/>
      <c r="BJ100" s="144"/>
      <c r="BK100" s="144"/>
      <c r="BL100" s="22"/>
      <c r="BM100" s="144"/>
      <c r="BN100" s="144"/>
      <c r="BO100" s="22"/>
      <c r="BP100" s="144"/>
      <c r="BQ100" s="22"/>
      <c r="BR100" s="144"/>
      <c r="BS100" s="144"/>
      <c r="BT100" s="22"/>
      <c r="BU100" s="144"/>
      <c r="BV100" s="144"/>
      <c r="BW100" s="22"/>
      <c r="BX100" s="22"/>
      <c r="BY100" s="144"/>
      <c r="BZ100" s="22"/>
      <c r="CA100" s="22"/>
      <c r="CB100" s="144"/>
      <c r="CC100" s="22"/>
      <c r="CD100" s="22"/>
      <c r="CE100" s="144"/>
      <c r="CF100" s="22"/>
      <c r="CG100" s="22"/>
      <c r="CH100" s="144"/>
      <c r="CI100" s="22"/>
      <c r="CJ100" s="22"/>
      <c r="CK100" s="144"/>
      <c r="CL100" s="22"/>
      <c r="CM100" s="22"/>
      <c r="CN100" s="144"/>
      <c r="CO100" s="22"/>
      <c r="CP100" s="22"/>
      <c r="CQ100" s="144"/>
    </row>
    <row r="101" spans="1:95" ht="15.75" customHeight="1" x14ac:dyDescent="0.45">
      <c r="A101" s="22"/>
      <c r="B101" s="22"/>
      <c r="C101" s="12"/>
      <c r="D101" s="12"/>
      <c r="E101" s="12"/>
      <c r="F101" s="155"/>
      <c r="G101" s="144"/>
      <c r="H101" s="144"/>
      <c r="I101" s="12"/>
      <c r="J101" s="22"/>
      <c r="K101" s="22"/>
      <c r="L101" s="22"/>
      <c r="M101" s="145"/>
      <c r="N101" s="144"/>
      <c r="O101" s="144"/>
      <c r="P101" s="152"/>
      <c r="Q101" s="22"/>
      <c r="R101" s="74"/>
      <c r="S101" s="22"/>
      <c r="T101" s="74"/>
      <c r="U101" s="45"/>
      <c r="V101" s="158"/>
      <c r="W101" s="45"/>
      <c r="X101" s="45"/>
      <c r="Y101" s="45"/>
      <c r="Z101" s="45"/>
      <c r="AA101" s="45"/>
      <c r="AB101" s="45"/>
      <c r="AC101" s="44"/>
      <c r="AD101" s="45"/>
      <c r="AE101" s="45"/>
      <c r="AF101" s="45"/>
      <c r="AG101" s="45"/>
      <c r="AH101" s="45"/>
      <c r="AI101" s="144"/>
      <c r="AJ101" s="144"/>
      <c r="AK101" s="45"/>
      <c r="AL101" s="45"/>
      <c r="AM101" s="144"/>
      <c r="AN101" s="144"/>
      <c r="AO101" s="144"/>
      <c r="AP101" s="22"/>
      <c r="AQ101" s="22"/>
      <c r="AR101" s="144"/>
      <c r="AS101" s="22"/>
      <c r="AT101" s="22"/>
      <c r="AU101" s="144"/>
      <c r="AV101" s="22"/>
      <c r="AW101" s="22"/>
      <c r="AX101" s="144"/>
      <c r="AY101" s="22"/>
      <c r="AZ101" s="22"/>
      <c r="BA101" s="144"/>
      <c r="BB101" s="22"/>
      <c r="BC101" s="22"/>
      <c r="BD101" s="144"/>
      <c r="BE101" s="144"/>
      <c r="BF101" s="22"/>
      <c r="BG101" s="144"/>
      <c r="BH101" s="144"/>
      <c r="BI101" s="144"/>
      <c r="BJ101" s="144"/>
      <c r="BK101" s="144"/>
      <c r="BL101" s="22"/>
      <c r="BM101" s="144"/>
      <c r="BN101" s="144"/>
      <c r="BO101" s="22"/>
      <c r="BP101" s="144"/>
      <c r="BQ101" s="22"/>
      <c r="BR101" s="144"/>
      <c r="BS101" s="144"/>
      <c r="BT101" s="22"/>
      <c r="BU101" s="144"/>
      <c r="BV101" s="144"/>
      <c r="BW101" s="22"/>
      <c r="BX101" s="22"/>
      <c r="BY101" s="144"/>
      <c r="BZ101" s="22"/>
      <c r="CA101" s="22"/>
      <c r="CB101" s="144"/>
      <c r="CC101" s="22"/>
      <c r="CD101" s="22"/>
      <c r="CE101" s="144"/>
      <c r="CF101" s="22"/>
      <c r="CG101" s="22"/>
      <c r="CH101" s="144"/>
      <c r="CI101" s="22"/>
      <c r="CJ101" s="22"/>
      <c r="CK101" s="144"/>
      <c r="CL101" s="22"/>
      <c r="CM101" s="22"/>
      <c r="CN101" s="144"/>
      <c r="CO101" s="22"/>
      <c r="CP101" s="22"/>
      <c r="CQ101" s="144"/>
    </row>
    <row r="102" spans="1:95" ht="15.75" customHeight="1" x14ac:dyDescent="0.45">
      <c r="A102" s="22"/>
      <c r="B102" s="22"/>
      <c r="C102" s="12"/>
      <c r="D102" s="12"/>
      <c r="E102" s="12"/>
      <c r="F102" s="155"/>
      <c r="G102" s="144"/>
      <c r="H102" s="144"/>
      <c r="I102" s="12"/>
      <c r="J102" s="22"/>
      <c r="K102" s="22"/>
      <c r="L102" s="22"/>
      <c r="M102" s="145"/>
      <c r="N102" s="144"/>
      <c r="O102" s="144"/>
      <c r="P102" s="152"/>
      <c r="Q102" s="22"/>
      <c r="R102" s="74"/>
      <c r="S102" s="22"/>
      <c r="T102" s="74"/>
      <c r="U102" s="45"/>
      <c r="V102" s="158"/>
      <c r="W102" s="45"/>
      <c r="X102" s="45"/>
      <c r="Y102" s="45"/>
      <c r="Z102" s="45"/>
      <c r="AA102" s="45"/>
      <c r="AB102" s="45"/>
      <c r="AC102" s="44"/>
      <c r="AD102" s="45"/>
      <c r="AE102" s="45"/>
      <c r="AF102" s="45"/>
      <c r="AG102" s="45"/>
      <c r="AH102" s="45"/>
      <c r="AI102" s="144"/>
      <c r="AJ102" s="144"/>
      <c r="AK102" s="45"/>
      <c r="AL102" s="45"/>
      <c r="AM102" s="144"/>
      <c r="AN102" s="144"/>
      <c r="AO102" s="144"/>
      <c r="AP102" s="22"/>
      <c r="AQ102" s="22"/>
      <c r="AR102" s="144"/>
      <c r="AS102" s="22"/>
      <c r="AT102" s="22"/>
      <c r="AU102" s="144"/>
      <c r="AV102" s="22"/>
      <c r="AW102" s="22"/>
      <c r="AX102" s="144"/>
      <c r="AY102" s="22"/>
      <c r="AZ102" s="22"/>
      <c r="BA102" s="144"/>
      <c r="BB102" s="22"/>
      <c r="BC102" s="22"/>
      <c r="BD102" s="144"/>
      <c r="BE102" s="144"/>
      <c r="BF102" s="22"/>
      <c r="BG102" s="144"/>
      <c r="BH102" s="144"/>
      <c r="BI102" s="144"/>
      <c r="BJ102" s="144"/>
      <c r="BK102" s="144"/>
      <c r="BL102" s="22"/>
      <c r="BM102" s="144"/>
      <c r="BN102" s="144"/>
      <c r="BO102" s="22"/>
      <c r="BP102" s="144"/>
      <c r="BQ102" s="22"/>
      <c r="BR102" s="144"/>
      <c r="BS102" s="144"/>
      <c r="BT102" s="22"/>
      <c r="BU102" s="144"/>
      <c r="BV102" s="144"/>
      <c r="BW102" s="22"/>
      <c r="BX102" s="22"/>
      <c r="BY102" s="144"/>
      <c r="BZ102" s="22"/>
      <c r="CA102" s="22"/>
      <c r="CB102" s="144"/>
      <c r="CC102" s="22"/>
      <c r="CD102" s="22"/>
      <c r="CE102" s="144"/>
      <c r="CF102" s="22"/>
      <c r="CG102" s="22"/>
      <c r="CH102" s="144"/>
      <c r="CI102" s="22"/>
      <c r="CJ102" s="22"/>
      <c r="CK102" s="144"/>
      <c r="CL102" s="22"/>
      <c r="CM102" s="22"/>
      <c r="CN102" s="144"/>
      <c r="CO102" s="22"/>
      <c r="CP102" s="22"/>
      <c r="CQ102" s="144"/>
    </row>
    <row r="103" spans="1:95" ht="15.75" customHeight="1" x14ac:dyDescent="0.45">
      <c r="A103" s="22"/>
      <c r="B103" s="22"/>
      <c r="C103" s="12"/>
      <c r="D103" s="12"/>
      <c r="E103" s="12"/>
      <c r="F103" s="155"/>
      <c r="G103" s="144"/>
      <c r="H103" s="144"/>
      <c r="I103" s="12"/>
      <c r="J103" s="22"/>
      <c r="K103" s="22"/>
      <c r="L103" s="22"/>
      <c r="M103" s="145"/>
      <c r="N103" s="144"/>
      <c r="O103" s="144"/>
      <c r="P103" s="152"/>
      <c r="Q103" s="22"/>
      <c r="R103" s="74"/>
      <c r="S103" s="22"/>
      <c r="T103" s="74"/>
      <c r="U103" s="45"/>
      <c r="V103" s="158"/>
      <c r="W103" s="45"/>
      <c r="X103" s="45"/>
      <c r="Y103" s="45"/>
      <c r="Z103" s="45"/>
      <c r="AA103" s="45"/>
      <c r="AB103" s="45"/>
      <c r="AC103" s="44"/>
      <c r="AD103" s="45"/>
      <c r="AE103" s="45"/>
      <c r="AF103" s="45"/>
      <c r="AG103" s="45"/>
      <c r="AH103" s="45"/>
      <c r="AI103" s="144"/>
      <c r="AJ103" s="144"/>
      <c r="AK103" s="45"/>
      <c r="AL103" s="45"/>
      <c r="AM103" s="144"/>
      <c r="AN103" s="144"/>
      <c r="AO103" s="144"/>
      <c r="AP103" s="22"/>
      <c r="AQ103" s="22"/>
      <c r="AR103" s="144"/>
      <c r="AS103" s="22"/>
      <c r="AT103" s="22"/>
      <c r="AU103" s="144"/>
      <c r="AV103" s="22"/>
      <c r="AW103" s="22"/>
      <c r="AX103" s="144"/>
      <c r="AY103" s="22"/>
      <c r="AZ103" s="22"/>
      <c r="BA103" s="144"/>
      <c r="BB103" s="22"/>
      <c r="BC103" s="22"/>
      <c r="BD103" s="144"/>
      <c r="BE103" s="144"/>
      <c r="BF103" s="22"/>
      <c r="BG103" s="144"/>
      <c r="BH103" s="144"/>
      <c r="BI103" s="144"/>
      <c r="BJ103" s="144"/>
      <c r="BK103" s="144"/>
      <c r="BL103" s="22"/>
      <c r="BM103" s="144"/>
      <c r="BN103" s="144"/>
      <c r="BO103" s="22"/>
      <c r="BP103" s="144"/>
      <c r="BQ103" s="22"/>
      <c r="BR103" s="144"/>
      <c r="BS103" s="144"/>
      <c r="BT103" s="22"/>
      <c r="BU103" s="144"/>
      <c r="BV103" s="144"/>
      <c r="BW103" s="22"/>
      <c r="BX103" s="22"/>
      <c r="BY103" s="144"/>
      <c r="BZ103" s="22"/>
      <c r="CA103" s="22"/>
      <c r="CB103" s="144"/>
      <c r="CC103" s="22"/>
      <c r="CD103" s="22"/>
      <c r="CE103" s="144"/>
      <c r="CF103" s="22"/>
      <c r="CG103" s="22"/>
      <c r="CH103" s="144"/>
      <c r="CI103" s="22"/>
      <c r="CJ103" s="22"/>
      <c r="CK103" s="144"/>
      <c r="CL103" s="22"/>
      <c r="CM103" s="22"/>
      <c r="CN103" s="144"/>
      <c r="CO103" s="22"/>
      <c r="CP103" s="22"/>
      <c r="CQ103" s="144"/>
    </row>
    <row r="104" spans="1:95" ht="15.75" customHeight="1" x14ac:dyDescent="0.45">
      <c r="A104" s="22"/>
      <c r="B104" s="22"/>
      <c r="C104" s="12"/>
      <c r="D104" s="12"/>
      <c r="E104" s="12"/>
      <c r="F104" s="155"/>
      <c r="G104" s="144"/>
      <c r="H104" s="144"/>
      <c r="I104" s="12"/>
      <c r="J104" s="22"/>
      <c r="K104" s="22"/>
      <c r="L104" s="22"/>
      <c r="M104" s="145"/>
      <c r="N104" s="144"/>
      <c r="O104" s="144"/>
      <c r="P104" s="152"/>
      <c r="Q104" s="22"/>
      <c r="R104" s="74"/>
      <c r="S104" s="22"/>
      <c r="T104" s="74"/>
      <c r="U104" s="45"/>
      <c r="V104" s="158"/>
      <c r="W104" s="45"/>
      <c r="X104" s="45"/>
      <c r="Y104" s="45"/>
      <c r="Z104" s="45"/>
      <c r="AA104" s="45"/>
      <c r="AB104" s="45"/>
      <c r="AC104" s="44"/>
      <c r="AD104" s="45"/>
      <c r="AE104" s="45"/>
      <c r="AF104" s="45"/>
      <c r="AG104" s="45"/>
      <c r="AH104" s="45"/>
      <c r="AI104" s="144"/>
      <c r="AJ104" s="144"/>
      <c r="AK104" s="45"/>
      <c r="AL104" s="45"/>
      <c r="AM104" s="144"/>
      <c r="AN104" s="144"/>
      <c r="AO104" s="144"/>
      <c r="AP104" s="22"/>
      <c r="AQ104" s="22"/>
      <c r="AR104" s="144"/>
      <c r="AS104" s="22"/>
      <c r="AT104" s="22"/>
      <c r="AU104" s="144"/>
      <c r="AV104" s="22"/>
      <c r="AW104" s="22"/>
      <c r="AX104" s="144"/>
      <c r="AY104" s="22"/>
      <c r="AZ104" s="22"/>
      <c r="BA104" s="144"/>
      <c r="BB104" s="22"/>
      <c r="BC104" s="22"/>
      <c r="BD104" s="144"/>
      <c r="BE104" s="144"/>
      <c r="BF104" s="22"/>
      <c r="BG104" s="144"/>
      <c r="BH104" s="144"/>
      <c r="BI104" s="144"/>
      <c r="BJ104" s="144"/>
      <c r="BK104" s="144"/>
      <c r="BL104" s="22"/>
      <c r="BM104" s="144"/>
      <c r="BN104" s="144"/>
      <c r="BO104" s="22"/>
      <c r="BP104" s="144"/>
      <c r="BQ104" s="22"/>
      <c r="BR104" s="144"/>
      <c r="BS104" s="144"/>
      <c r="BT104" s="22"/>
      <c r="BU104" s="144"/>
      <c r="BV104" s="144"/>
      <c r="BW104" s="22"/>
      <c r="BX104" s="22"/>
      <c r="BY104" s="144"/>
      <c r="BZ104" s="22"/>
      <c r="CA104" s="22"/>
      <c r="CB104" s="144"/>
      <c r="CC104" s="22"/>
      <c r="CD104" s="22"/>
      <c r="CE104" s="144"/>
      <c r="CF104" s="22"/>
      <c r="CG104" s="22"/>
      <c r="CH104" s="144"/>
      <c r="CI104" s="22"/>
      <c r="CJ104" s="22"/>
      <c r="CK104" s="144"/>
      <c r="CL104" s="22"/>
      <c r="CM104" s="22"/>
      <c r="CN104" s="144"/>
      <c r="CO104" s="22"/>
      <c r="CP104" s="22"/>
      <c r="CQ104" s="144"/>
    </row>
    <row r="105" spans="1:95" ht="15.75" customHeight="1" x14ac:dyDescent="0.45">
      <c r="A105" s="22"/>
      <c r="B105" s="22"/>
      <c r="C105" s="12"/>
      <c r="D105" s="12"/>
      <c r="E105" s="12"/>
      <c r="F105" s="155"/>
      <c r="G105" s="144"/>
      <c r="H105" s="144"/>
      <c r="I105" s="12"/>
      <c r="J105" s="22"/>
      <c r="K105" s="22"/>
      <c r="L105" s="22"/>
      <c r="M105" s="145"/>
      <c r="N105" s="144"/>
      <c r="O105" s="144"/>
      <c r="P105" s="152"/>
      <c r="Q105" s="22"/>
      <c r="R105" s="74"/>
      <c r="S105" s="22"/>
      <c r="T105" s="74"/>
      <c r="U105" s="45"/>
      <c r="V105" s="158"/>
      <c r="W105" s="45"/>
      <c r="X105" s="45"/>
      <c r="Y105" s="45"/>
      <c r="Z105" s="45"/>
      <c r="AA105" s="45"/>
      <c r="AB105" s="45"/>
      <c r="AC105" s="44"/>
      <c r="AD105" s="45"/>
      <c r="AE105" s="45"/>
      <c r="AF105" s="45"/>
      <c r="AG105" s="45"/>
      <c r="AH105" s="45"/>
      <c r="AI105" s="144"/>
      <c r="AJ105" s="144"/>
      <c r="AK105" s="45"/>
      <c r="AL105" s="45"/>
      <c r="AM105" s="144"/>
      <c r="AN105" s="144"/>
      <c r="AO105" s="144"/>
      <c r="AP105" s="22"/>
      <c r="AQ105" s="22"/>
      <c r="AR105" s="144"/>
      <c r="AS105" s="22"/>
      <c r="AT105" s="22"/>
      <c r="AU105" s="144"/>
      <c r="AV105" s="22"/>
      <c r="AW105" s="22"/>
      <c r="AX105" s="144"/>
      <c r="AY105" s="22"/>
      <c r="AZ105" s="22"/>
      <c r="BA105" s="144"/>
      <c r="BB105" s="22"/>
      <c r="BC105" s="22"/>
      <c r="BD105" s="144"/>
      <c r="BE105" s="144"/>
      <c r="BF105" s="22"/>
      <c r="BG105" s="144"/>
      <c r="BH105" s="144"/>
      <c r="BI105" s="144"/>
      <c r="BJ105" s="144"/>
      <c r="BK105" s="144"/>
      <c r="BL105" s="22"/>
      <c r="BM105" s="144"/>
      <c r="BN105" s="144"/>
      <c r="BO105" s="22"/>
      <c r="BP105" s="144"/>
      <c r="BQ105" s="22"/>
      <c r="BR105" s="144"/>
      <c r="BS105" s="144"/>
      <c r="BT105" s="22"/>
      <c r="BU105" s="144"/>
      <c r="BV105" s="144"/>
      <c r="BW105" s="22"/>
      <c r="BX105" s="22"/>
      <c r="BY105" s="144"/>
      <c r="BZ105" s="22"/>
      <c r="CA105" s="22"/>
      <c r="CB105" s="144"/>
      <c r="CC105" s="22"/>
      <c r="CD105" s="22"/>
      <c r="CE105" s="144"/>
      <c r="CF105" s="22"/>
      <c r="CG105" s="22"/>
      <c r="CH105" s="144"/>
      <c r="CI105" s="22"/>
      <c r="CJ105" s="22"/>
      <c r="CK105" s="144"/>
      <c r="CL105" s="22"/>
      <c r="CM105" s="22"/>
      <c r="CN105" s="144"/>
      <c r="CO105" s="22"/>
      <c r="CP105" s="22"/>
      <c r="CQ105" s="144"/>
    </row>
    <row r="106" spans="1:95" ht="15.75" customHeight="1" x14ac:dyDescent="0.45">
      <c r="A106" s="22"/>
      <c r="B106" s="22"/>
      <c r="C106" s="12"/>
      <c r="D106" s="12"/>
      <c r="E106" s="12"/>
      <c r="F106" s="155"/>
      <c r="G106" s="144"/>
      <c r="H106" s="144"/>
      <c r="I106" s="12"/>
      <c r="J106" s="22"/>
      <c r="K106" s="22"/>
      <c r="L106" s="22"/>
      <c r="M106" s="145"/>
      <c r="N106" s="144"/>
      <c r="O106" s="144"/>
      <c r="P106" s="152"/>
      <c r="Q106" s="22"/>
      <c r="R106" s="74"/>
      <c r="S106" s="22"/>
      <c r="T106" s="74"/>
      <c r="U106" s="45"/>
      <c r="V106" s="158"/>
      <c r="W106" s="45"/>
      <c r="X106" s="45"/>
      <c r="Y106" s="45"/>
      <c r="Z106" s="45"/>
      <c r="AA106" s="45"/>
      <c r="AB106" s="45"/>
      <c r="AC106" s="44"/>
      <c r="AD106" s="45"/>
      <c r="AE106" s="45"/>
      <c r="AF106" s="45"/>
      <c r="AG106" s="45"/>
      <c r="AH106" s="45"/>
      <c r="AI106" s="144"/>
      <c r="AJ106" s="144"/>
      <c r="AK106" s="45"/>
      <c r="AL106" s="45"/>
      <c r="AM106" s="144"/>
      <c r="AN106" s="144"/>
      <c r="AO106" s="144"/>
      <c r="AP106" s="22"/>
      <c r="AQ106" s="22"/>
      <c r="AR106" s="144"/>
      <c r="AS106" s="22"/>
      <c r="AT106" s="22"/>
      <c r="AU106" s="144"/>
      <c r="AV106" s="22"/>
      <c r="AW106" s="22"/>
      <c r="AX106" s="144"/>
      <c r="AY106" s="22"/>
      <c r="AZ106" s="22"/>
      <c r="BA106" s="144"/>
      <c r="BB106" s="22"/>
      <c r="BC106" s="22"/>
      <c r="BD106" s="144"/>
      <c r="BE106" s="144"/>
      <c r="BF106" s="22"/>
      <c r="BG106" s="144"/>
      <c r="BH106" s="144"/>
      <c r="BI106" s="144"/>
      <c r="BJ106" s="144"/>
      <c r="BK106" s="144"/>
      <c r="BL106" s="22"/>
      <c r="BM106" s="144"/>
      <c r="BN106" s="144"/>
      <c r="BO106" s="22"/>
      <c r="BP106" s="144"/>
      <c r="BQ106" s="22"/>
      <c r="BR106" s="144"/>
      <c r="BS106" s="144"/>
      <c r="BT106" s="22"/>
      <c r="BU106" s="144"/>
      <c r="BV106" s="144"/>
      <c r="BW106" s="22"/>
      <c r="BX106" s="22"/>
      <c r="BY106" s="144"/>
      <c r="BZ106" s="22"/>
      <c r="CA106" s="22"/>
      <c r="CB106" s="144"/>
      <c r="CC106" s="22"/>
      <c r="CD106" s="22"/>
      <c r="CE106" s="144"/>
      <c r="CF106" s="22"/>
      <c r="CG106" s="22"/>
      <c r="CH106" s="144"/>
      <c r="CI106" s="22"/>
      <c r="CJ106" s="22"/>
      <c r="CK106" s="144"/>
      <c r="CL106" s="22"/>
      <c r="CM106" s="22"/>
      <c r="CN106" s="144"/>
      <c r="CO106" s="22"/>
      <c r="CP106" s="22"/>
      <c r="CQ106" s="144"/>
    </row>
    <row r="107" spans="1:95" ht="15.75" customHeight="1" x14ac:dyDescent="0.45">
      <c r="A107" s="22"/>
      <c r="B107" s="22"/>
      <c r="C107" s="12"/>
      <c r="D107" s="12"/>
      <c r="E107" s="12"/>
      <c r="F107" s="155"/>
      <c r="G107" s="144"/>
      <c r="H107" s="144"/>
      <c r="I107" s="12"/>
      <c r="J107" s="22"/>
      <c r="K107" s="22"/>
      <c r="L107" s="22"/>
      <c r="M107" s="145"/>
      <c r="N107" s="144"/>
      <c r="O107" s="144"/>
      <c r="P107" s="152"/>
      <c r="Q107" s="22"/>
      <c r="R107" s="74"/>
      <c r="S107" s="22"/>
      <c r="T107" s="74"/>
      <c r="U107" s="45"/>
      <c r="V107" s="158"/>
      <c r="W107" s="45"/>
      <c r="X107" s="45"/>
      <c r="Y107" s="45"/>
      <c r="Z107" s="45"/>
      <c r="AA107" s="45"/>
      <c r="AB107" s="45"/>
      <c r="AC107" s="44"/>
      <c r="AD107" s="45"/>
      <c r="AE107" s="45"/>
      <c r="AF107" s="45"/>
      <c r="AG107" s="45"/>
      <c r="AH107" s="45"/>
      <c r="AI107" s="144"/>
      <c r="AJ107" s="144"/>
      <c r="AK107" s="45"/>
      <c r="AL107" s="45"/>
      <c r="AM107" s="144"/>
      <c r="AN107" s="144"/>
      <c r="AO107" s="144"/>
      <c r="AP107" s="22"/>
      <c r="AQ107" s="22"/>
      <c r="AR107" s="144"/>
      <c r="AS107" s="22"/>
      <c r="AT107" s="22"/>
      <c r="AU107" s="144"/>
      <c r="AV107" s="22"/>
      <c r="AW107" s="22"/>
      <c r="AX107" s="144"/>
      <c r="AY107" s="22"/>
      <c r="AZ107" s="22"/>
      <c r="BA107" s="144"/>
      <c r="BB107" s="22"/>
      <c r="BC107" s="22"/>
      <c r="BD107" s="144"/>
      <c r="BE107" s="144"/>
      <c r="BF107" s="22"/>
      <c r="BG107" s="144"/>
      <c r="BH107" s="144"/>
      <c r="BI107" s="144"/>
      <c r="BJ107" s="144"/>
      <c r="BK107" s="144"/>
      <c r="BL107" s="22"/>
      <c r="BM107" s="144"/>
      <c r="BN107" s="144"/>
      <c r="BO107" s="22"/>
      <c r="BP107" s="144"/>
      <c r="BQ107" s="22"/>
      <c r="BR107" s="144"/>
      <c r="BS107" s="144"/>
      <c r="BT107" s="22"/>
      <c r="BU107" s="144"/>
      <c r="BV107" s="144"/>
      <c r="BW107" s="22"/>
      <c r="BX107" s="22"/>
      <c r="BY107" s="144"/>
      <c r="BZ107" s="22"/>
      <c r="CA107" s="22"/>
      <c r="CB107" s="144"/>
      <c r="CC107" s="22"/>
      <c r="CD107" s="22"/>
      <c r="CE107" s="144"/>
      <c r="CF107" s="22"/>
      <c r="CG107" s="22"/>
      <c r="CH107" s="144"/>
      <c r="CI107" s="22"/>
      <c r="CJ107" s="22"/>
      <c r="CK107" s="144"/>
      <c r="CL107" s="22"/>
      <c r="CM107" s="22"/>
      <c r="CN107" s="144"/>
      <c r="CO107" s="22"/>
      <c r="CP107" s="22"/>
      <c r="CQ107" s="144"/>
    </row>
    <row r="108" spans="1:95" ht="15.75" customHeight="1" x14ac:dyDescent="0.45">
      <c r="A108" s="22"/>
      <c r="B108" s="22"/>
      <c r="C108" s="12"/>
      <c r="D108" s="12"/>
      <c r="E108" s="12"/>
      <c r="F108" s="155"/>
      <c r="G108" s="144"/>
      <c r="H108" s="144"/>
      <c r="I108" s="12"/>
      <c r="J108" s="22"/>
      <c r="K108" s="22"/>
      <c r="L108" s="22"/>
      <c r="M108" s="145"/>
      <c r="N108" s="144"/>
      <c r="O108" s="144"/>
      <c r="P108" s="152"/>
      <c r="Q108" s="22"/>
      <c r="R108" s="74"/>
      <c r="S108" s="22"/>
      <c r="T108" s="74"/>
      <c r="U108" s="45"/>
      <c r="V108" s="158"/>
      <c r="W108" s="45"/>
      <c r="X108" s="45"/>
      <c r="Y108" s="45"/>
      <c r="Z108" s="45"/>
      <c r="AA108" s="45"/>
      <c r="AB108" s="45"/>
      <c r="AC108" s="44"/>
      <c r="AD108" s="45"/>
      <c r="AE108" s="45"/>
      <c r="AF108" s="45"/>
      <c r="AG108" s="45"/>
      <c r="AH108" s="45"/>
      <c r="AI108" s="144"/>
      <c r="AJ108" s="144"/>
      <c r="AK108" s="45"/>
      <c r="AL108" s="45"/>
      <c r="AM108" s="144"/>
      <c r="AN108" s="144"/>
      <c r="AO108" s="144"/>
      <c r="AP108" s="22"/>
      <c r="AQ108" s="22"/>
      <c r="AR108" s="144"/>
      <c r="AS108" s="22"/>
      <c r="AT108" s="22"/>
      <c r="AU108" s="144"/>
      <c r="AV108" s="22"/>
      <c r="AW108" s="22"/>
      <c r="AX108" s="144"/>
      <c r="AY108" s="22"/>
      <c r="AZ108" s="22"/>
      <c r="BA108" s="144"/>
      <c r="BB108" s="22"/>
      <c r="BC108" s="22"/>
      <c r="BD108" s="144"/>
      <c r="BE108" s="144"/>
      <c r="BF108" s="22"/>
      <c r="BG108" s="144"/>
      <c r="BH108" s="144"/>
      <c r="BI108" s="144"/>
      <c r="BJ108" s="144"/>
      <c r="BK108" s="144"/>
      <c r="BL108" s="22"/>
      <c r="BM108" s="144"/>
      <c r="BN108" s="144"/>
      <c r="BO108" s="22"/>
      <c r="BP108" s="144"/>
      <c r="BQ108" s="22"/>
      <c r="BR108" s="144"/>
      <c r="BS108" s="144"/>
      <c r="BT108" s="22"/>
      <c r="BU108" s="144"/>
      <c r="BV108" s="144"/>
      <c r="BW108" s="22"/>
      <c r="BX108" s="22"/>
      <c r="BY108" s="144"/>
      <c r="BZ108" s="22"/>
      <c r="CA108" s="22"/>
      <c r="CB108" s="144"/>
      <c r="CC108" s="22"/>
      <c r="CD108" s="22"/>
      <c r="CE108" s="144"/>
      <c r="CF108" s="22"/>
      <c r="CG108" s="22"/>
      <c r="CH108" s="144"/>
      <c r="CI108" s="22"/>
      <c r="CJ108" s="22"/>
      <c r="CK108" s="144"/>
      <c r="CL108" s="22"/>
      <c r="CM108" s="22"/>
      <c r="CN108" s="144"/>
      <c r="CO108" s="22"/>
      <c r="CP108" s="22"/>
      <c r="CQ108" s="144"/>
    </row>
    <row r="109" spans="1:95" ht="15.75" customHeight="1" x14ac:dyDescent="0.45">
      <c r="A109" s="22"/>
      <c r="B109" s="22"/>
      <c r="C109" s="12"/>
      <c r="D109" s="12"/>
      <c r="E109" s="12"/>
      <c r="F109" s="155"/>
      <c r="G109" s="144"/>
      <c r="H109" s="144"/>
      <c r="I109" s="12"/>
      <c r="J109" s="22"/>
      <c r="K109" s="22"/>
      <c r="L109" s="22"/>
      <c r="M109" s="145"/>
      <c r="N109" s="144"/>
      <c r="O109" s="144"/>
      <c r="P109" s="152"/>
      <c r="Q109" s="22"/>
      <c r="R109" s="74"/>
      <c r="S109" s="22"/>
      <c r="T109" s="74"/>
      <c r="U109" s="45"/>
      <c r="V109" s="158"/>
      <c r="W109" s="45"/>
      <c r="X109" s="45"/>
      <c r="Y109" s="45"/>
      <c r="Z109" s="45"/>
      <c r="AA109" s="45"/>
      <c r="AB109" s="45"/>
      <c r="AC109" s="44"/>
      <c r="AD109" s="45"/>
      <c r="AE109" s="45"/>
      <c r="AF109" s="45"/>
      <c r="AG109" s="45"/>
      <c r="AH109" s="45"/>
      <c r="AI109" s="144"/>
      <c r="AJ109" s="144"/>
      <c r="AK109" s="45"/>
      <c r="AL109" s="45"/>
      <c r="AM109" s="144"/>
      <c r="AN109" s="144"/>
      <c r="AO109" s="144"/>
      <c r="AP109" s="22"/>
      <c r="AQ109" s="22"/>
      <c r="AR109" s="144"/>
      <c r="AS109" s="22"/>
      <c r="AT109" s="22"/>
      <c r="AU109" s="144"/>
      <c r="AV109" s="22"/>
      <c r="AW109" s="22"/>
      <c r="AX109" s="144"/>
      <c r="AY109" s="22"/>
      <c r="AZ109" s="22"/>
      <c r="BA109" s="144"/>
      <c r="BB109" s="22"/>
      <c r="BC109" s="22"/>
      <c r="BD109" s="144"/>
      <c r="BE109" s="144"/>
      <c r="BF109" s="22"/>
      <c r="BG109" s="144"/>
      <c r="BH109" s="144"/>
      <c r="BI109" s="144"/>
      <c r="BJ109" s="144"/>
      <c r="BK109" s="144"/>
      <c r="BL109" s="22"/>
      <c r="BM109" s="144"/>
      <c r="BN109" s="144"/>
      <c r="BO109" s="22"/>
      <c r="BP109" s="144"/>
      <c r="BQ109" s="22"/>
      <c r="BR109" s="144"/>
      <c r="BS109" s="144"/>
      <c r="BT109" s="22"/>
      <c r="BU109" s="144"/>
      <c r="BV109" s="144"/>
      <c r="BW109" s="22"/>
      <c r="BX109" s="22"/>
      <c r="BY109" s="144"/>
      <c r="BZ109" s="22"/>
      <c r="CA109" s="22"/>
      <c r="CB109" s="144"/>
      <c r="CC109" s="22"/>
      <c r="CD109" s="22"/>
      <c r="CE109" s="144"/>
      <c r="CF109" s="22"/>
      <c r="CG109" s="22"/>
      <c r="CH109" s="144"/>
      <c r="CI109" s="22"/>
      <c r="CJ109" s="22"/>
      <c r="CK109" s="144"/>
      <c r="CL109" s="22"/>
      <c r="CM109" s="22"/>
      <c r="CN109" s="144"/>
      <c r="CO109" s="22"/>
      <c r="CP109" s="22"/>
      <c r="CQ109" s="144"/>
    </row>
    <row r="110" spans="1:95" ht="15.75" customHeight="1" x14ac:dyDescent="0.45">
      <c r="A110" s="22"/>
      <c r="B110" s="22"/>
      <c r="C110" s="12"/>
      <c r="D110" s="12"/>
      <c r="E110" s="12"/>
      <c r="F110" s="155"/>
      <c r="G110" s="144"/>
      <c r="H110" s="144"/>
      <c r="I110" s="12"/>
      <c r="J110" s="22"/>
      <c r="K110" s="22"/>
      <c r="L110" s="22"/>
      <c r="M110" s="145"/>
      <c r="N110" s="144"/>
      <c r="O110" s="144"/>
      <c r="P110" s="152"/>
      <c r="Q110" s="22"/>
      <c r="R110" s="74"/>
      <c r="S110" s="22"/>
      <c r="T110" s="74"/>
      <c r="U110" s="45"/>
      <c r="V110" s="158"/>
      <c r="W110" s="45"/>
      <c r="X110" s="45"/>
      <c r="Y110" s="45"/>
      <c r="Z110" s="45"/>
      <c r="AA110" s="45"/>
      <c r="AB110" s="45"/>
      <c r="AC110" s="44"/>
      <c r="AD110" s="45"/>
      <c r="AE110" s="45"/>
      <c r="AF110" s="45"/>
      <c r="AG110" s="45"/>
      <c r="AH110" s="45"/>
      <c r="AI110" s="144"/>
      <c r="AJ110" s="144"/>
      <c r="AK110" s="45"/>
      <c r="AL110" s="45"/>
      <c r="AM110" s="144"/>
      <c r="AN110" s="144"/>
      <c r="AO110" s="144"/>
      <c r="AP110" s="22"/>
      <c r="AQ110" s="22"/>
      <c r="AR110" s="144"/>
      <c r="AS110" s="22"/>
      <c r="AT110" s="22"/>
      <c r="AU110" s="144"/>
      <c r="AV110" s="22"/>
      <c r="AW110" s="22"/>
      <c r="AX110" s="144"/>
      <c r="AY110" s="22"/>
      <c r="AZ110" s="22"/>
      <c r="BA110" s="144"/>
      <c r="BB110" s="22"/>
      <c r="BC110" s="22"/>
      <c r="BD110" s="144"/>
      <c r="BE110" s="144"/>
      <c r="BF110" s="22"/>
      <c r="BG110" s="144"/>
      <c r="BH110" s="144"/>
      <c r="BI110" s="144"/>
      <c r="BJ110" s="144"/>
      <c r="BK110" s="144"/>
      <c r="BL110" s="22"/>
      <c r="BM110" s="144"/>
      <c r="BN110" s="144"/>
      <c r="BO110" s="22"/>
      <c r="BP110" s="144"/>
      <c r="BQ110" s="22"/>
      <c r="BR110" s="144"/>
      <c r="BS110" s="144"/>
      <c r="BT110" s="22"/>
      <c r="BU110" s="144"/>
      <c r="BV110" s="144"/>
      <c r="BW110" s="22"/>
      <c r="BX110" s="22"/>
      <c r="BY110" s="144"/>
      <c r="BZ110" s="22"/>
      <c r="CA110" s="22"/>
      <c r="CB110" s="144"/>
      <c r="CC110" s="22"/>
      <c r="CD110" s="22"/>
      <c r="CE110" s="144"/>
      <c r="CF110" s="22"/>
      <c r="CG110" s="22"/>
      <c r="CH110" s="144"/>
      <c r="CI110" s="22"/>
      <c r="CJ110" s="22"/>
      <c r="CK110" s="144"/>
      <c r="CL110" s="22"/>
      <c r="CM110" s="22"/>
      <c r="CN110" s="144"/>
      <c r="CO110" s="22"/>
      <c r="CP110" s="22"/>
      <c r="CQ110" s="144"/>
    </row>
    <row r="111" spans="1:95" ht="15.75" customHeight="1" x14ac:dyDescent="0.45">
      <c r="A111" s="22"/>
      <c r="B111" s="22"/>
      <c r="C111" s="12"/>
      <c r="D111" s="12"/>
      <c r="E111" s="12"/>
      <c r="F111" s="155"/>
      <c r="G111" s="144"/>
      <c r="H111" s="144"/>
      <c r="I111" s="12"/>
      <c r="J111" s="22"/>
      <c r="K111" s="22"/>
      <c r="L111" s="22"/>
      <c r="M111" s="145"/>
      <c r="N111" s="144"/>
      <c r="O111" s="144"/>
      <c r="P111" s="152"/>
      <c r="Q111" s="22"/>
      <c r="R111" s="74"/>
      <c r="S111" s="22"/>
      <c r="T111" s="74"/>
      <c r="U111" s="45"/>
      <c r="V111" s="158"/>
      <c r="W111" s="45"/>
      <c r="X111" s="45"/>
      <c r="Y111" s="45"/>
      <c r="Z111" s="45"/>
      <c r="AA111" s="45"/>
      <c r="AB111" s="45"/>
      <c r="AC111" s="44"/>
      <c r="AD111" s="45"/>
      <c r="AE111" s="45"/>
      <c r="AF111" s="45"/>
      <c r="AG111" s="45"/>
      <c r="AH111" s="45"/>
      <c r="AI111" s="144"/>
      <c r="AJ111" s="144"/>
      <c r="AK111" s="45"/>
      <c r="AL111" s="45"/>
      <c r="AM111" s="144"/>
      <c r="AN111" s="144"/>
      <c r="AO111" s="144"/>
      <c r="AP111" s="22"/>
      <c r="AQ111" s="22"/>
      <c r="AR111" s="144"/>
      <c r="AS111" s="22"/>
      <c r="AT111" s="22"/>
      <c r="AU111" s="144"/>
      <c r="AV111" s="22"/>
      <c r="AW111" s="22"/>
      <c r="AX111" s="144"/>
      <c r="AY111" s="22"/>
      <c r="AZ111" s="22"/>
      <c r="BA111" s="144"/>
      <c r="BB111" s="22"/>
      <c r="BC111" s="22"/>
      <c r="BD111" s="144"/>
      <c r="BE111" s="144"/>
      <c r="BF111" s="22"/>
      <c r="BG111" s="144"/>
      <c r="BH111" s="144"/>
      <c r="BI111" s="144"/>
      <c r="BJ111" s="144"/>
      <c r="BK111" s="144"/>
      <c r="BL111" s="22"/>
      <c r="BM111" s="144"/>
      <c r="BN111" s="144"/>
      <c r="BO111" s="22"/>
      <c r="BP111" s="144"/>
      <c r="BQ111" s="22"/>
      <c r="BR111" s="144"/>
      <c r="BS111" s="144"/>
      <c r="BT111" s="22"/>
      <c r="BU111" s="144"/>
      <c r="BV111" s="144"/>
      <c r="BW111" s="22"/>
      <c r="BX111" s="22"/>
      <c r="BY111" s="144"/>
      <c r="BZ111" s="22"/>
      <c r="CA111" s="22"/>
      <c r="CB111" s="144"/>
      <c r="CC111" s="22"/>
      <c r="CD111" s="22"/>
      <c r="CE111" s="144"/>
      <c r="CF111" s="22"/>
      <c r="CG111" s="22"/>
      <c r="CH111" s="144"/>
      <c r="CI111" s="22"/>
      <c r="CJ111" s="22"/>
      <c r="CK111" s="144"/>
      <c r="CL111" s="22"/>
      <c r="CM111" s="22"/>
      <c r="CN111" s="144"/>
      <c r="CO111" s="22"/>
      <c r="CP111" s="22"/>
      <c r="CQ111" s="144"/>
    </row>
    <row r="112" spans="1:95" ht="15.75" customHeight="1" x14ac:dyDescent="0.45">
      <c r="A112" s="22"/>
      <c r="B112" s="22"/>
      <c r="C112" s="12"/>
      <c r="D112" s="12"/>
      <c r="E112" s="12"/>
      <c r="F112" s="155"/>
      <c r="G112" s="144"/>
      <c r="H112" s="144"/>
      <c r="I112" s="12"/>
      <c r="J112" s="22"/>
      <c r="K112" s="22"/>
      <c r="L112" s="22"/>
      <c r="M112" s="145"/>
      <c r="N112" s="144"/>
      <c r="O112" s="144"/>
      <c r="P112" s="152"/>
      <c r="Q112" s="22"/>
      <c r="R112" s="74"/>
      <c r="S112" s="22"/>
      <c r="T112" s="74"/>
      <c r="U112" s="45"/>
      <c r="V112" s="158"/>
      <c r="W112" s="45"/>
      <c r="X112" s="45"/>
      <c r="Y112" s="45"/>
      <c r="Z112" s="45"/>
      <c r="AA112" s="45"/>
      <c r="AB112" s="45"/>
      <c r="AC112" s="44"/>
      <c r="AD112" s="45"/>
      <c r="AE112" s="45"/>
      <c r="AF112" s="45"/>
      <c r="AG112" s="45"/>
      <c r="AH112" s="45"/>
      <c r="AI112" s="144"/>
      <c r="AJ112" s="144"/>
      <c r="AK112" s="45"/>
      <c r="AL112" s="45"/>
      <c r="AM112" s="144"/>
      <c r="AN112" s="144"/>
      <c r="AO112" s="144"/>
      <c r="AP112" s="22"/>
      <c r="AQ112" s="22"/>
      <c r="AR112" s="144"/>
      <c r="AS112" s="22"/>
      <c r="AT112" s="22"/>
      <c r="AU112" s="144"/>
      <c r="AV112" s="22"/>
      <c r="AW112" s="22"/>
      <c r="AX112" s="144"/>
      <c r="AY112" s="22"/>
      <c r="AZ112" s="22"/>
      <c r="BA112" s="144"/>
      <c r="BB112" s="22"/>
      <c r="BC112" s="22"/>
      <c r="BD112" s="144"/>
      <c r="BE112" s="144"/>
      <c r="BF112" s="22"/>
      <c r="BG112" s="144"/>
      <c r="BH112" s="144"/>
      <c r="BI112" s="144"/>
      <c r="BJ112" s="144"/>
      <c r="BK112" s="144"/>
      <c r="BL112" s="22"/>
      <c r="BM112" s="144"/>
      <c r="BN112" s="144"/>
      <c r="BO112" s="22"/>
      <c r="BP112" s="144"/>
      <c r="BQ112" s="22"/>
      <c r="BR112" s="144"/>
      <c r="BS112" s="144"/>
      <c r="BT112" s="22"/>
      <c r="BU112" s="144"/>
      <c r="BV112" s="144"/>
      <c r="BW112" s="22"/>
      <c r="BX112" s="22"/>
      <c r="BY112" s="144"/>
      <c r="BZ112" s="22"/>
      <c r="CA112" s="22"/>
      <c r="CB112" s="144"/>
      <c r="CC112" s="22"/>
      <c r="CD112" s="22"/>
      <c r="CE112" s="144"/>
      <c r="CF112" s="22"/>
      <c r="CG112" s="22"/>
      <c r="CH112" s="144"/>
      <c r="CI112" s="22"/>
      <c r="CJ112" s="22"/>
      <c r="CK112" s="144"/>
      <c r="CL112" s="22"/>
      <c r="CM112" s="22"/>
      <c r="CN112" s="144"/>
      <c r="CO112" s="22"/>
      <c r="CP112" s="22"/>
      <c r="CQ112" s="144"/>
    </row>
    <row r="113" spans="1:95" ht="15.75" customHeight="1" x14ac:dyDescent="0.45">
      <c r="A113" s="22"/>
      <c r="B113" s="22"/>
      <c r="C113" s="12"/>
      <c r="D113" s="12"/>
      <c r="E113" s="12"/>
      <c r="F113" s="155"/>
      <c r="G113" s="144"/>
      <c r="H113" s="144"/>
      <c r="I113" s="12"/>
      <c r="J113" s="22"/>
      <c r="K113" s="22"/>
      <c r="L113" s="22"/>
      <c r="M113" s="145"/>
      <c r="N113" s="144"/>
      <c r="O113" s="144"/>
      <c r="P113" s="152"/>
      <c r="Q113" s="22"/>
      <c r="R113" s="74"/>
      <c r="S113" s="22"/>
      <c r="T113" s="74"/>
      <c r="U113" s="45"/>
      <c r="V113" s="158"/>
      <c r="W113" s="45"/>
      <c r="X113" s="45"/>
      <c r="Y113" s="45"/>
      <c r="Z113" s="45"/>
      <c r="AA113" s="45"/>
      <c r="AB113" s="45"/>
      <c r="AC113" s="44"/>
      <c r="AD113" s="45"/>
      <c r="AE113" s="45"/>
      <c r="AF113" s="45"/>
      <c r="AG113" s="45"/>
      <c r="AH113" s="45"/>
      <c r="AI113" s="144"/>
      <c r="AJ113" s="144"/>
      <c r="AK113" s="45"/>
      <c r="AL113" s="45"/>
      <c r="AM113" s="144"/>
      <c r="AN113" s="144"/>
      <c r="AO113" s="144"/>
      <c r="AP113" s="22"/>
      <c r="AQ113" s="22"/>
      <c r="AR113" s="144"/>
      <c r="AS113" s="22"/>
      <c r="AT113" s="22"/>
      <c r="AU113" s="144"/>
      <c r="AV113" s="22"/>
      <c r="AW113" s="22"/>
      <c r="AX113" s="144"/>
      <c r="AY113" s="22"/>
      <c r="AZ113" s="22"/>
      <c r="BA113" s="144"/>
      <c r="BB113" s="22"/>
      <c r="BC113" s="22"/>
      <c r="BD113" s="144"/>
      <c r="BE113" s="144"/>
      <c r="BF113" s="22"/>
      <c r="BG113" s="144"/>
      <c r="BH113" s="144"/>
      <c r="BI113" s="144"/>
      <c r="BJ113" s="144"/>
      <c r="BK113" s="144"/>
      <c r="BL113" s="22"/>
      <c r="BM113" s="144"/>
      <c r="BN113" s="144"/>
      <c r="BO113" s="22"/>
      <c r="BP113" s="144"/>
      <c r="BQ113" s="22"/>
      <c r="BR113" s="144"/>
      <c r="BS113" s="144"/>
      <c r="BT113" s="22"/>
      <c r="BU113" s="144"/>
      <c r="BV113" s="144"/>
      <c r="BW113" s="22"/>
      <c r="BX113" s="22"/>
      <c r="BY113" s="144"/>
      <c r="BZ113" s="22"/>
      <c r="CA113" s="22"/>
      <c r="CB113" s="144"/>
      <c r="CC113" s="22"/>
      <c r="CD113" s="22"/>
      <c r="CE113" s="144"/>
      <c r="CF113" s="22"/>
      <c r="CG113" s="22"/>
      <c r="CH113" s="144"/>
      <c r="CI113" s="22"/>
      <c r="CJ113" s="22"/>
      <c r="CK113" s="144"/>
      <c r="CL113" s="22"/>
      <c r="CM113" s="22"/>
      <c r="CN113" s="144"/>
      <c r="CO113" s="22"/>
      <c r="CP113" s="22"/>
      <c r="CQ113" s="144"/>
    </row>
    <row r="114" spans="1:95" ht="15.75" customHeight="1" x14ac:dyDescent="0.45">
      <c r="A114" s="22"/>
      <c r="B114" s="22"/>
      <c r="C114" s="12"/>
      <c r="D114" s="12"/>
      <c r="E114" s="12"/>
      <c r="F114" s="155"/>
      <c r="G114" s="144"/>
      <c r="H114" s="144"/>
      <c r="I114" s="12"/>
      <c r="J114" s="22"/>
      <c r="K114" s="22"/>
      <c r="L114" s="22"/>
      <c r="M114" s="145"/>
      <c r="N114" s="144"/>
      <c r="O114" s="144"/>
      <c r="P114" s="152"/>
      <c r="Q114" s="22"/>
      <c r="R114" s="74"/>
      <c r="S114" s="22"/>
      <c r="T114" s="74"/>
      <c r="U114" s="45"/>
      <c r="V114" s="158"/>
      <c r="W114" s="45"/>
      <c r="X114" s="45"/>
      <c r="Y114" s="45"/>
      <c r="Z114" s="45"/>
      <c r="AA114" s="45"/>
      <c r="AB114" s="45"/>
      <c r="AC114" s="44"/>
      <c r="AD114" s="45"/>
      <c r="AE114" s="45"/>
      <c r="AF114" s="45"/>
      <c r="AG114" s="45"/>
      <c r="AH114" s="45"/>
      <c r="AI114" s="144"/>
      <c r="AJ114" s="144"/>
      <c r="AK114" s="45"/>
      <c r="AL114" s="45"/>
      <c r="AM114" s="144"/>
      <c r="AN114" s="144"/>
      <c r="AO114" s="144"/>
      <c r="AP114" s="22"/>
      <c r="AQ114" s="22"/>
      <c r="AR114" s="144"/>
      <c r="AS114" s="22"/>
      <c r="AT114" s="22"/>
      <c r="AU114" s="144"/>
      <c r="AV114" s="22"/>
      <c r="AW114" s="22"/>
      <c r="AX114" s="144"/>
      <c r="AY114" s="22"/>
      <c r="AZ114" s="22"/>
      <c r="BA114" s="144"/>
      <c r="BB114" s="22"/>
      <c r="BC114" s="22"/>
      <c r="BD114" s="144"/>
      <c r="BE114" s="144"/>
      <c r="BF114" s="22"/>
      <c r="BG114" s="144"/>
      <c r="BH114" s="144"/>
      <c r="BI114" s="144"/>
      <c r="BJ114" s="144"/>
      <c r="BK114" s="144"/>
      <c r="BL114" s="22"/>
      <c r="BM114" s="144"/>
      <c r="BN114" s="144"/>
      <c r="BO114" s="22"/>
      <c r="BP114" s="144"/>
      <c r="BQ114" s="22"/>
      <c r="BR114" s="144"/>
      <c r="BS114" s="144"/>
      <c r="BT114" s="22"/>
      <c r="BU114" s="144"/>
      <c r="BV114" s="144"/>
      <c r="BW114" s="22"/>
      <c r="BX114" s="22"/>
      <c r="BY114" s="144"/>
      <c r="BZ114" s="22"/>
      <c r="CA114" s="22"/>
      <c r="CB114" s="144"/>
      <c r="CC114" s="22"/>
      <c r="CD114" s="22"/>
      <c r="CE114" s="144"/>
      <c r="CF114" s="22"/>
      <c r="CG114" s="22"/>
      <c r="CH114" s="144"/>
      <c r="CI114" s="22"/>
      <c r="CJ114" s="22"/>
      <c r="CK114" s="144"/>
      <c r="CL114" s="22"/>
      <c r="CM114" s="22"/>
      <c r="CN114" s="144"/>
      <c r="CO114" s="22"/>
      <c r="CP114" s="22"/>
      <c r="CQ114" s="144"/>
    </row>
    <row r="115" spans="1:95" ht="15.75" customHeight="1" x14ac:dyDescent="0.45">
      <c r="A115" s="22"/>
      <c r="B115" s="22"/>
      <c r="C115" s="12"/>
      <c r="D115" s="12"/>
      <c r="E115" s="12"/>
      <c r="F115" s="155"/>
      <c r="G115" s="144"/>
      <c r="H115" s="144"/>
      <c r="I115" s="12"/>
      <c r="J115" s="22"/>
      <c r="K115" s="22"/>
      <c r="L115" s="22"/>
      <c r="M115" s="145"/>
      <c r="N115" s="144"/>
      <c r="O115" s="144"/>
      <c r="P115" s="152"/>
      <c r="Q115" s="22"/>
      <c r="R115" s="74"/>
      <c r="S115" s="22"/>
      <c r="T115" s="74"/>
      <c r="U115" s="45"/>
      <c r="V115" s="158"/>
      <c r="W115" s="45"/>
      <c r="X115" s="45"/>
      <c r="Y115" s="45"/>
      <c r="Z115" s="45"/>
      <c r="AA115" s="45"/>
      <c r="AB115" s="45"/>
      <c r="AC115" s="44"/>
      <c r="AD115" s="45"/>
      <c r="AE115" s="45"/>
      <c r="AF115" s="45"/>
      <c r="AG115" s="45"/>
      <c r="AH115" s="45"/>
      <c r="AI115" s="144"/>
      <c r="AJ115" s="144"/>
      <c r="AK115" s="45"/>
      <c r="AL115" s="45"/>
      <c r="AM115" s="144"/>
      <c r="AN115" s="144"/>
      <c r="AO115" s="144"/>
      <c r="AP115" s="22"/>
      <c r="AQ115" s="22"/>
      <c r="AR115" s="144"/>
      <c r="AS115" s="22"/>
      <c r="AT115" s="22"/>
      <c r="AU115" s="144"/>
      <c r="AV115" s="22"/>
      <c r="AW115" s="22"/>
      <c r="AX115" s="144"/>
      <c r="AY115" s="22"/>
      <c r="AZ115" s="22"/>
      <c r="BA115" s="144"/>
      <c r="BB115" s="22"/>
      <c r="BC115" s="22"/>
      <c r="BD115" s="144"/>
      <c r="BE115" s="144"/>
      <c r="BF115" s="22"/>
      <c r="BG115" s="144"/>
      <c r="BH115" s="144"/>
      <c r="BI115" s="144"/>
      <c r="BJ115" s="144"/>
      <c r="BK115" s="144"/>
      <c r="BL115" s="22"/>
      <c r="BM115" s="144"/>
      <c r="BN115" s="144"/>
      <c r="BO115" s="22"/>
      <c r="BP115" s="144"/>
      <c r="BQ115" s="22"/>
      <c r="BR115" s="144"/>
      <c r="BS115" s="144"/>
      <c r="BT115" s="22"/>
      <c r="BU115" s="144"/>
      <c r="BV115" s="144"/>
      <c r="BW115" s="22"/>
      <c r="BX115" s="22"/>
      <c r="BY115" s="144"/>
      <c r="BZ115" s="22"/>
      <c r="CA115" s="22"/>
      <c r="CB115" s="144"/>
      <c r="CC115" s="22"/>
      <c r="CD115" s="22"/>
      <c r="CE115" s="144"/>
      <c r="CF115" s="22"/>
      <c r="CG115" s="22"/>
      <c r="CH115" s="144"/>
      <c r="CI115" s="22"/>
      <c r="CJ115" s="22"/>
      <c r="CK115" s="144"/>
      <c r="CL115" s="22"/>
      <c r="CM115" s="22"/>
      <c r="CN115" s="144"/>
      <c r="CO115" s="22"/>
      <c r="CP115" s="22"/>
      <c r="CQ115" s="144"/>
    </row>
    <row r="116" spans="1:95" ht="15.75" customHeight="1" x14ac:dyDescent="0.45">
      <c r="A116" s="22"/>
      <c r="B116" s="22"/>
      <c r="C116" s="12"/>
      <c r="D116" s="12"/>
      <c r="E116" s="12"/>
      <c r="F116" s="155"/>
      <c r="G116" s="144"/>
      <c r="H116" s="144"/>
      <c r="I116" s="12"/>
      <c r="J116" s="22"/>
      <c r="K116" s="22"/>
      <c r="L116" s="22"/>
      <c r="M116" s="145"/>
      <c r="N116" s="144"/>
      <c r="O116" s="144"/>
      <c r="P116" s="152"/>
      <c r="Q116" s="22"/>
      <c r="R116" s="74"/>
      <c r="S116" s="22"/>
      <c r="T116" s="74"/>
      <c r="U116" s="45"/>
      <c r="V116" s="158"/>
      <c r="W116" s="45"/>
      <c r="X116" s="45"/>
      <c r="Y116" s="45"/>
      <c r="Z116" s="45"/>
      <c r="AA116" s="45"/>
      <c r="AB116" s="45"/>
      <c r="AC116" s="44"/>
      <c r="AD116" s="45"/>
      <c r="AE116" s="45"/>
      <c r="AF116" s="45"/>
      <c r="AG116" s="45"/>
      <c r="AH116" s="45"/>
      <c r="AI116" s="144"/>
      <c r="AJ116" s="144"/>
      <c r="AK116" s="45"/>
      <c r="AL116" s="45"/>
      <c r="AM116" s="144"/>
      <c r="AN116" s="144"/>
      <c r="AO116" s="144"/>
      <c r="AP116" s="22"/>
      <c r="AQ116" s="22"/>
      <c r="AR116" s="144"/>
      <c r="AS116" s="22"/>
      <c r="AT116" s="22"/>
      <c r="AU116" s="144"/>
      <c r="AV116" s="22"/>
      <c r="AW116" s="22"/>
      <c r="AX116" s="144"/>
      <c r="AY116" s="22"/>
      <c r="AZ116" s="22"/>
      <c r="BA116" s="144"/>
      <c r="BB116" s="22"/>
      <c r="BC116" s="22"/>
      <c r="BD116" s="144"/>
      <c r="BE116" s="144"/>
      <c r="BF116" s="22"/>
      <c r="BG116" s="144"/>
      <c r="BH116" s="144"/>
      <c r="BI116" s="144"/>
      <c r="BJ116" s="144"/>
      <c r="BK116" s="144"/>
      <c r="BL116" s="22"/>
      <c r="BM116" s="144"/>
      <c r="BN116" s="144"/>
      <c r="BO116" s="22"/>
      <c r="BP116" s="144"/>
      <c r="BQ116" s="22"/>
      <c r="BR116" s="144"/>
      <c r="BS116" s="144"/>
      <c r="BT116" s="22"/>
      <c r="BU116" s="144"/>
      <c r="BV116" s="144"/>
      <c r="BW116" s="22"/>
      <c r="BX116" s="22"/>
      <c r="BY116" s="144"/>
      <c r="BZ116" s="22"/>
      <c r="CA116" s="22"/>
      <c r="CB116" s="144"/>
      <c r="CC116" s="22"/>
      <c r="CD116" s="22"/>
      <c r="CE116" s="144"/>
      <c r="CF116" s="22"/>
      <c r="CG116" s="22"/>
      <c r="CH116" s="144"/>
      <c r="CI116" s="22"/>
      <c r="CJ116" s="22"/>
      <c r="CK116" s="144"/>
      <c r="CL116" s="22"/>
      <c r="CM116" s="22"/>
      <c r="CN116" s="144"/>
      <c r="CO116" s="22"/>
      <c r="CP116" s="22"/>
      <c r="CQ116" s="144"/>
    </row>
    <row r="117" spans="1:95" ht="15.75" customHeight="1" x14ac:dyDescent="0.45">
      <c r="A117" s="22"/>
      <c r="B117" s="22"/>
      <c r="C117" s="12"/>
      <c r="D117" s="12"/>
      <c r="E117" s="12"/>
      <c r="F117" s="155"/>
      <c r="G117" s="144"/>
      <c r="H117" s="144"/>
      <c r="I117" s="12"/>
      <c r="J117" s="22"/>
      <c r="K117" s="22"/>
      <c r="L117" s="22"/>
      <c r="M117" s="145"/>
      <c r="N117" s="144"/>
      <c r="O117" s="144"/>
      <c r="P117" s="152"/>
      <c r="Q117" s="22"/>
      <c r="R117" s="74"/>
      <c r="S117" s="22"/>
      <c r="T117" s="74"/>
      <c r="U117" s="45"/>
      <c r="V117" s="158"/>
      <c r="W117" s="45"/>
      <c r="X117" s="45"/>
      <c r="Y117" s="45"/>
      <c r="Z117" s="45"/>
      <c r="AA117" s="45"/>
      <c r="AB117" s="45"/>
      <c r="AC117" s="44"/>
      <c r="AD117" s="45"/>
      <c r="AE117" s="45"/>
      <c r="AF117" s="45"/>
      <c r="AG117" s="45"/>
      <c r="AH117" s="45"/>
      <c r="AI117" s="144"/>
      <c r="AJ117" s="144"/>
      <c r="AK117" s="45"/>
      <c r="AL117" s="45"/>
      <c r="AM117" s="144"/>
      <c r="AN117" s="144"/>
      <c r="AO117" s="144"/>
      <c r="AP117" s="22"/>
      <c r="AQ117" s="22"/>
      <c r="AR117" s="144"/>
      <c r="AS117" s="22"/>
      <c r="AT117" s="22"/>
      <c r="AU117" s="144"/>
      <c r="AV117" s="22"/>
      <c r="AW117" s="22"/>
      <c r="AX117" s="144"/>
      <c r="AY117" s="22"/>
      <c r="AZ117" s="22"/>
      <c r="BA117" s="144"/>
      <c r="BB117" s="22"/>
      <c r="BC117" s="22"/>
      <c r="BD117" s="144"/>
      <c r="BE117" s="144"/>
      <c r="BF117" s="22"/>
      <c r="BG117" s="144"/>
      <c r="BH117" s="144"/>
      <c r="BI117" s="144"/>
      <c r="BJ117" s="144"/>
      <c r="BK117" s="144"/>
      <c r="BL117" s="22"/>
      <c r="BM117" s="144"/>
      <c r="BN117" s="144"/>
      <c r="BO117" s="22"/>
      <c r="BP117" s="144"/>
      <c r="BQ117" s="22"/>
      <c r="BR117" s="144"/>
      <c r="BS117" s="144"/>
      <c r="BT117" s="22"/>
      <c r="BU117" s="144"/>
      <c r="BV117" s="144"/>
      <c r="BW117" s="22"/>
      <c r="BX117" s="22"/>
      <c r="BY117" s="144"/>
      <c r="BZ117" s="22"/>
      <c r="CA117" s="22"/>
      <c r="CB117" s="144"/>
      <c r="CC117" s="22"/>
      <c r="CD117" s="22"/>
      <c r="CE117" s="144"/>
      <c r="CF117" s="22"/>
      <c r="CG117" s="22"/>
      <c r="CH117" s="144"/>
      <c r="CI117" s="22"/>
      <c r="CJ117" s="22"/>
      <c r="CK117" s="144"/>
      <c r="CL117" s="22"/>
      <c r="CM117" s="22"/>
      <c r="CN117" s="144"/>
      <c r="CO117" s="22"/>
      <c r="CP117" s="22"/>
      <c r="CQ117" s="144"/>
    </row>
    <row r="118" spans="1:95" ht="15.75" customHeight="1" x14ac:dyDescent="0.45">
      <c r="A118" s="22"/>
      <c r="B118" s="22"/>
      <c r="C118" s="12"/>
      <c r="D118" s="12"/>
      <c r="E118" s="12"/>
      <c r="F118" s="155"/>
      <c r="G118" s="144"/>
      <c r="H118" s="144"/>
      <c r="I118" s="12"/>
      <c r="J118" s="22"/>
      <c r="K118" s="22"/>
      <c r="L118" s="22"/>
      <c r="M118" s="145"/>
      <c r="N118" s="144"/>
      <c r="O118" s="144"/>
      <c r="P118" s="152"/>
      <c r="Q118" s="22"/>
      <c r="R118" s="74"/>
      <c r="S118" s="22"/>
      <c r="T118" s="74"/>
      <c r="U118" s="45"/>
      <c r="V118" s="158"/>
      <c r="W118" s="45"/>
      <c r="X118" s="45"/>
      <c r="Y118" s="45"/>
      <c r="Z118" s="45"/>
      <c r="AA118" s="45"/>
      <c r="AB118" s="45"/>
      <c r="AC118" s="44"/>
      <c r="AD118" s="45"/>
      <c r="AE118" s="45"/>
      <c r="AF118" s="45"/>
      <c r="AG118" s="45"/>
      <c r="AH118" s="45"/>
      <c r="AI118" s="144"/>
      <c r="AJ118" s="144"/>
      <c r="AK118" s="45"/>
      <c r="AL118" s="45"/>
      <c r="AM118" s="144"/>
      <c r="AN118" s="144"/>
      <c r="AO118" s="144"/>
      <c r="AP118" s="22"/>
      <c r="AQ118" s="22"/>
      <c r="AR118" s="144"/>
      <c r="AS118" s="22"/>
      <c r="AT118" s="22"/>
      <c r="AU118" s="144"/>
      <c r="AV118" s="22"/>
      <c r="AW118" s="22"/>
      <c r="AX118" s="144"/>
      <c r="AY118" s="22"/>
      <c r="AZ118" s="22"/>
      <c r="BA118" s="144"/>
      <c r="BB118" s="22"/>
      <c r="BC118" s="22"/>
      <c r="BD118" s="144"/>
      <c r="BE118" s="144"/>
      <c r="BF118" s="22"/>
      <c r="BG118" s="144"/>
      <c r="BH118" s="144"/>
      <c r="BI118" s="144"/>
      <c r="BJ118" s="144"/>
      <c r="BK118" s="144"/>
      <c r="BL118" s="22"/>
      <c r="BM118" s="144"/>
      <c r="BN118" s="144"/>
      <c r="BO118" s="22"/>
      <c r="BP118" s="144"/>
      <c r="BQ118" s="22"/>
      <c r="BR118" s="144"/>
      <c r="BS118" s="144"/>
      <c r="BT118" s="22"/>
      <c r="BU118" s="144"/>
      <c r="BV118" s="144"/>
      <c r="BW118" s="22"/>
      <c r="BX118" s="22"/>
      <c r="BY118" s="144"/>
      <c r="BZ118" s="22"/>
      <c r="CA118" s="22"/>
      <c r="CB118" s="144"/>
      <c r="CC118" s="22"/>
      <c r="CD118" s="22"/>
      <c r="CE118" s="144"/>
      <c r="CF118" s="22"/>
      <c r="CG118" s="22"/>
      <c r="CH118" s="144"/>
      <c r="CI118" s="22"/>
      <c r="CJ118" s="22"/>
      <c r="CK118" s="144"/>
      <c r="CL118" s="22"/>
      <c r="CM118" s="22"/>
      <c r="CN118" s="144"/>
      <c r="CO118" s="22"/>
      <c r="CP118" s="22"/>
      <c r="CQ118" s="144"/>
    </row>
    <row r="119" spans="1:95" ht="15.75" customHeight="1" x14ac:dyDescent="0.45">
      <c r="A119" s="22"/>
      <c r="B119" s="22"/>
      <c r="C119" s="12"/>
      <c r="D119" s="12"/>
      <c r="E119" s="12"/>
      <c r="F119" s="155"/>
      <c r="G119" s="144"/>
      <c r="H119" s="144"/>
      <c r="I119" s="12"/>
      <c r="J119" s="22"/>
      <c r="K119" s="22"/>
      <c r="L119" s="22"/>
      <c r="M119" s="145"/>
      <c r="N119" s="144"/>
      <c r="O119" s="144"/>
      <c r="P119" s="152"/>
      <c r="Q119" s="22"/>
      <c r="R119" s="74"/>
      <c r="S119" s="22"/>
      <c r="T119" s="74"/>
      <c r="U119" s="45"/>
      <c r="V119" s="158"/>
      <c r="W119" s="45"/>
      <c r="X119" s="45"/>
      <c r="Y119" s="45"/>
      <c r="Z119" s="45"/>
      <c r="AA119" s="45"/>
      <c r="AB119" s="45"/>
      <c r="AC119" s="44"/>
      <c r="AD119" s="45"/>
      <c r="AE119" s="45"/>
      <c r="AF119" s="45"/>
      <c r="AG119" s="45"/>
      <c r="AH119" s="45"/>
      <c r="AI119" s="144"/>
      <c r="AJ119" s="144"/>
      <c r="AK119" s="45"/>
      <c r="AL119" s="45"/>
      <c r="AM119" s="144"/>
      <c r="AN119" s="144"/>
      <c r="AO119" s="144"/>
      <c r="AP119" s="22"/>
      <c r="AQ119" s="22"/>
      <c r="AR119" s="144"/>
      <c r="AS119" s="22"/>
      <c r="AT119" s="22"/>
      <c r="AU119" s="144"/>
      <c r="AV119" s="22"/>
      <c r="AW119" s="22"/>
      <c r="AX119" s="144"/>
      <c r="AY119" s="22"/>
      <c r="AZ119" s="22"/>
      <c r="BA119" s="144"/>
      <c r="BB119" s="22"/>
      <c r="BC119" s="22"/>
      <c r="BD119" s="144"/>
      <c r="BE119" s="144"/>
      <c r="BF119" s="22"/>
      <c r="BG119" s="144"/>
      <c r="BH119" s="144"/>
      <c r="BI119" s="144"/>
      <c r="BJ119" s="144"/>
      <c r="BK119" s="144"/>
      <c r="BL119" s="22"/>
      <c r="BM119" s="144"/>
      <c r="BN119" s="144"/>
      <c r="BO119" s="22"/>
      <c r="BP119" s="144"/>
      <c r="BQ119" s="22"/>
      <c r="BR119" s="144"/>
      <c r="BS119" s="144"/>
      <c r="BT119" s="22"/>
      <c r="BU119" s="144"/>
      <c r="BV119" s="144"/>
      <c r="BW119" s="22"/>
      <c r="BX119" s="22"/>
      <c r="BY119" s="144"/>
      <c r="BZ119" s="22"/>
      <c r="CA119" s="22"/>
      <c r="CB119" s="144"/>
      <c r="CC119" s="22"/>
      <c r="CD119" s="22"/>
      <c r="CE119" s="144"/>
      <c r="CF119" s="22"/>
      <c r="CG119" s="22"/>
      <c r="CH119" s="144"/>
      <c r="CI119" s="22"/>
      <c r="CJ119" s="22"/>
      <c r="CK119" s="144"/>
      <c r="CL119" s="22"/>
      <c r="CM119" s="22"/>
      <c r="CN119" s="144"/>
      <c r="CO119" s="22"/>
      <c r="CP119" s="22"/>
      <c r="CQ119" s="144"/>
    </row>
    <row r="120" spans="1:95" ht="15.75" customHeight="1" x14ac:dyDescent="0.45">
      <c r="A120" s="22"/>
      <c r="B120" s="22"/>
      <c r="C120" s="12"/>
      <c r="D120" s="12"/>
      <c r="E120" s="12"/>
      <c r="F120" s="155"/>
      <c r="G120" s="144"/>
      <c r="H120" s="144"/>
      <c r="I120" s="12"/>
      <c r="J120" s="22"/>
      <c r="K120" s="22"/>
      <c r="L120" s="22"/>
      <c r="M120" s="145"/>
      <c r="N120" s="144"/>
      <c r="O120" s="144"/>
      <c r="P120" s="152"/>
      <c r="Q120" s="22"/>
      <c r="R120" s="74"/>
      <c r="S120" s="22"/>
      <c r="T120" s="74"/>
      <c r="U120" s="45"/>
      <c r="V120" s="158"/>
      <c r="W120" s="45"/>
      <c r="X120" s="45"/>
      <c r="Y120" s="45"/>
      <c r="Z120" s="45"/>
      <c r="AA120" s="45"/>
      <c r="AB120" s="45"/>
      <c r="AC120" s="44"/>
      <c r="AD120" s="45"/>
      <c r="AE120" s="45"/>
      <c r="AF120" s="45"/>
      <c r="AG120" s="45"/>
      <c r="AH120" s="45"/>
      <c r="AI120" s="144"/>
      <c r="AJ120" s="144"/>
      <c r="AK120" s="45"/>
      <c r="AL120" s="45"/>
      <c r="AM120" s="144"/>
      <c r="AN120" s="144"/>
      <c r="AO120" s="144"/>
      <c r="AP120" s="22"/>
      <c r="AQ120" s="22"/>
      <c r="AR120" s="144"/>
      <c r="AS120" s="22"/>
      <c r="AT120" s="22"/>
      <c r="AU120" s="144"/>
      <c r="AV120" s="22"/>
      <c r="AW120" s="22"/>
      <c r="AX120" s="144"/>
      <c r="AY120" s="22"/>
      <c r="AZ120" s="22"/>
      <c r="BA120" s="144"/>
      <c r="BB120" s="22"/>
      <c r="BC120" s="22"/>
      <c r="BD120" s="144"/>
      <c r="BE120" s="144"/>
      <c r="BF120" s="22"/>
      <c r="BG120" s="144"/>
      <c r="BH120" s="144"/>
      <c r="BI120" s="144"/>
      <c r="BJ120" s="144"/>
      <c r="BK120" s="144"/>
      <c r="BL120" s="22"/>
      <c r="BM120" s="144"/>
      <c r="BN120" s="144"/>
      <c r="BO120" s="22"/>
      <c r="BP120" s="144"/>
      <c r="BQ120" s="22"/>
      <c r="BR120" s="144"/>
      <c r="BS120" s="144"/>
      <c r="BT120" s="22"/>
      <c r="BU120" s="144"/>
      <c r="BV120" s="144"/>
      <c r="BW120" s="22"/>
      <c r="BX120" s="22"/>
      <c r="BY120" s="144"/>
      <c r="BZ120" s="22"/>
      <c r="CA120" s="22"/>
      <c r="CB120" s="144"/>
      <c r="CC120" s="22"/>
      <c r="CD120" s="22"/>
      <c r="CE120" s="144"/>
      <c r="CF120" s="22"/>
      <c r="CG120" s="22"/>
      <c r="CH120" s="144"/>
      <c r="CI120" s="22"/>
      <c r="CJ120" s="22"/>
      <c r="CK120" s="144"/>
      <c r="CL120" s="22"/>
      <c r="CM120" s="22"/>
      <c r="CN120" s="144"/>
      <c r="CO120" s="22"/>
      <c r="CP120" s="22"/>
      <c r="CQ120" s="144"/>
    </row>
    <row r="121" spans="1:95" ht="15.75" customHeight="1" x14ac:dyDescent="0.45">
      <c r="A121" s="22"/>
      <c r="B121" s="22"/>
      <c r="C121" s="12"/>
      <c r="D121" s="12"/>
      <c r="E121" s="12"/>
      <c r="F121" s="155"/>
      <c r="G121" s="144"/>
      <c r="H121" s="144"/>
      <c r="I121" s="12"/>
      <c r="J121" s="22"/>
      <c r="K121" s="22"/>
      <c r="L121" s="22"/>
      <c r="M121" s="145"/>
      <c r="N121" s="144"/>
      <c r="O121" s="144"/>
      <c r="P121" s="152"/>
      <c r="Q121" s="22"/>
      <c r="R121" s="74"/>
      <c r="S121" s="22"/>
      <c r="T121" s="74"/>
      <c r="U121" s="45"/>
      <c r="V121" s="158"/>
      <c r="W121" s="45"/>
      <c r="X121" s="45"/>
      <c r="Y121" s="45"/>
      <c r="Z121" s="45"/>
      <c r="AA121" s="45"/>
      <c r="AB121" s="45"/>
      <c r="AC121" s="44"/>
      <c r="AD121" s="45"/>
      <c r="AE121" s="45"/>
      <c r="AF121" s="45"/>
      <c r="AG121" s="45"/>
      <c r="AH121" s="45"/>
      <c r="AI121" s="144"/>
      <c r="AJ121" s="144"/>
      <c r="AK121" s="45"/>
      <c r="AL121" s="45"/>
      <c r="AM121" s="144"/>
      <c r="AN121" s="144"/>
      <c r="AO121" s="144"/>
      <c r="AP121" s="22"/>
      <c r="AQ121" s="22"/>
      <c r="AR121" s="144"/>
      <c r="AS121" s="22"/>
      <c r="AT121" s="22"/>
      <c r="AU121" s="144"/>
      <c r="AV121" s="22"/>
      <c r="AW121" s="22"/>
      <c r="AX121" s="144"/>
      <c r="AY121" s="22"/>
      <c r="AZ121" s="22"/>
      <c r="BA121" s="144"/>
      <c r="BB121" s="22"/>
      <c r="BC121" s="22"/>
      <c r="BD121" s="144"/>
      <c r="BE121" s="144"/>
      <c r="BF121" s="22"/>
      <c r="BG121" s="144"/>
      <c r="BH121" s="144"/>
      <c r="BI121" s="144"/>
      <c r="BJ121" s="144"/>
      <c r="BK121" s="144"/>
      <c r="BL121" s="22"/>
      <c r="BM121" s="144"/>
      <c r="BN121" s="144"/>
      <c r="BO121" s="22"/>
      <c r="BP121" s="144"/>
      <c r="BQ121" s="22"/>
      <c r="BR121" s="144"/>
      <c r="BS121" s="144"/>
      <c r="BT121" s="22"/>
      <c r="BU121" s="144"/>
      <c r="BV121" s="144"/>
      <c r="BW121" s="22"/>
      <c r="BX121" s="22"/>
      <c r="BY121" s="144"/>
      <c r="BZ121" s="22"/>
      <c r="CA121" s="22"/>
      <c r="CB121" s="144"/>
      <c r="CC121" s="22"/>
      <c r="CD121" s="22"/>
      <c r="CE121" s="144"/>
      <c r="CF121" s="22"/>
      <c r="CG121" s="22"/>
      <c r="CH121" s="144"/>
      <c r="CI121" s="22"/>
      <c r="CJ121" s="22"/>
      <c r="CK121" s="144"/>
      <c r="CL121" s="22"/>
      <c r="CM121" s="22"/>
      <c r="CN121" s="144"/>
      <c r="CO121" s="22"/>
      <c r="CP121" s="22"/>
      <c r="CQ121" s="144"/>
    </row>
    <row r="122" spans="1:95" ht="15.75" customHeight="1" x14ac:dyDescent="0.45">
      <c r="A122" s="22"/>
      <c r="B122" s="22"/>
      <c r="C122" s="12"/>
      <c r="D122" s="12"/>
      <c r="E122" s="12"/>
      <c r="F122" s="155"/>
      <c r="G122" s="144"/>
      <c r="H122" s="144"/>
      <c r="I122" s="12"/>
      <c r="J122" s="22"/>
      <c r="K122" s="22"/>
      <c r="L122" s="22"/>
      <c r="M122" s="145"/>
      <c r="N122" s="144"/>
      <c r="O122" s="144"/>
      <c r="P122" s="152"/>
      <c r="Q122" s="22"/>
      <c r="R122" s="152"/>
      <c r="S122" s="22"/>
      <c r="T122" s="74"/>
      <c r="U122" s="45"/>
      <c r="V122" s="158"/>
      <c r="W122" s="45"/>
      <c r="X122" s="45"/>
      <c r="Y122" s="45"/>
      <c r="Z122" s="45"/>
      <c r="AA122" s="45"/>
      <c r="AB122" s="45"/>
      <c r="AC122" s="44"/>
      <c r="AD122" s="45"/>
      <c r="AE122" s="45"/>
      <c r="AF122" s="45"/>
      <c r="AG122" s="45"/>
      <c r="AH122" s="45"/>
      <c r="AI122" s="144"/>
      <c r="AJ122" s="144"/>
      <c r="AK122" s="45"/>
      <c r="AL122" s="45"/>
      <c r="AM122" s="144"/>
      <c r="AN122" s="144"/>
      <c r="AO122" s="144"/>
      <c r="AP122" s="22"/>
      <c r="AQ122" s="22"/>
      <c r="AR122" s="144"/>
      <c r="AS122" s="22"/>
      <c r="AT122" s="22"/>
      <c r="AU122" s="144"/>
      <c r="AV122" s="22"/>
      <c r="AW122" s="22"/>
      <c r="AX122" s="144"/>
      <c r="AY122" s="22"/>
      <c r="AZ122" s="22"/>
      <c r="BA122" s="144"/>
      <c r="BB122" s="22"/>
      <c r="BC122" s="22"/>
      <c r="BD122" s="144"/>
      <c r="BE122" s="144"/>
      <c r="BF122" s="22"/>
      <c r="BG122" s="144"/>
      <c r="BH122" s="144"/>
      <c r="BI122" s="144"/>
      <c r="BJ122" s="144"/>
      <c r="BK122" s="144"/>
      <c r="BL122" s="22"/>
      <c r="BM122" s="144"/>
      <c r="BN122" s="144"/>
      <c r="BO122" s="22"/>
      <c r="BP122" s="144"/>
      <c r="BQ122" s="22"/>
      <c r="BR122" s="144"/>
      <c r="BS122" s="144"/>
      <c r="BT122" s="22"/>
      <c r="BU122" s="144"/>
      <c r="BV122" s="144"/>
      <c r="BW122" s="22"/>
      <c r="BX122" s="22"/>
      <c r="BY122" s="144"/>
      <c r="BZ122" s="22"/>
      <c r="CA122" s="22"/>
      <c r="CB122" s="144"/>
      <c r="CC122" s="22"/>
      <c r="CD122" s="22"/>
      <c r="CE122" s="144"/>
      <c r="CF122" s="22"/>
      <c r="CG122" s="22"/>
      <c r="CH122" s="144"/>
      <c r="CI122" s="22"/>
      <c r="CJ122" s="22"/>
      <c r="CK122" s="144"/>
      <c r="CL122" s="22"/>
      <c r="CM122" s="22"/>
      <c r="CN122" s="144"/>
      <c r="CO122" s="22"/>
      <c r="CP122" s="22"/>
      <c r="CQ122" s="144"/>
    </row>
    <row r="123" spans="1:95" ht="15.75" customHeight="1" x14ac:dyDescent="0.45">
      <c r="A123" s="22"/>
      <c r="B123" s="22"/>
      <c r="C123" s="12"/>
      <c r="D123" s="12"/>
      <c r="E123" s="12"/>
      <c r="F123" s="155"/>
      <c r="G123" s="144"/>
      <c r="H123" s="144"/>
      <c r="I123" s="12"/>
      <c r="J123" s="22"/>
      <c r="K123" s="22"/>
      <c r="L123" s="22"/>
      <c r="M123" s="145"/>
      <c r="N123" s="144"/>
      <c r="O123" s="144"/>
      <c r="P123" s="152"/>
      <c r="Q123" s="22"/>
      <c r="R123" s="152"/>
      <c r="S123" s="22"/>
      <c r="T123" s="74"/>
      <c r="U123" s="45"/>
      <c r="V123" s="158"/>
      <c r="W123" s="45"/>
      <c r="X123" s="45"/>
      <c r="Y123" s="45"/>
      <c r="Z123" s="45"/>
      <c r="AA123" s="45"/>
      <c r="AB123" s="45"/>
      <c r="AC123" s="44"/>
      <c r="AD123" s="45"/>
      <c r="AE123" s="45"/>
      <c r="AF123" s="45"/>
      <c r="AG123" s="45"/>
      <c r="AH123" s="45"/>
      <c r="AI123" s="144"/>
      <c r="AJ123" s="144"/>
      <c r="AK123" s="45"/>
      <c r="AL123" s="45"/>
      <c r="AM123" s="144"/>
      <c r="AN123" s="144"/>
      <c r="AO123" s="144"/>
      <c r="AP123" s="22"/>
      <c r="AQ123" s="22"/>
      <c r="AR123" s="144"/>
      <c r="AS123" s="22"/>
      <c r="AT123" s="22"/>
      <c r="AU123" s="144"/>
      <c r="AV123" s="22"/>
      <c r="AW123" s="22"/>
      <c r="AX123" s="144"/>
      <c r="AY123" s="22"/>
      <c r="AZ123" s="22"/>
      <c r="BA123" s="144"/>
      <c r="BB123" s="22"/>
      <c r="BC123" s="22"/>
      <c r="BD123" s="144"/>
      <c r="BE123" s="144"/>
      <c r="BF123" s="22"/>
      <c r="BG123" s="144"/>
      <c r="BH123" s="144"/>
      <c r="BI123" s="144"/>
      <c r="BJ123" s="144"/>
      <c r="BK123" s="144"/>
      <c r="BL123" s="22"/>
      <c r="BM123" s="144"/>
      <c r="BN123" s="144"/>
      <c r="BO123" s="22"/>
      <c r="BP123" s="144"/>
      <c r="BQ123" s="22"/>
      <c r="BR123" s="144"/>
      <c r="BS123" s="144"/>
      <c r="BT123" s="22"/>
      <c r="BU123" s="144"/>
      <c r="BV123" s="144"/>
      <c r="BW123" s="22"/>
      <c r="BX123" s="22"/>
      <c r="BY123" s="144"/>
      <c r="BZ123" s="22"/>
      <c r="CA123" s="22"/>
      <c r="CB123" s="144"/>
      <c r="CC123" s="22"/>
      <c r="CD123" s="22"/>
      <c r="CE123" s="144"/>
      <c r="CF123" s="22"/>
      <c r="CG123" s="22"/>
      <c r="CH123" s="144"/>
      <c r="CI123" s="22"/>
      <c r="CJ123" s="22"/>
      <c r="CK123" s="144"/>
      <c r="CL123" s="22"/>
      <c r="CM123" s="22"/>
      <c r="CN123" s="144"/>
      <c r="CO123" s="22"/>
      <c r="CP123" s="22"/>
      <c r="CQ123" s="144"/>
    </row>
    <row r="124" spans="1:95" ht="15.75" customHeight="1" x14ac:dyDescent="0.45">
      <c r="A124" s="22"/>
      <c r="B124" s="22"/>
      <c r="C124" s="12"/>
      <c r="D124" s="12"/>
      <c r="E124" s="12"/>
      <c r="F124" s="155"/>
      <c r="G124" s="144"/>
      <c r="H124" s="144"/>
      <c r="I124" s="12"/>
      <c r="J124" s="22"/>
      <c r="K124" s="22"/>
      <c r="L124" s="22"/>
      <c r="M124" s="145"/>
      <c r="N124" s="144"/>
      <c r="O124" s="144"/>
      <c r="P124" s="152"/>
      <c r="Q124" s="22"/>
      <c r="R124" s="152"/>
      <c r="S124" s="22"/>
      <c r="T124" s="74"/>
      <c r="U124" s="45"/>
      <c r="V124" s="158"/>
      <c r="W124" s="45"/>
      <c r="X124" s="45"/>
      <c r="Y124" s="45"/>
      <c r="Z124" s="45"/>
      <c r="AA124" s="45"/>
      <c r="AB124" s="45"/>
      <c r="AC124" s="44"/>
      <c r="AD124" s="45"/>
      <c r="AE124" s="45"/>
      <c r="AF124" s="45"/>
      <c r="AG124" s="45"/>
      <c r="AH124" s="45"/>
      <c r="AI124" s="144"/>
      <c r="AJ124" s="144"/>
      <c r="AK124" s="45"/>
      <c r="AL124" s="45"/>
      <c r="AM124" s="144"/>
      <c r="AN124" s="144"/>
      <c r="AO124" s="144"/>
      <c r="AP124" s="22"/>
      <c r="AQ124" s="22"/>
      <c r="AR124" s="144"/>
      <c r="AS124" s="22"/>
      <c r="AT124" s="22"/>
      <c r="AU124" s="144"/>
      <c r="AV124" s="22"/>
      <c r="AW124" s="22"/>
      <c r="AX124" s="144"/>
      <c r="AY124" s="22"/>
      <c r="AZ124" s="22"/>
      <c r="BA124" s="144"/>
      <c r="BB124" s="22"/>
      <c r="BC124" s="22"/>
      <c r="BD124" s="144"/>
      <c r="BE124" s="144"/>
      <c r="BF124" s="22"/>
      <c r="BG124" s="144"/>
      <c r="BH124" s="144"/>
      <c r="BI124" s="144"/>
      <c r="BJ124" s="144"/>
      <c r="BK124" s="144"/>
      <c r="BL124" s="22"/>
      <c r="BM124" s="144"/>
      <c r="BN124" s="144"/>
      <c r="BO124" s="22"/>
      <c r="BP124" s="144"/>
      <c r="BQ124" s="22"/>
      <c r="BR124" s="144"/>
      <c r="BS124" s="144"/>
      <c r="BT124" s="22"/>
      <c r="BU124" s="144"/>
      <c r="BV124" s="144"/>
      <c r="BW124" s="22"/>
      <c r="BX124" s="22"/>
      <c r="BY124" s="144"/>
      <c r="BZ124" s="22"/>
      <c r="CA124" s="22"/>
      <c r="CB124" s="144"/>
      <c r="CC124" s="22"/>
      <c r="CD124" s="22"/>
      <c r="CE124" s="144"/>
      <c r="CF124" s="22"/>
      <c r="CG124" s="22"/>
      <c r="CH124" s="144"/>
      <c r="CI124" s="22"/>
      <c r="CJ124" s="22"/>
      <c r="CK124" s="144"/>
      <c r="CL124" s="22"/>
      <c r="CM124" s="22"/>
      <c r="CN124" s="144"/>
      <c r="CO124" s="22"/>
      <c r="CP124" s="22"/>
      <c r="CQ124" s="144"/>
    </row>
    <row r="125" spans="1:95" ht="15.75" customHeight="1" x14ac:dyDescent="0.45">
      <c r="A125" s="22"/>
      <c r="B125" s="22"/>
      <c r="C125" s="12"/>
      <c r="D125" s="12"/>
      <c r="E125" s="12"/>
      <c r="F125" s="155"/>
      <c r="G125" s="144"/>
      <c r="H125" s="144"/>
      <c r="I125" s="12"/>
      <c r="J125" s="22"/>
      <c r="K125" s="22"/>
      <c r="L125" s="22"/>
      <c r="M125" s="145"/>
      <c r="N125" s="144"/>
      <c r="O125" s="144"/>
      <c r="P125" s="152"/>
      <c r="Q125" s="22"/>
      <c r="R125" s="152"/>
      <c r="S125" s="22"/>
      <c r="T125" s="74"/>
      <c r="U125" s="45"/>
      <c r="V125" s="158"/>
      <c r="W125" s="45"/>
      <c r="X125" s="45"/>
      <c r="Y125" s="45"/>
      <c r="Z125" s="45"/>
      <c r="AA125" s="45"/>
      <c r="AB125" s="45"/>
      <c r="AC125" s="44"/>
      <c r="AD125" s="45"/>
      <c r="AE125" s="45"/>
      <c r="AF125" s="45"/>
      <c r="AG125" s="45"/>
      <c r="AH125" s="45"/>
      <c r="AI125" s="144"/>
      <c r="AJ125" s="144"/>
      <c r="AK125" s="45"/>
      <c r="AL125" s="45"/>
      <c r="AM125" s="144"/>
      <c r="AN125" s="144"/>
      <c r="AO125" s="144"/>
      <c r="AP125" s="22"/>
      <c r="AQ125" s="22"/>
      <c r="AR125" s="144"/>
      <c r="AS125" s="22"/>
      <c r="AT125" s="22"/>
      <c r="AU125" s="144"/>
      <c r="AV125" s="22"/>
      <c r="AW125" s="22"/>
      <c r="AX125" s="144"/>
      <c r="AY125" s="22"/>
      <c r="AZ125" s="22"/>
      <c r="BA125" s="144"/>
      <c r="BB125" s="22"/>
      <c r="BC125" s="22"/>
      <c r="BD125" s="144"/>
      <c r="BE125" s="144"/>
      <c r="BF125" s="22"/>
      <c r="BG125" s="144"/>
      <c r="BH125" s="144"/>
      <c r="BI125" s="144"/>
      <c r="BJ125" s="144"/>
      <c r="BK125" s="144"/>
      <c r="BL125" s="22"/>
      <c r="BM125" s="144"/>
      <c r="BN125" s="144"/>
      <c r="BO125" s="22"/>
      <c r="BP125" s="144"/>
      <c r="BQ125" s="22"/>
      <c r="BR125" s="144"/>
      <c r="BS125" s="144"/>
      <c r="BT125" s="22"/>
      <c r="BU125" s="144"/>
      <c r="BV125" s="144"/>
      <c r="BW125" s="22"/>
      <c r="BX125" s="22"/>
      <c r="BY125" s="144"/>
      <c r="BZ125" s="22"/>
      <c r="CA125" s="22"/>
      <c r="CB125" s="144"/>
      <c r="CC125" s="22"/>
      <c r="CD125" s="22"/>
      <c r="CE125" s="144"/>
      <c r="CF125" s="22"/>
      <c r="CG125" s="22"/>
      <c r="CH125" s="144"/>
      <c r="CI125" s="22"/>
      <c r="CJ125" s="22"/>
      <c r="CK125" s="144"/>
      <c r="CL125" s="22"/>
      <c r="CM125" s="22"/>
      <c r="CN125" s="144"/>
      <c r="CO125" s="22"/>
      <c r="CP125" s="22"/>
      <c r="CQ125" s="144"/>
    </row>
    <row r="126" spans="1:95" ht="15.75" customHeight="1" x14ac:dyDescent="0.45">
      <c r="A126" s="22"/>
      <c r="B126" s="22"/>
      <c r="C126" s="12"/>
      <c r="D126" s="12"/>
      <c r="E126" s="12"/>
      <c r="F126" s="155"/>
      <c r="G126" s="144"/>
      <c r="H126" s="144"/>
      <c r="I126" s="12"/>
      <c r="J126" s="22"/>
      <c r="K126" s="22"/>
      <c r="L126" s="22"/>
      <c r="M126" s="145"/>
      <c r="N126" s="144"/>
      <c r="O126" s="144"/>
      <c r="P126" s="152"/>
      <c r="Q126" s="22"/>
      <c r="R126" s="152"/>
      <c r="S126" s="22"/>
      <c r="T126" s="74"/>
      <c r="U126" s="45"/>
      <c r="V126" s="158"/>
      <c r="W126" s="45"/>
      <c r="X126" s="45"/>
      <c r="Y126" s="45"/>
      <c r="Z126" s="45"/>
      <c r="AA126" s="45"/>
      <c r="AB126" s="45"/>
      <c r="AC126" s="44"/>
      <c r="AD126" s="45"/>
      <c r="AE126" s="45"/>
      <c r="AF126" s="45"/>
      <c r="AG126" s="45"/>
      <c r="AH126" s="45"/>
      <c r="AI126" s="144"/>
      <c r="AJ126" s="144"/>
      <c r="AK126" s="45"/>
      <c r="AL126" s="45"/>
      <c r="AM126" s="144"/>
      <c r="AN126" s="144"/>
      <c r="AO126" s="144"/>
      <c r="AP126" s="22"/>
      <c r="AQ126" s="22"/>
      <c r="AR126" s="144"/>
      <c r="AS126" s="22"/>
      <c r="AT126" s="22"/>
      <c r="AU126" s="144"/>
      <c r="AV126" s="22"/>
      <c r="AW126" s="22"/>
      <c r="AX126" s="144"/>
      <c r="AY126" s="22"/>
      <c r="AZ126" s="22"/>
      <c r="BA126" s="144"/>
      <c r="BB126" s="22"/>
      <c r="BC126" s="22"/>
      <c r="BD126" s="144"/>
      <c r="BE126" s="144"/>
      <c r="BF126" s="22"/>
      <c r="BG126" s="144"/>
      <c r="BH126" s="144"/>
      <c r="BI126" s="144"/>
      <c r="BJ126" s="144"/>
      <c r="BK126" s="144"/>
      <c r="BL126" s="22"/>
      <c r="BM126" s="144"/>
      <c r="BN126" s="144"/>
      <c r="BO126" s="22"/>
      <c r="BP126" s="144"/>
      <c r="BQ126" s="22"/>
      <c r="BR126" s="144"/>
      <c r="BS126" s="144"/>
      <c r="BT126" s="22"/>
      <c r="BU126" s="144"/>
      <c r="BV126" s="144"/>
      <c r="BW126" s="22"/>
      <c r="BX126" s="22"/>
      <c r="BY126" s="144"/>
      <c r="BZ126" s="22"/>
      <c r="CA126" s="22"/>
      <c r="CB126" s="144"/>
      <c r="CC126" s="22"/>
      <c r="CD126" s="22"/>
      <c r="CE126" s="144"/>
      <c r="CF126" s="22"/>
      <c r="CG126" s="22"/>
      <c r="CH126" s="144"/>
      <c r="CI126" s="22"/>
      <c r="CJ126" s="22"/>
      <c r="CK126" s="144"/>
      <c r="CL126" s="22"/>
      <c r="CM126" s="22"/>
      <c r="CN126" s="144"/>
      <c r="CO126" s="22"/>
      <c r="CP126" s="22"/>
      <c r="CQ126" s="144"/>
    </row>
    <row r="127" spans="1:95" ht="15.75" customHeight="1" x14ac:dyDescent="0.45">
      <c r="A127" s="22"/>
      <c r="B127" s="22"/>
      <c r="C127" s="12"/>
      <c r="D127" s="12"/>
      <c r="E127" s="12"/>
      <c r="F127" s="155"/>
      <c r="G127" s="144"/>
      <c r="H127" s="144"/>
      <c r="I127" s="12"/>
      <c r="J127" s="22"/>
      <c r="K127" s="22"/>
      <c r="L127" s="22"/>
      <c r="M127" s="145"/>
      <c r="N127" s="144"/>
      <c r="O127" s="144"/>
      <c r="P127" s="152"/>
      <c r="Q127" s="22"/>
      <c r="R127" s="152"/>
      <c r="S127" s="22"/>
      <c r="T127" s="74"/>
      <c r="U127" s="45"/>
      <c r="V127" s="158"/>
      <c r="W127" s="45"/>
      <c r="X127" s="45"/>
      <c r="Y127" s="45"/>
      <c r="Z127" s="45"/>
      <c r="AA127" s="45"/>
      <c r="AB127" s="45"/>
      <c r="AC127" s="44"/>
      <c r="AD127" s="45"/>
      <c r="AE127" s="45"/>
      <c r="AF127" s="45"/>
      <c r="AG127" s="45"/>
      <c r="AH127" s="45"/>
      <c r="AI127" s="144"/>
      <c r="AJ127" s="144"/>
      <c r="AK127" s="45"/>
      <c r="AL127" s="45"/>
      <c r="AM127" s="144"/>
      <c r="AN127" s="144"/>
      <c r="AO127" s="144"/>
      <c r="AP127" s="22"/>
      <c r="AQ127" s="22"/>
      <c r="AR127" s="144"/>
      <c r="AS127" s="22"/>
      <c r="AT127" s="22"/>
      <c r="AU127" s="144"/>
      <c r="AV127" s="22"/>
      <c r="AW127" s="22"/>
      <c r="AX127" s="144"/>
      <c r="AY127" s="22"/>
      <c r="AZ127" s="22"/>
      <c r="BA127" s="144"/>
      <c r="BB127" s="22"/>
      <c r="BC127" s="22"/>
      <c r="BD127" s="144"/>
      <c r="BE127" s="144"/>
      <c r="BF127" s="22"/>
      <c r="BG127" s="144"/>
      <c r="BH127" s="144"/>
      <c r="BI127" s="144"/>
      <c r="BJ127" s="144"/>
      <c r="BK127" s="144"/>
      <c r="BL127" s="22"/>
      <c r="BM127" s="144"/>
      <c r="BN127" s="144"/>
      <c r="BO127" s="22"/>
      <c r="BP127" s="144"/>
      <c r="BQ127" s="22"/>
      <c r="BR127" s="144"/>
      <c r="BS127" s="144"/>
      <c r="BT127" s="22"/>
      <c r="BU127" s="144"/>
      <c r="BV127" s="144"/>
      <c r="BW127" s="22"/>
      <c r="BX127" s="22"/>
      <c r="BY127" s="144"/>
      <c r="BZ127" s="22"/>
      <c r="CA127" s="22"/>
      <c r="CB127" s="144"/>
      <c r="CC127" s="22"/>
      <c r="CD127" s="22"/>
      <c r="CE127" s="144"/>
      <c r="CF127" s="22"/>
      <c r="CG127" s="22"/>
      <c r="CH127" s="144"/>
      <c r="CI127" s="22"/>
      <c r="CJ127" s="22"/>
      <c r="CK127" s="144"/>
      <c r="CL127" s="22"/>
      <c r="CM127" s="22"/>
      <c r="CN127" s="144"/>
      <c r="CO127" s="22"/>
      <c r="CP127" s="22"/>
      <c r="CQ127" s="144"/>
    </row>
    <row r="128" spans="1:95" ht="15.75" customHeight="1" x14ac:dyDescent="0.45">
      <c r="A128" s="22"/>
      <c r="B128" s="22"/>
      <c r="C128" s="12"/>
      <c r="D128" s="12"/>
      <c r="E128" s="12"/>
      <c r="F128" s="155"/>
      <c r="G128" s="144"/>
      <c r="H128" s="144"/>
      <c r="I128" s="12"/>
      <c r="J128" s="22"/>
      <c r="K128" s="22"/>
      <c r="L128" s="22"/>
      <c r="M128" s="145"/>
      <c r="N128" s="144"/>
      <c r="O128" s="144"/>
      <c r="P128" s="152"/>
      <c r="Q128" s="22"/>
      <c r="R128" s="152"/>
      <c r="S128" s="22"/>
      <c r="T128" s="74"/>
      <c r="U128" s="45"/>
      <c r="V128" s="158"/>
      <c r="W128" s="45"/>
      <c r="X128" s="45"/>
      <c r="Y128" s="45"/>
      <c r="Z128" s="45"/>
      <c r="AA128" s="45"/>
      <c r="AB128" s="45"/>
      <c r="AC128" s="44"/>
      <c r="AD128" s="45"/>
      <c r="AE128" s="45"/>
      <c r="AF128" s="45"/>
      <c r="AG128" s="45"/>
      <c r="AH128" s="45"/>
      <c r="AI128" s="144"/>
      <c r="AJ128" s="144"/>
      <c r="AK128" s="45"/>
      <c r="AL128" s="45"/>
      <c r="AM128" s="144"/>
      <c r="AN128" s="144"/>
      <c r="AO128" s="144"/>
      <c r="AP128" s="22"/>
      <c r="AQ128" s="22"/>
      <c r="AR128" s="144"/>
      <c r="AS128" s="22"/>
      <c r="AT128" s="22"/>
      <c r="AU128" s="144"/>
      <c r="AV128" s="22"/>
      <c r="AW128" s="22"/>
      <c r="AX128" s="144"/>
      <c r="AY128" s="22"/>
      <c r="AZ128" s="22"/>
      <c r="BA128" s="144"/>
      <c r="BB128" s="22"/>
      <c r="BC128" s="22"/>
      <c r="BD128" s="144"/>
      <c r="BE128" s="144"/>
      <c r="BF128" s="22"/>
      <c r="BG128" s="144"/>
      <c r="BH128" s="144"/>
      <c r="BI128" s="144"/>
      <c r="BJ128" s="144"/>
      <c r="BK128" s="144"/>
      <c r="BL128" s="22"/>
      <c r="BM128" s="144"/>
      <c r="BN128" s="144"/>
      <c r="BO128" s="22"/>
      <c r="BP128" s="144"/>
      <c r="BQ128" s="22"/>
      <c r="BR128" s="144"/>
      <c r="BS128" s="144"/>
      <c r="BT128" s="22"/>
      <c r="BU128" s="144"/>
      <c r="BV128" s="144"/>
      <c r="BW128" s="22"/>
      <c r="BX128" s="22"/>
      <c r="BY128" s="144"/>
      <c r="BZ128" s="22"/>
      <c r="CA128" s="22"/>
      <c r="CB128" s="144"/>
      <c r="CC128" s="22"/>
      <c r="CD128" s="22"/>
      <c r="CE128" s="144"/>
      <c r="CF128" s="22"/>
      <c r="CG128" s="22"/>
      <c r="CH128" s="144"/>
      <c r="CI128" s="22"/>
      <c r="CJ128" s="22"/>
      <c r="CK128" s="144"/>
      <c r="CL128" s="22"/>
      <c r="CM128" s="22"/>
      <c r="CN128" s="144"/>
      <c r="CO128" s="22"/>
      <c r="CP128" s="22"/>
      <c r="CQ128" s="144"/>
    </row>
    <row r="129" spans="1:95" ht="15.75" customHeight="1" x14ac:dyDescent="0.45">
      <c r="A129" s="22"/>
      <c r="B129" s="22"/>
      <c r="C129" s="12"/>
      <c r="D129" s="12"/>
      <c r="E129" s="12"/>
      <c r="F129" s="155"/>
      <c r="G129" s="144"/>
      <c r="H129" s="144"/>
      <c r="I129" s="12"/>
      <c r="J129" s="22"/>
      <c r="K129" s="22"/>
      <c r="L129" s="22"/>
      <c r="M129" s="145"/>
      <c r="N129" s="144"/>
      <c r="O129" s="144"/>
      <c r="P129" s="152"/>
      <c r="Q129" s="22"/>
      <c r="R129" s="152"/>
      <c r="S129" s="22"/>
      <c r="T129" s="74"/>
      <c r="U129" s="45"/>
      <c r="V129" s="158"/>
      <c r="W129" s="45"/>
      <c r="X129" s="45"/>
      <c r="Y129" s="45"/>
      <c r="Z129" s="45"/>
      <c r="AA129" s="45"/>
      <c r="AB129" s="45"/>
      <c r="AC129" s="44"/>
      <c r="AD129" s="45"/>
      <c r="AE129" s="45"/>
      <c r="AF129" s="45"/>
      <c r="AG129" s="45"/>
      <c r="AH129" s="45"/>
      <c r="AI129" s="144"/>
      <c r="AJ129" s="144"/>
      <c r="AK129" s="45"/>
      <c r="AL129" s="45"/>
      <c r="AM129" s="144"/>
      <c r="AN129" s="144"/>
      <c r="AO129" s="144"/>
      <c r="AP129" s="22"/>
      <c r="AQ129" s="22"/>
      <c r="AR129" s="144"/>
      <c r="AS129" s="22"/>
      <c r="AT129" s="22"/>
      <c r="AU129" s="144"/>
      <c r="AV129" s="22"/>
      <c r="AW129" s="22"/>
      <c r="AX129" s="144"/>
      <c r="AY129" s="22"/>
      <c r="AZ129" s="22"/>
      <c r="BA129" s="144"/>
      <c r="BB129" s="22"/>
      <c r="BC129" s="22"/>
      <c r="BD129" s="144"/>
      <c r="BE129" s="144"/>
      <c r="BF129" s="22"/>
      <c r="BG129" s="144"/>
      <c r="BH129" s="144"/>
      <c r="BI129" s="144"/>
      <c r="BJ129" s="144"/>
      <c r="BK129" s="144"/>
      <c r="BL129" s="22"/>
      <c r="BM129" s="144"/>
      <c r="BN129" s="144"/>
      <c r="BO129" s="22"/>
      <c r="BP129" s="144"/>
      <c r="BQ129" s="22"/>
      <c r="BR129" s="144"/>
      <c r="BS129" s="144"/>
      <c r="BT129" s="22"/>
      <c r="BU129" s="144"/>
      <c r="BV129" s="144"/>
      <c r="BW129" s="22"/>
      <c r="BX129" s="22"/>
      <c r="BY129" s="144"/>
      <c r="BZ129" s="22"/>
      <c r="CA129" s="22"/>
      <c r="CB129" s="144"/>
      <c r="CC129" s="22"/>
      <c r="CD129" s="22"/>
      <c r="CE129" s="144"/>
      <c r="CF129" s="22"/>
      <c r="CG129" s="22"/>
      <c r="CH129" s="144"/>
      <c r="CI129" s="22"/>
      <c r="CJ129" s="22"/>
      <c r="CK129" s="144"/>
      <c r="CL129" s="22"/>
      <c r="CM129" s="22"/>
      <c r="CN129" s="144"/>
      <c r="CO129" s="22"/>
      <c r="CP129" s="22"/>
      <c r="CQ129" s="144"/>
    </row>
    <row r="130" spans="1:95" ht="15.75" customHeight="1" x14ac:dyDescent="0.45">
      <c r="A130" s="22"/>
      <c r="B130" s="22"/>
      <c r="C130" s="12"/>
      <c r="D130" s="12"/>
      <c r="E130" s="12"/>
      <c r="F130" s="155"/>
      <c r="G130" s="144"/>
      <c r="H130" s="144"/>
      <c r="I130" s="12"/>
      <c r="J130" s="22"/>
      <c r="K130" s="22"/>
      <c r="L130" s="22"/>
      <c r="M130" s="145"/>
      <c r="N130" s="144"/>
      <c r="O130" s="144"/>
      <c r="P130" s="152"/>
      <c r="Q130" s="22"/>
      <c r="R130" s="152"/>
      <c r="S130" s="22"/>
      <c r="T130" s="74"/>
      <c r="U130" s="45"/>
      <c r="V130" s="158"/>
      <c r="W130" s="45"/>
      <c r="X130" s="45"/>
      <c r="Y130" s="45"/>
      <c r="Z130" s="45"/>
      <c r="AA130" s="45"/>
      <c r="AB130" s="45"/>
      <c r="AC130" s="44"/>
      <c r="AD130" s="45"/>
      <c r="AE130" s="45"/>
      <c r="AF130" s="45"/>
      <c r="AG130" s="45"/>
      <c r="AH130" s="45"/>
      <c r="AI130" s="144"/>
      <c r="AJ130" s="144"/>
      <c r="AK130" s="45"/>
      <c r="AL130" s="45"/>
      <c r="AM130" s="144"/>
      <c r="AN130" s="144"/>
      <c r="AO130" s="144"/>
      <c r="AP130" s="22"/>
      <c r="AQ130" s="22"/>
      <c r="AR130" s="144"/>
      <c r="AS130" s="22"/>
      <c r="AT130" s="22"/>
      <c r="AU130" s="144"/>
      <c r="AV130" s="22"/>
      <c r="AW130" s="22"/>
      <c r="AX130" s="144"/>
      <c r="AY130" s="22"/>
      <c r="AZ130" s="22"/>
      <c r="BA130" s="144"/>
      <c r="BB130" s="22"/>
      <c r="BC130" s="22"/>
      <c r="BD130" s="144"/>
      <c r="BE130" s="144"/>
      <c r="BF130" s="22"/>
      <c r="BG130" s="144"/>
      <c r="BH130" s="144"/>
      <c r="BI130" s="144"/>
      <c r="BJ130" s="144"/>
      <c r="BK130" s="144"/>
      <c r="BL130" s="22"/>
      <c r="BM130" s="144"/>
      <c r="BN130" s="144"/>
      <c r="BO130" s="22"/>
      <c r="BP130" s="144"/>
      <c r="BQ130" s="22"/>
      <c r="BR130" s="144"/>
      <c r="BS130" s="144"/>
      <c r="BT130" s="22"/>
      <c r="BU130" s="144"/>
      <c r="BV130" s="144"/>
      <c r="BW130" s="22"/>
      <c r="BX130" s="22"/>
      <c r="BY130" s="144"/>
      <c r="BZ130" s="22"/>
      <c r="CA130" s="22"/>
      <c r="CB130" s="144"/>
      <c r="CC130" s="22"/>
      <c r="CD130" s="22"/>
      <c r="CE130" s="144"/>
      <c r="CF130" s="22"/>
      <c r="CG130" s="22"/>
      <c r="CH130" s="144"/>
      <c r="CI130" s="22"/>
      <c r="CJ130" s="22"/>
      <c r="CK130" s="144"/>
      <c r="CL130" s="22"/>
      <c r="CM130" s="22"/>
      <c r="CN130" s="144"/>
      <c r="CO130" s="22"/>
      <c r="CP130" s="22"/>
      <c r="CQ130" s="144"/>
    </row>
    <row r="131" spans="1:95" ht="15.75" customHeight="1" x14ac:dyDescent="0.45">
      <c r="A131" s="22"/>
      <c r="B131" s="22"/>
      <c r="C131" s="12"/>
      <c r="D131" s="12"/>
      <c r="E131" s="12"/>
      <c r="F131" s="155"/>
      <c r="G131" s="144"/>
      <c r="H131" s="144"/>
      <c r="I131" s="12"/>
      <c r="J131" s="22"/>
      <c r="K131" s="22"/>
      <c r="L131" s="22"/>
      <c r="M131" s="145"/>
      <c r="N131" s="144"/>
      <c r="O131" s="144"/>
      <c r="P131" s="152"/>
      <c r="Q131" s="22"/>
      <c r="R131" s="152"/>
      <c r="S131" s="22"/>
      <c r="T131" s="74"/>
      <c r="U131" s="45"/>
      <c r="V131" s="158"/>
      <c r="W131" s="45"/>
      <c r="X131" s="45"/>
      <c r="Y131" s="45"/>
      <c r="Z131" s="45"/>
      <c r="AA131" s="45"/>
      <c r="AB131" s="45"/>
      <c r="AC131" s="44"/>
      <c r="AD131" s="45"/>
      <c r="AE131" s="45"/>
      <c r="AF131" s="45"/>
      <c r="AG131" s="45"/>
      <c r="AH131" s="45"/>
      <c r="AI131" s="144"/>
      <c r="AJ131" s="144"/>
      <c r="AK131" s="45"/>
      <c r="AL131" s="45"/>
      <c r="AM131" s="144"/>
      <c r="AN131" s="144"/>
      <c r="AO131" s="144"/>
      <c r="AP131" s="22"/>
      <c r="AQ131" s="22"/>
      <c r="AR131" s="144"/>
      <c r="AS131" s="22"/>
      <c r="AT131" s="22"/>
      <c r="AU131" s="144"/>
      <c r="AV131" s="22"/>
      <c r="AW131" s="22"/>
      <c r="AX131" s="144"/>
      <c r="AY131" s="22"/>
      <c r="AZ131" s="22"/>
      <c r="BA131" s="144"/>
      <c r="BB131" s="22"/>
      <c r="BC131" s="22"/>
      <c r="BD131" s="144"/>
      <c r="BE131" s="144"/>
      <c r="BF131" s="22"/>
      <c r="BG131" s="144"/>
      <c r="BH131" s="144"/>
      <c r="BI131" s="144"/>
      <c r="BJ131" s="144"/>
      <c r="BK131" s="144"/>
      <c r="BL131" s="22"/>
      <c r="BM131" s="144"/>
      <c r="BN131" s="144"/>
      <c r="BO131" s="22"/>
      <c r="BP131" s="144"/>
      <c r="BQ131" s="22"/>
      <c r="BR131" s="144"/>
      <c r="BS131" s="144"/>
      <c r="BT131" s="22"/>
      <c r="BU131" s="144"/>
      <c r="BV131" s="144"/>
      <c r="BW131" s="22"/>
      <c r="BX131" s="22"/>
      <c r="BY131" s="144"/>
      <c r="BZ131" s="22"/>
      <c r="CA131" s="22"/>
      <c r="CB131" s="144"/>
      <c r="CC131" s="22"/>
      <c r="CD131" s="22"/>
      <c r="CE131" s="144"/>
      <c r="CF131" s="22"/>
      <c r="CG131" s="22"/>
      <c r="CH131" s="144"/>
      <c r="CI131" s="22"/>
      <c r="CJ131" s="22"/>
      <c r="CK131" s="144"/>
      <c r="CL131" s="22"/>
      <c r="CM131" s="22"/>
      <c r="CN131" s="144"/>
      <c r="CO131" s="22"/>
      <c r="CP131" s="22"/>
      <c r="CQ131" s="144"/>
    </row>
    <row r="132" spans="1:95" ht="15.75" customHeight="1" x14ac:dyDescent="0.45">
      <c r="A132" s="22"/>
      <c r="B132" s="22"/>
      <c r="C132" s="12"/>
      <c r="D132" s="12"/>
      <c r="E132" s="12"/>
      <c r="F132" s="155"/>
      <c r="G132" s="144"/>
      <c r="H132" s="144"/>
      <c r="I132" s="12"/>
      <c r="J132" s="22"/>
      <c r="K132" s="22"/>
      <c r="L132" s="22"/>
      <c r="M132" s="145"/>
      <c r="N132" s="144"/>
      <c r="O132" s="144"/>
      <c r="P132" s="152"/>
      <c r="Q132" s="22"/>
      <c r="R132" s="152"/>
      <c r="S132" s="22"/>
      <c r="T132" s="74"/>
      <c r="U132" s="45"/>
      <c r="V132" s="158"/>
      <c r="W132" s="45"/>
      <c r="X132" s="45"/>
      <c r="Y132" s="45"/>
      <c r="Z132" s="45"/>
      <c r="AA132" s="45"/>
      <c r="AB132" s="45"/>
      <c r="AC132" s="44"/>
      <c r="AD132" s="45"/>
      <c r="AE132" s="45"/>
      <c r="AF132" s="45"/>
      <c r="AG132" s="45"/>
      <c r="AH132" s="45"/>
      <c r="AI132" s="144"/>
      <c r="AJ132" s="144"/>
      <c r="AK132" s="45"/>
      <c r="AL132" s="45"/>
      <c r="AM132" s="144"/>
      <c r="AN132" s="144"/>
      <c r="AO132" s="144"/>
      <c r="AP132" s="22"/>
      <c r="AQ132" s="22"/>
      <c r="AR132" s="144"/>
      <c r="AS132" s="22"/>
      <c r="AT132" s="22"/>
      <c r="AU132" s="144"/>
      <c r="AV132" s="22"/>
      <c r="AW132" s="22"/>
      <c r="AX132" s="144"/>
      <c r="AY132" s="22"/>
      <c r="AZ132" s="22"/>
      <c r="BA132" s="144"/>
      <c r="BB132" s="22"/>
      <c r="BC132" s="22"/>
      <c r="BD132" s="144"/>
      <c r="BE132" s="144"/>
      <c r="BF132" s="22"/>
      <c r="BG132" s="144"/>
      <c r="BH132" s="144"/>
      <c r="BI132" s="144"/>
      <c r="BJ132" s="144"/>
      <c r="BK132" s="144"/>
      <c r="BL132" s="22"/>
      <c r="BM132" s="144"/>
      <c r="BN132" s="144"/>
      <c r="BO132" s="22"/>
      <c r="BP132" s="144"/>
      <c r="BQ132" s="22"/>
      <c r="BR132" s="144"/>
      <c r="BS132" s="144"/>
      <c r="BT132" s="22"/>
      <c r="BU132" s="144"/>
      <c r="BV132" s="144"/>
      <c r="BW132" s="22"/>
      <c r="BX132" s="22"/>
      <c r="BY132" s="144"/>
      <c r="BZ132" s="22"/>
      <c r="CA132" s="22"/>
      <c r="CB132" s="144"/>
      <c r="CC132" s="22"/>
      <c r="CD132" s="22"/>
      <c r="CE132" s="144"/>
      <c r="CF132" s="22"/>
      <c r="CG132" s="22"/>
      <c r="CH132" s="144"/>
      <c r="CI132" s="22"/>
      <c r="CJ132" s="22"/>
      <c r="CK132" s="144"/>
      <c r="CL132" s="22"/>
      <c r="CM132" s="22"/>
      <c r="CN132" s="144"/>
      <c r="CO132" s="22"/>
      <c r="CP132" s="22"/>
      <c r="CQ132" s="144"/>
    </row>
    <row r="133" spans="1:95" ht="15.75" customHeight="1" x14ac:dyDescent="0.45">
      <c r="A133" s="22"/>
      <c r="B133" s="22"/>
      <c r="C133" s="12"/>
      <c r="D133" s="12"/>
      <c r="E133" s="12"/>
      <c r="F133" s="155"/>
      <c r="G133" s="144"/>
      <c r="H133" s="144"/>
      <c r="I133" s="12"/>
      <c r="J133" s="22"/>
      <c r="K133" s="22"/>
      <c r="L133" s="22"/>
      <c r="M133" s="145"/>
      <c r="N133" s="144"/>
      <c r="O133" s="144"/>
      <c r="P133" s="152"/>
      <c r="Q133" s="22"/>
      <c r="R133" s="152"/>
      <c r="S133" s="22"/>
      <c r="T133" s="74"/>
      <c r="U133" s="45"/>
      <c r="V133" s="158"/>
      <c r="W133" s="45"/>
      <c r="X133" s="45"/>
      <c r="Y133" s="45"/>
      <c r="Z133" s="45"/>
      <c r="AA133" s="45"/>
      <c r="AB133" s="45"/>
      <c r="AC133" s="44"/>
      <c r="AD133" s="45"/>
      <c r="AE133" s="45"/>
      <c r="AF133" s="45"/>
      <c r="AG133" s="45"/>
      <c r="AH133" s="45"/>
      <c r="AI133" s="144"/>
      <c r="AJ133" s="144"/>
      <c r="AK133" s="45"/>
      <c r="AL133" s="45"/>
      <c r="AM133" s="144"/>
      <c r="AN133" s="144"/>
      <c r="AO133" s="144"/>
      <c r="AP133" s="22"/>
      <c r="AQ133" s="22"/>
      <c r="AR133" s="144"/>
      <c r="AS133" s="22"/>
      <c r="AT133" s="22"/>
      <c r="AU133" s="144"/>
      <c r="AV133" s="22"/>
      <c r="AW133" s="22"/>
      <c r="AX133" s="144"/>
      <c r="AY133" s="22"/>
      <c r="AZ133" s="22"/>
      <c r="BA133" s="144"/>
      <c r="BB133" s="22"/>
      <c r="BC133" s="22"/>
      <c r="BD133" s="144"/>
      <c r="BE133" s="144"/>
      <c r="BF133" s="22"/>
      <c r="BG133" s="144"/>
      <c r="BH133" s="144"/>
      <c r="BI133" s="144"/>
      <c r="BJ133" s="144"/>
      <c r="BK133" s="144"/>
      <c r="BL133" s="22"/>
      <c r="BM133" s="144"/>
      <c r="BN133" s="144"/>
      <c r="BO133" s="22"/>
      <c r="BP133" s="144"/>
      <c r="BQ133" s="22"/>
      <c r="BR133" s="144"/>
      <c r="BS133" s="144"/>
      <c r="BT133" s="22"/>
      <c r="BU133" s="144"/>
      <c r="BV133" s="144"/>
      <c r="BW133" s="22"/>
      <c r="BX133" s="22"/>
      <c r="BY133" s="144"/>
      <c r="BZ133" s="22"/>
      <c r="CA133" s="22"/>
      <c r="CB133" s="144"/>
      <c r="CC133" s="22"/>
      <c r="CD133" s="22"/>
      <c r="CE133" s="144"/>
      <c r="CF133" s="22"/>
      <c r="CG133" s="22"/>
      <c r="CH133" s="144"/>
      <c r="CI133" s="22"/>
      <c r="CJ133" s="22"/>
      <c r="CK133" s="144"/>
      <c r="CL133" s="22"/>
      <c r="CM133" s="22"/>
      <c r="CN133" s="144"/>
      <c r="CO133" s="22"/>
      <c r="CP133" s="22"/>
      <c r="CQ133" s="144"/>
    </row>
    <row r="134" spans="1:95" ht="15.75" customHeight="1" x14ac:dyDescent="0.45">
      <c r="A134" s="22"/>
      <c r="B134" s="22"/>
      <c r="C134" s="12"/>
      <c r="D134" s="12"/>
      <c r="E134" s="12"/>
      <c r="F134" s="155"/>
      <c r="G134" s="144"/>
      <c r="H134" s="144"/>
      <c r="I134" s="12"/>
      <c r="J134" s="22"/>
      <c r="K134" s="22"/>
      <c r="L134" s="22"/>
      <c r="M134" s="145"/>
      <c r="N134" s="144"/>
      <c r="O134" s="144"/>
      <c r="P134" s="152"/>
      <c r="Q134" s="22"/>
      <c r="R134" s="152"/>
      <c r="S134" s="22"/>
      <c r="T134" s="74"/>
      <c r="U134" s="45"/>
      <c r="V134" s="158"/>
      <c r="W134" s="45"/>
      <c r="X134" s="45"/>
      <c r="Y134" s="45"/>
      <c r="Z134" s="45"/>
      <c r="AA134" s="45"/>
      <c r="AB134" s="45"/>
      <c r="AC134" s="44"/>
      <c r="AD134" s="45"/>
      <c r="AE134" s="45"/>
      <c r="AF134" s="45"/>
      <c r="AG134" s="45"/>
      <c r="AH134" s="45"/>
      <c r="AI134" s="144"/>
      <c r="AJ134" s="144"/>
      <c r="AK134" s="45"/>
      <c r="AL134" s="45"/>
      <c r="AM134" s="144"/>
      <c r="AN134" s="144"/>
      <c r="AO134" s="144"/>
      <c r="AP134" s="22"/>
      <c r="AQ134" s="22"/>
      <c r="AR134" s="144"/>
      <c r="AS134" s="22"/>
      <c r="AT134" s="22"/>
      <c r="AU134" s="144"/>
      <c r="AV134" s="22"/>
      <c r="AW134" s="22"/>
      <c r="AX134" s="144"/>
      <c r="AY134" s="22"/>
      <c r="AZ134" s="22"/>
      <c r="BA134" s="144"/>
      <c r="BB134" s="22"/>
      <c r="BC134" s="22"/>
      <c r="BD134" s="144"/>
      <c r="BE134" s="144"/>
      <c r="BF134" s="22"/>
      <c r="BG134" s="144"/>
      <c r="BH134" s="144"/>
      <c r="BI134" s="144"/>
      <c r="BJ134" s="144"/>
      <c r="BK134" s="144"/>
      <c r="BL134" s="22"/>
      <c r="BM134" s="144"/>
      <c r="BN134" s="144"/>
      <c r="BO134" s="22"/>
      <c r="BP134" s="144"/>
      <c r="BQ134" s="22"/>
      <c r="BR134" s="144"/>
      <c r="BS134" s="144"/>
      <c r="BT134" s="22"/>
      <c r="BU134" s="144"/>
      <c r="BV134" s="144"/>
      <c r="BW134" s="22"/>
      <c r="BX134" s="22"/>
      <c r="BY134" s="144"/>
      <c r="BZ134" s="22"/>
      <c r="CA134" s="22"/>
      <c r="CB134" s="144"/>
      <c r="CC134" s="22"/>
      <c r="CD134" s="22"/>
      <c r="CE134" s="144"/>
      <c r="CF134" s="22"/>
      <c r="CG134" s="22"/>
      <c r="CH134" s="144"/>
      <c r="CI134" s="22"/>
      <c r="CJ134" s="22"/>
      <c r="CK134" s="144"/>
      <c r="CL134" s="22"/>
      <c r="CM134" s="22"/>
      <c r="CN134" s="144"/>
      <c r="CO134" s="22"/>
      <c r="CP134" s="22"/>
      <c r="CQ134" s="144"/>
    </row>
    <row r="135" spans="1:95" ht="15.75" customHeight="1" x14ac:dyDescent="0.45">
      <c r="A135" s="22"/>
      <c r="B135" s="22"/>
      <c r="C135" s="12"/>
      <c r="D135" s="12"/>
      <c r="E135" s="12"/>
      <c r="F135" s="155"/>
      <c r="G135" s="144"/>
      <c r="H135" s="144"/>
      <c r="I135" s="12"/>
      <c r="J135" s="22"/>
      <c r="K135" s="22"/>
      <c r="L135" s="22"/>
      <c r="M135" s="145"/>
      <c r="N135" s="144"/>
      <c r="O135" s="144"/>
      <c r="P135" s="152"/>
      <c r="Q135" s="22"/>
      <c r="R135" s="152"/>
      <c r="S135" s="22"/>
      <c r="T135" s="74"/>
      <c r="U135" s="45"/>
      <c r="V135" s="158"/>
      <c r="W135" s="45"/>
      <c r="X135" s="45"/>
      <c r="Y135" s="45"/>
      <c r="Z135" s="45"/>
      <c r="AA135" s="45"/>
      <c r="AB135" s="45"/>
      <c r="AC135" s="44"/>
      <c r="AD135" s="45"/>
      <c r="AE135" s="45"/>
      <c r="AF135" s="45"/>
      <c r="AG135" s="45"/>
      <c r="AH135" s="45"/>
      <c r="AI135" s="144"/>
      <c r="AJ135" s="144"/>
      <c r="AK135" s="45"/>
      <c r="AL135" s="45"/>
      <c r="AM135" s="144"/>
      <c r="AN135" s="144"/>
      <c r="AO135" s="144"/>
      <c r="AP135" s="22"/>
      <c r="AQ135" s="22"/>
      <c r="AR135" s="144"/>
      <c r="AS135" s="22"/>
      <c r="AT135" s="22"/>
      <c r="AU135" s="144"/>
      <c r="AV135" s="22"/>
      <c r="AW135" s="22"/>
      <c r="AX135" s="144"/>
      <c r="AY135" s="22"/>
      <c r="AZ135" s="22"/>
      <c r="BA135" s="144"/>
      <c r="BB135" s="22"/>
      <c r="BC135" s="22"/>
      <c r="BD135" s="144"/>
      <c r="BE135" s="144"/>
      <c r="BF135" s="22"/>
      <c r="BG135" s="144"/>
      <c r="BH135" s="144"/>
      <c r="BI135" s="144"/>
      <c r="BJ135" s="144"/>
      <c r="BK135" s="144"/>
      <c r="BL135" s="22"/>
      <c r="BM135" s="144"/>
      <c r="BN135" s="144"/>
      <c r="BO135" s="22"/>
      <c r="BP135" s="144"/>
      <c r="BQ135" s="22"/>
      <c r="BR135" s="144"/>
      <c r="BS135" s="144"/>
      <c r="BT135" s="22"/>
      <c r="BU135" s="144"/>
      <c r="BV135" s="144"/>
      <c r="BW135" s="22"/>
      <c r="BX135" s="22"/>
      <c r="BY135" s="144"/>
      <c r="BZ135" s="22"/>
      <c r="CA135" s="22"/>
      <c r="CB135" s="144"/>
      <c r="CC135" s="22"/>
      <c r="CD135" s="22"/>
      <c r="CE135" s="144"/>
      <c r="CF135" s="22"/>
      <c r="CG135" s="22"/>
      <c r="CH135" s="144"/>
      <c r="CI135" s="22"/>
      <c r="CJ135" s="22"/>
      <c r="CK135" s="144"/>
      <c r="CL135" s="22"/>
      <c r="CM135" s="22"/>
      <c r="CN135" s="144"/>
      <c r="CO135" s="22"/>
      <c r="CP135" s="22"/>
      <c r="CQ135" s="144"/>
    </row>
    <row r="136" spans="1:95" ht="15.75" customHeight="1" x14ac:dyDescent="0.45">
      <c r="A136" s="22"/>
      <c r="B136" s="22"/>
      <c r="C136" s="12"/>
      <c r="D136" s="12"/>
      <c r="E136" s="12"/>
      <c r="F136" s="155"/>
      <c r="G136" s="144"/>
      <c r="H136" s="144"/>
      <c r="I136" s="12"/>
      <c r="J136" s="22"/>
      <c r="K136" s="22"/>
      <c r="L136" s="22"/>
      <c r="M136" s="145"/>
      <c r="N136" s="144"/>
      <c r="O136" s="144"/>
      <c r="P136" s="152"/>
      <c r="Q136" s="22"/>
      <c r="R136" s="152"/>
      <c r="S136" s="22"/>
      <c r="T136" s="74"/>
      <c r="U136" s="45"/>
      <c r="V136" s="158"/>
      <c r="W136" s="45"/>
      <c r="X136" s="45"/>
      <c r="Y136" s="45"/>
      <c r="Z136" s="45"/>
      <c r="AA136" s="45"/>
      <c r="AB136" s="45"/>
      <c r="AC136" s="44"/>
      <c r="AD136" s="45"/>
      <c r="AE136" s="45"/>
      <c r="AF136" s="45"/>
      <c r="AG136" s="45"/>
      <c r="AH136" s="45"/>
      <c r="AI136" s="144"/>
      <c r="AJ136" s="144"/>
      <c r="AK136" s="45"/>
      <c r="AL136" s="45"/>
      <c r="AM136" s="144"/>
      <c r="AN136" s="144"/>
      <c r="AO136" s="144"/>
      <c r="AP136" s="22"/>
      <c r="AQ136" s="22"/>
      <c r="AR136" s="144"/>
      <c r="AS136" s="22"/>
      <c r="AT136" s="22"/>
      <c r="AU136" s="144"/>
      <c r="AV136" s="22"/>
      <c r="AW136" s="22"/>
      <c r="AX136" s="144"/>
      <c r="AY136" s="22"/>
      <c r="AZ136" s="22"/>
      <c r="BA136" s="144"/>
      <c r="BB136" s="22"/>
      <c r="BC136" s="22"/>
      <c r="BD136" s="144"/>
      <c r="BE136" s="144"/>
      <c r="BF136" s="22"/>
      <c r="BG136" s="144"/>
      <c r="BH136" s="144"/>
      <c r="BI136" s="144"/>
      <c r="BJ136" s="144"/>
      <c r="BK136" s="144"/>
      <c r="BL136" s="22"/>
      <c r="BM136" s="144"/>
      <c r="BN136" s="144"/>
      <c r="BO136" s="22"/>
      <c r="BP136" s="144"/>
      <c r="BQ136" s="22"/>
      <c r="BR136" s="144"/>
      <c r="BS136" s="144"/>
      <c r="BT136" s="22"/>
      <c r="BU136" s="144"/>
      <c r="BV136" s="144"/>
      <c r="BW136" s="22"/>
      <c r="BX136" s="22"/>
      <c r="BY136" s="144"/>
      <c r="BZ136" s="22"/>
      <c r="CA136" s="22"/>
      <c r="CB136" s="144"/>
      <c r="CC136" s="22"/>
      <c r="CD136" s="22"/>
      <c r="CE136" s="144"/>
      <c r="CF136" s="22"/>
      <c r="CG136" s="22"/>
      <c r="CH136" s="144"/>
      <c r="CI136" s="22"/>
      <c r="CJ136" s="22"/>
      <c r="CK136" s="144"/>
      <c r="CL136" s="22"/>
      <c r="CM136" s="22"/>
      <c r="CN136" s="144"/>
      <c r="CO136" s="22"/>
      <c r="CP136" s="22"/>
      <c r="CQ136" s="144"/>
    </row>
    <row r="137" spans="1:95" ht="15.75" customHeight="1" x14ac:dyDescent="0.45">
      <c r="A137" s="22"/>
      <c r="B137" s="22"/>
      <c r="C137" s="12"/>
      <c r="D137" s="12"/>
      <c r="E137" s="12"/>
      <c r="F137" s="155"/>
      <c r="G137" s="144"/>
      <c r="H137" s="144"/>
      <c r="I137" s="12"/>
      <c r="J137" s="22"/>
      <c r="K137" s="22"/>
      <c r="L137" s="22"/>
      <c r="M137" s="145"/>
      <c r="N137" s="144"/>
      <c r="O137" s="144"/>
      <c r="P137" s="152"/>
      <c r="Q137" s="22"/>
      <c r="R137" s="152"/>
      <c r="S137" s="22"/>
      <c r="T137" s="74"/>
      <c r="U137" s="45"/>
      <c r="V137" s="158"/>
      <c r="W137" s="45"/>
      <c r="X137" s="45"/>
      <c r="Y137" s="45"/>
      <c r="Z137" s="45"/>
      <c r="AA137" s="45"/>
      <c r="AB137" s="45"/>
      <c r="AC137" s="44"/>
      <c r="AD137" s="45"/>
      <c r="AE137" s="45"/>
      <c r="AF137" s="45"/>
      <c r="AG137" s="45"/>
      <c r="AH137" s="45"/>
      <c r="AI137" s="144"/>
      <c r="AJ137" s="144"/>
      <c r="AK137" s="45"/>
      <c r="AL137" s="45"/>
      <c r="AM137" s="144"/>
      <c r="AN137" s="144"/>
      <c r="AO137" s="144"/>
      <c r="AP137" s="22"/>
      <c r="AQ137" s="22"/>
      <c r="AR137" s="144"/>
      <c r="AS137" s="22"/>
      <c r="AT137" s="22"/>
      <c r="AU137" s="144"/>
      <c r="AV137" s="22"/>
      <c r="AW137" s="22"/>
      <c r="AX137" s="144"/>
      <c r="AY137" s="22"/>
      <c r="AZ137" s="22"/>
      <c r="BA137" s="144"/>
      <c r="BB137" s="22"/>
      <c r="BC137" s="22"/>
      <c r="BD137" s="144"/>
      <c r="BE137" s="144"/>
      <c r="BF137" s="22"/>
      <c r="BG137" s="144"/>
      <c r="BH137" s="144"/>
      <c r="BI137" s="144"/>
      <c r="BJ137" s="144"/>
      <c r="BK137" s="144"/>
      <c r="BL137" s="22"/>
      <c r="BM137" s="144"/>
      <c r="BN137" s="144"/>
      <c r="BO137" s="22"/>
      <c r="BP137" s="144"/>
      <c r="BQ137" s="22"/>
      <c r="BR137" s="144"/>
      <c r="BS137" s="144"/>
      <c r="BT137" s="22"/>
      <c r="BU137" s="144"/>
      <c r="BV137" s="144"/>
      <c r="BW137" s="22"/>
      <c r="BX137" s="22"/>
      <c r="BY137" s="144"/>
      <c r="BZ137" s="22"/>
      <c r="CA137" s="22"/>
      <c r="CB137" s="144"/>
      <c r="CC137" s="22"/>
      <c r="CD137" s="22"/>
      <c r="CE137" s="144"/>
      <c r="CF137" s="22"/>
      <c r="CG137" s="22"/>
      <c r="CH137" s="144"/>
      <c r="CI137" s="22"/>
      <c r="CJ137" s="22"/>
      <c r="CK137" s="144"/>
      <c r="CL137" s="22"/>
      <c r="CM137" s="22"/>
      <c r="CN137" s="144"/>
      <c r="CO137" s="22"/>
      <c r="CP137" s="22"/>
      <c r="CQ137" s="144"/>
    </row>
    <row r="138" spans="1:95" ht="15.75" customHeight="1" x14ac:dyDescent="0.45">
      <c r="A138" s="22"/>
      <c r="B138" s="22"/>
      <c r="C138" s="12"/>
      <c r="D138" s="12"/>
      <c r="E138" s="12"/>
      <c r="F138" s="155"/>
      <c r="G138" s="144"/>
      <c r="H138" s="144"/>
      <c r="I138" s="12"/>
      <c r="J138" s="22"/>
      <c r="K138" s="22"/>
      <c r="L138" s="22"/>
      <c r="M138" s="145"/>
      <c r="N138" s="144"/>
      <c r="O138" s="144"/>
      <c r="P138" s="152"/>
      <c r="Q138" s="22"/>
      <c r="R138" s="152"/>
      <c r="S138" s="22"/>
      <c r="T138" s="74"/>
      <c r="U138" s="45"/>
      <c r="V138" s="158"/>
      <c r="W138" s="45"/>
      <c r="X138" s="45"/>
      <c r="Y138" s="45"/>
      <c r="Z138" s="45"/>
      <c r="AA138" s="45"/>
      <c r="AB138" s="45"/>
      <c r="AC138" s="44"/>
      <c r="AD138" s="45"/>
      <c r="AE138" s="45"/>
      <c r="AF138" s="45"/>
      <c r="AG138" s="45"/>
      <c r="AH138" s="45"/>
      <c r="AI138" s="144"/>
      <c r="AJ138" s="144"/>
      <c r="AK138" s="45"/>
      <c r="AL138" s="45"/>
      <c r="AM138" s="144"/>
      <c r="AN138" s="144"/>
      <c r="AO138" s="144"/>
      <c r="AP138" s="22"/>
      <c r="AQ138" s="22"/>
      <c r="AR138" s="144"/>
      <c r="AS138" s="22"/>
      <c r="AT138" s="22"/>
      <c r="AU138" s="144"/>
      <c r="AV138" s="22"/>
      <c r="AW138" s="22"/>
      <c r="AX138" s="144"/>
      <c r="AY138" s="22"/>
      <c r="AZ138" s="22"/>
      <c r="BA138" s="144"/>
      <c r="BB138" s="22"/>
      <c r="BC138" s="22"/>
      <c r="BD138" s="144"/>
      <c r="BE138" s="144"/>
      <c r="BF138" s="22"/>
      <c r="BG138" s="144"/>
      <c r="BH138" s="144"/>
      <c r="BI138" s="144"/>
      <c r="BJ138" s="144"/>
      <c r="BK138" s="144"/>
      <c r="BL138" s="22"/>
      <c r="BM138" s="144"/>
      <c r="BN138" s="144"/>
      <c r="BO138" s="22"/>
      <c r="BP138" s="144"/>
      <c r="BQ138" s="22"/>
      <c r="BR138" s="144"/>
      <c r="BS138" s="144"/>
      <c r="BT138" s="22"/>
      <c r="BU138" s="144"/>
      <c r="BV138" s="144"/>
      <c r="BW138" s="22"/>
      <c r="BX138" s="22"/>
      <c r="BY138" s="144"/>
      <c r="BZ138" s="22"/>
      <c r="CA138" s="22"/>
      <c r="CB138" s="144"/>
      <c r="CC138" s="22"/>
      <c r="CD138" s="22"/>
      <c r="CE138" s="144"/>
      <c r="CF138" s="22"/>
      <c r="CG138" s="22"/>
      <c r="CH138" s="144"/>
      <c r="CI138" s="22"/>
      <c r="CJ138" s="22"/>
      <c r="CK138" s="144"/>
      <c r="CL138" s="22"/>
      <c r="CM138" s="22"/>
      <c r="CN138" s="144"/>
      <c r="CO138" s="22"/>
      <c r="CP138" s="22"/>
      <c r="CQ138" s="144"/>
    </row>
    <row r="139" spans="1:95" ht="15.75" customHeight="1" x14ac:dyDescent="0.45">
      <c r="A139" s="22"/>
      <c r="B139" s="22"/>
      <c r="C139" s="12"/>
      <c r="D139" s="12"/>
      <c r="E139" s="12"/>
      <c r="F139" s="155"/>
      <c r="G139" s="144"/>
      <c r="H139" s="144"/>
      <c r="I139" s="12"/>
      <c r="J139" s="22"/>
      <c r="K139" s="22"/>
      <c r="L139" s="22"/>
      <c r="M139" s="145"/>
      <c r="N139" s="144"/>
      <c r="O139" s="144"/>
      <c r="P139" s="152"/>
      <c r="Q139" s="22"/>
      <c r="R139" s="152"/>
      <c r="S139" s="22"/>
      <c r="T139" s="74"/>
      <c r="U139" s="45"/>
      <c r="V139" s="158"/>
      <c r="W139" s="45"/>
      <c r="X139" s="45"/>
      <c r="Y139" s="45"/>
      <c r="Z139" s="45"/>
      <c r="AA139" s="45"/>
      <c r="AB139" s="45"/>
      <c r="AC139" s="44"/>
      <c r="AD139" s="45"/>
      <c r="AE139" s="45"/>
      <c r="AF139" s="45"/>
      <c r="AG139" s="45"/>
      <c r="AH139" s="45"/>
      <c r="AI139" s="144"/>
      <c r="AJ139" s="144"/>
      <c r="AK139" s="45"/>
      <c r="AL139" s="45"/>
      <c r="AM139" s="144"/>
      <c r="AN139" s="144"/>
      <c r="AO139" s="144"/>
      <c r="AP139" s="22"/>
      <c r="AQ139" s="22"/>
      <c r="AR139" s="144"/>
      <c r="AS139" s="22"/>
      <c r="AT139" s="22"/>
      <c r="AU139" s="144"/>
      <c r="AV139" s="22"/>
      <c r="AW139" s="22"/>
      <c r="AX139" s="144"/>
      <c r="AY139" s="22"/>
      <c r="AZ139" s="22"/>
      <c r="BA139" s="144"/>
      <c r="BB139" s="22"/>
      <c r="BC139" s="22"/>
      <c r="BD139" s="144"/>
      <c r="BE139" s="144"/>
      <c r="BF139" s="22"/>
      <c r="BG139" s="144"/>
      <c r="BH139" s="144"/>
      <c r="BI139" s="144"/>
      <c r="BJ139" s="144"/>
      <c r="BK139" s="144"/>
      <c r="BL139" s="22"/>
      <c r="BM139" s="144"/>
      <c r="BN139" s="144"/>
      <c r="BO139" s="22"/>
      <c r="BP139" s="144"/>
      <c r="BQ139" s="22"/>
      <c r="BR139" s="144"/>
      <c r="BS139" s="144"/>
      <c r="BT139" s="22"/>
      <c r="BU139" s="144"/>
      <c r="BV139" s="144"/>
      <c r="BW139" s="22"/>
      <c r="BX139" s="22"/>
      <c r="BY139" s="144"/>
      <c r="BZ139" s="22"/>
      <c r="CA139" s="22"/>
      <c r="CB139" s="144"/>
      <c r="CC139" s="22"/>
      <c r="CD139" s="22"/>
      <c r="CE139" s="144"/>
      <c r="CF139" s="22"/>
      <c r="CG139" s="22"/>
      <c r="CH139" s="144"/>
      <c r="CI139" s="22"/>
      <c r="CJ139" s="22"/>
      <c r="CK139" s="144"/>
      <c r="CL139" s="22"/>
      <c r="CM139" s="22"/>
      <c r="CN139" s="144"/>
      <c r="CO139" s="22"/>
      <c r="CP139" s="22"/>
      <c r="CQ139" s="144"/>
    </row>
    <row r="140" spans="1:95" ht="15.75" customHeight="1" x14ac:dyDescent="0.45">
      <c r="A140" s="22"/>
      <c r="B140" s="22"/>
      <c r="C140" s="12"/>
      <c r="D140" s="12"/>
      <c r="E140" s="12"/>
      <c r="F140" s="155"/>
      <c r="G140" s="144"/>
      <c r="H140" s="144"/>
      <c r="I140" s="12"/>
      <c r="J140" s="22"/>
      <c r="K140" s="22"/>
      <c r="L140" s="22"/>
      <c r="M140" s="145"/>
      <c r="N140" s="144"/>
      <c r="O140" s="144"/>
      <c r="P140" s="152"/>
      <c r="Q140" s="22"/>
      <c r="R140" s="152"/>
      <c r="S140" s="22"/>
      <c r="T140" s="74"/>
      <c r="U140" s="45"/>
      <c r="V140" s="158"/>
      <c r="W140" s="45"/>
      <c r="X140" s="45"/>
      <c r="Y140" s="45"/>
      <c r="Z140" s="45"/>
      <c r="AA140" s="45"/>
      <c r="AB140" s="45"/>
      <c r="AC140" s="44"/>
      <c r="AD140" s="45"/>
      <c r="AE140" s="45"/>
      <c r="AF140" s="45"/>
      <c r="AG140" s="45"/>
      <c r="AH140" s="45"/>
      <c r="AI140" s="144"/>
      <c r="AJ140" s="144"/>
      <c r="AK140" s="45"/>
      <c r="AL140" s="45"/>
      <c r="AM140" s="144"/>
      <c r="AN140" s="144"/>
      <c r="AO140" s="144"/>
      <c r="AP140" s="22"/>
      <c r="AQ140" s="22"/>
      <c r="AR140" s="144"/>
      <c r="AS140" s="22"/>
      <c r="AT140" s="22"/>
      <c r="AU140" s="144"/>
      <c r="AV140" s="22"/>
      <c r="AW140" s="22"/>
      <c r="AX140" s="144"/>
      <c r="AY140" s="22"/>
      <c r="AZ140" s="22"/>
      <c r="BA140" s="144"/>
      <c r="BB140" s="22"/>
      <c r="BC140" s="22"/>
      <c r="BD140" s="144"/>
      <c r="BE140" s="144"/>
      <c r="BF140" s="22"/>
      <c r="BG140" s="144"/>
      <c r="BH140" s="144"/>
      <c r="BI140" s="144"/>
      <c r="BJ140" s="144"/>
      <c r="BK140" s="144"/>
      <c r="BL140" s="22"/>
      <c r="BM140" s="144"/>
      <c r="BN140" s="144"/>
      <c r="BO140" s="22"/>
      <c r="BP140" s="144"/>
      <c r="BQ140" s="22"/>
      <c r="BR140" s="144"/>
      <c r="BS140" s="144"/>
      <c r="BT140" s="22"/>
      <c r="BU140" s="144"/>
      <c r="BV140" s="144"/>
      <c r="BW140" s="22"/>
      <c r="BX140" s="22"/>
      <c r="BY140" s="144"/>
      <c r="BZ140" s="22"/>
      <c r="CA140" s="22"/>
      <c r="CB140" s="144"/>
      <c r="CC140" s="22"/>
      <c r="CD140" s="22"/>
      <c r="CE140" s="144"/>
      <c r="CF140" s="22"/>
      <c r="CG140" s="22"/>
      <c r="CH140" s="144"/>
      <c r="CI140" s="22"/>
      <c r="CJ140" s="22"/>
      <c r="CK140" s="144"/>
      <c r="CL140" s="22"/>
      <c r="CM140" s="22"/>
      <c r="CN140" s="144"/>
      <c r="CO140" s="22"/>
      <c r="CP140" s="22"/>
      <c r="CQ140" s="144"/>
    </row>
    <row r="141" spans="1:95" ht="15.75" customHeight="1" x14ac:dyDescent="0.45">
      <c r="A141" s="22"/>
      <c r="B141" s="22"/>
      <c r="C141" s="12"/>
      <c r="D141" s="12"/>
      <c r="E141" s="12"/>
      <c r="F141" s="155"/>
      <c r="G141" s="144"/>
      <c r="H141" s="144"/>
      <c r="I141" s="12"/>
      <c r="J141" s="22"/>
      <c r="K141" s="22"/>
      <c r="L141" s="22"/>
      <c r="M141" s="145"/>
      <c r="N141" s="144"/>
      <c r="O141" s="144"/>
      <c r="P141" s="152"/>
      <c r="Q141" s="22"/>
      <c r="R141" s="152"/>
      <c r="S141" s="22"/>
      <c r="T141" s="74"/>
      <c r="U141" s="45"/>
      <c r="V141" s="158"/>
      <c r="W141" s="45"/>
      <c r="X141" s="45"/>
      <c r="Y141" s="45"/>
      <c r="Z141" s="45"/>
      <c r="AA141" s="45"/>
      <c r="AB141" s="45"/>
      <c r="AC141" s="44"/>
      <c r="AD141" s="45"/>
      <c r="AE141" s="45"/>
      <c r="AF141" s="45"/>
      <c r="AG141" s="45"/>
      <c r="AH141" s="45"/>
      <c r="AI141" s="144"/>
      <c r="AJ141" s="144"/>
      <c r="AK141" s="45"/>
      <c r="AL141" s="45"/>
      <c r="AM141" s="144"/>
      <c r="AN141" s="144"/>
      <c r="AO141" s="144"/>
      <c r="AP141" s="22"/>
      <c r="AQ141" s="22"/>
      <c r="AR141" s="144"/>
      <c r="AS141" s="22"/>
      <c r="AT141" s="22"/>
      <c r="AU141" s="144"/>
      <c r="AV141" s="22"/>
      <c r="AW141" s="22"/>
      <c r="AX141" s="144"/>
      <c r="AY141" s="22"/>
      <c r="AZ141" s="22"/>
      <c r="BA141" s="144"/>
      <c r="BB141" s="22"/>
      <c r="BC141" s="22"/>
      <c r="BD141" s="144"/>
      <c r="BE141" s="144"/>
      <c r="BF141" s="22"/>
      <c r="BG141" s="144"/>
      <c r="BH141" s="144"/>
      <c r="BI141" s="144"/>
      <c r="BJ141" s="144"/>
      <c r="BK141" s="144"/>
      <c r="BL141" s="22"/>
      <c r="BM141" s="144"/>
      <c r="BN141" s="144"/>
      <c r="BO141" s="22"/>
      <c r="BP141" s="144"/>
      <c r="BQ141" s="22"/>
      <c r="BR141" s="144"/>
      <c r="BS141" s="144"/>
      <c r="BT141" s="22"/>
      <c r="BU141" s="144"/>
      <c r="BV141" s="144"/>
      <c r="BW141" s="22"/>
      <c r="BX141" s="22"/>
      <c r="BY141" s="144"/>
      <c r="BZ141" s="22"/>
      <c r="CA141" s="22"/>
      <c r="CB141" s="144"/>
      <c r="CC141" s="22"/>
      <c r="CD141" s="22"/>
      <c r="CE141" s="144"/>
      <c r="CF141" s="22"/>
      <c r="CG141" s="22"/>
      <c r="CH141" s="144"/>
      <c r="CI141" s="22"/>
      <c r="CJ141" s="22"/>
      <c r="CK141" s="144"/>
      <c r="CL141" s="22"/>
      <c r="CM141" s="22"/>
      <c r="CN141" s="144"/>
      <c r="CO141" s="22"/>
      <c r="CP141" s="22"/>
      <c r="CQ141" s="144"/>
    </row>
    <row r="142" spans="1:95" ht="15.75" customHeight="1" x14ac:dyDescent="0.45">
      <c r="A142" s="22"/>
      <c r="B142" s="22"/>
      <c r="C142" s="12"/>
      <c r="D142" s="12"/>
      <c r="E142" s="12"/>
      <c r="F142" s="155"/>
      <c r="G142" s="144"/>
      <c r="H142" s="144"/>
      <c r="I142" s="12"/>
      <c r="J142" s="22"/>
      <c r="K142" s="22"/>
      <c r="L142" s="22"/>
      <c r="M142" s="145"/>
      <c r="N142" s="144"/>
      <c r="O142" s="144"/>
      <c r="P142" s="152"/>
      <c r="Q142" s="22"/>
      <c r="R142" s="152"/>
      <c r="S142" s="22"/>
      <c r="T142" s="74"/>
      <c r="U142" s="45"/>
      <c r="V142" s="158"/>
      <c r="W142" s="45"/>
      <c r="X142" s="45"/>
      <c r="Y142" s="45"/>
      <c r="Z142" s="45"/>
      <c r="AA142" s="45"/>
      <c r="AB142" s="45"/>
      <c r="AC142" s="44"/>
      <c r="AD142" s="45"/>
      <c r="AE142" s="45"/>
      <c r="AF142" s="45"/>
      <c r="AG142" s="45"/>
      <c r="AH142" s="45"/>
      <c r="AI142" s="144"/>
      <c r="AJ142" s="144"/>
      <c r="AK142" s="45"/>
      <c r="AL142" s="45"/>
      <c r="AM142" s="144"/>
      <c r="AN142" s="144"/>
      <c r="AO142" s="144"/>
      <c r="AP142" s="22"/>
      <c r="AQ142" s="22"/>
      <c r="AR142" s="144"/>
      <c r="AS142" s="22"/>
      <c r="AT142" s="22"/>
      <c r="AU142" s="144"/>
      <c r="AV142" s="22"/>
      <c r="AW142" s="22"/>
      <c r="AX142" s="144"/>
      <c r="AY142" s="22"/>
      <c r="AZ142" s="22"/>
      <c r="BA142" s="144"/>
      <c r="BB142" s="22"/>
      <c r="BC142" s="22"/>
      <c r="BD142" s="144"/>
      <c r="BE142" s="144"/>
      <c r="BF142" s="22"/>
      <c r="BG142" s="144"/>
      <c r="BH142" s="144"/>
      <c r="BI142" s="144"/>
      <c r="BJ142" s="144"/>
      <c r="BK142" s="144"/>
      <c r="BL142" s="22"/>
      <c r="BM142" s="144"/>
      <c r="BN142" s="144"/>
      <c r="BO142" s="22"/>
      <c r="BP142" s="144"/>
      <c r="BQ142" s="22"/>
      <c r="BR142" s="144"/>
      <c r="BS142" s="144"/>
      <c r="BT142" s="22"/>
      <c r="BU142" s="144"/>
      <c r="BV142" s="144"/>
      <c r="BW142" s="22"/>
      <c r="BX142" s="22"/>
      <c r="BY142" s="144"/>
      <c r="BZ142" s="22"/>
      <c r="CA142" s="22"/>
      <c r="CB142" s="144"/>
      <c r="CC142" s="22"/>
      <c r="CD142" s="22"/>
      <c r="CE142" s="144"/>
      <c r="CF142" s="22"/>
      <c r="CG142" s="22"/>
      <c r="CH142" s="144"/>
      <c r="CI142" s="22"/>
      <c r="CJ142" s="22"/>
      <c r="CK142" s="144"/>
      <c r="CL142" s="22"/>
      <c r="CM142" s="22"/>
      <c r="CN142" s="144"/>
      <c r="CO142" s="22"/>
      <c r="CP142" s="22"/>
      <c r="CQ142" s="144"/>
    </row>
    <row r="143" spans="1:95" ht="15.75" customHeight="1" x14ac:dyDescent="0.45">
      <c r="A143" s="22"/>
      <c r="B143" s="22"/>
      <c r="C143" s="12"/>
      <c r="D143" s="12"/>
      <c r="E143" s="12"/>
      <c r="F143" s="155"/>
      <c r="G143" s="144"/>
      <c r="H143" s="144"/>
      <c r="I143" s="12"/>
      <c r="J143" s="22"/>
      <c r="K143" s="22"/>
      <c r="L143" s="22"/>
      <c r="M143" s="145"/>
      <c r="N143" s="144"/>
      <c r="O143" s="144"/>
      <c r="P143" s="152"/>
      <c r="Q143" s="22"/>
      <c r="R143" s="152"/>
      <c r="S143" s="22"/>
      <c r="T143" s="74"/>
      <c r="U143" s="45"/>
      <c r="V143" s="158"/>
      <c r="W143" s="45"/>
      <c r="X143" s="45"/>
      <c r="Y143" s="45"/>
      <c r="Z143" s="45"/>
      <c r="AA143" s="45"/>
      <c r="AB143" s="45"/>
      <c r="AC143" s="44"/>
      <c r="AD143" s="45"/>
      <c r="AE143" s="45"/>
      <c r="AF143" s="45"/>
      <c r="AG143" s="45"/>
      <c r="AH143" s="45"/>
      <c r="AI143" s="144"/>
      <c r="AJ143" s="144"/>
      <c r="AK143" s="45"/>
      <c r="AL143" s="45"/>
      <c r="AM143" s="144"/>
      <c r="AN143" s="144"/>
      <c r="AO143" s="144"/>
      <c r="AP143" s="22"/>
      <c r="AQ143" s="22"/>
      <c r="AR143" s="144"/>
      <c r="AS143" s="22"/>
      <c r="AT143" s="22"/>
      <c r="AU143" s="144"/>
      <c r="AV143" s="22"/>
      <c r="AW143" s="22"/>
      <c r="AX143" s="144"/>
      <c r="AY143" s="22"/>
      <c r="AZ143" s="22"/>
      <c r="BA143" s="144"/>
      <c r="BB143" s="22"/>
      <c r="BC143" s="22"/>
      <c r="BD143" s="144"/>
      <c r="BE143" s="144"/>
      <c r="BF143" s="22"/>
      <c r="BG143" s="144"/>
      <c r="BH143" s="144"/>
      <c r="BI143" s="144"/>
      <c r="BJ143" s="144"/>
      <c r="BK143" s="144"/>
      <c r="BL143" s="22"/>
      <c r="BM143" s="144"/>
      <c r="BN143" s="144"/>
      <c r="BO143" s="22"/>
      <c r="BP143" s="144"/>
      <c r="BQ143" s="22"/>
      <c r="BR143" s="144"/>
      <c r="BS143" s="144"/>
      <c r="BT143" s="22"/>
      <c r="BU143" s="144"/>
      <c r="BV143" s="144"/>
      <c r="BW143" s="22"/>
      <c r="BX143" s="22"/>
      <c r="BY143" s="144"/>
      <c r="BZ143" s="22"/>
      <c r="CA143" s="22"/>
      <c r="CB143" s="144"/>
      <c r="CC143" s="22"/>
      <c r="CD143" s="22"/>
      <c r="CE143" s="144"/>
      <c r="CF143" s="22"/>
      <c r="CG143" s="22"/>
      <c r="CH143" s="144"/>
      <c r="CI143" s="22"/>
      <c r="CJ143" s="22"/>
      <c r="CK143" s="144"/>
      <c r="CL143" s="22"/>
      <c r="CM143" s="22"/>
      <c r="CN143" s="144"/>
      <c r="CO143" s="22"/>
      <c r="CP143" s="22"/>
      <c r="CQ143" s="144"/>
    </row>
    <row r="144" spans="1:95" ht="15.75" customHeight="1" x14ac:dyDescent="0.45">
      <c r="A144" s="22"/>
      <c r="B144" s="22"/>
      <c r="C144" s="12"/>
      <c r="D144" s="12"/>
      <c r="E144" s="12"/>
      <c r="F144" s="155"/>
      <c r="G144" s="144"/>
      <c r="H144" s="144"/>
      <c r="I144" s="12"/>
      <c r="J144" s="22"/>
      <c r="K144" s="22"/>
      <c r="L144" s="22"/>
      <c r="M144" s="145"/>
      <c r="N144" s="144"/>
      <c r="O144" s="144"/>
      <c r="P144" s="152"/>
      <c r="Q144" s="22"/>
      <c r="R144" s="152"/>
      <c r="S144" s="22"/>
      <c r="T144" s="74"/>
      <c r="U144" s="45"/>
      <c r="V144" s="158"/>
      <c r="W144" s="45"/>
      <c r="X144" s="45"/>
      <c r="Y144" s="45"/>
      <c r="Z144" s="45"/>
      <c r="AA144" s="45"/>
      <c r="AB144" s="45"/>
      <c r="AC144" s="44"/>
      <c r="AD144" s="45"/>
      <c r="AE144" s="45"/>
      <c r="AF144" s="45"/>
      <c r="AG144" s="45"/>
      <c r="AH144" s="45"/>
      <c r="AI144" s="144"/>
      <c r="AJ144" s="144"/>
      <c r="AK144" s="45"/>
      <c r="AL144" s="45"/>
      <c r="AM144" s="144"/>
      <c r="AN144" s="144"/>
      <c r="AO144" s="144"/>
      <c r="AP144" s="22"/>
      <c r="AQ144" s="22"/>
      <c r="AR144" s="144"/>
      <c r="AS144" s="22"/>
      <c r="AT144" s="22"/>
      <c r="AU144" s="144"/>
      <c r="AV144" s="22"/>
      <c r="AW144" s="22"/>
      <c r="AX144" s="144"/>
      <c r="AY144" s="22"/>
      <c r="AZ144" s="22"/>
      <c r="BA144" s="144"/>
      <c r="BB144" s="22"/>
      <c r="BC144" s="22"/>
      <c r="BD144" s="144"/>
      <c r="BE144" s="144"/>
      <c r="BF144" s="22"/>
      <c r="BG144" s="144"/>
      <c r="BH144" s="144"/>
      <c r="BI144" s="144"/>
      <c r="BJ144" s="144"/>
      <c r="BK144" s="144"/>
      <c r="BL144" s="22"/>
      <c r="BM144" s="144"/>
      <c r="BN144" s="144"/>
      <c r="BO144" s="22"/>
      <c r="BP144" s="144"/>
      <c r="BQ144" s="22"/>
      <c r="BR144" s="144"/>
      <c r="BS144" s="144"/>
      <c r="BT144" s="22"/>
      <c r="BU144" s="144"/>
      <c r="BV144" s="144"/>
      <c r="BW144" s="22"/>
      <c r="BX144" s="22"/>
      <c r="BY144" s="144"/>
      <c r="BZ144" s="22"/>
      <c r="CA144" s="22"/>
      <c r="CB144" s="144"/>
      <c r="CC144" s="22"/>
      <c r="CD144" s="22"/>
      <c r="CE144" s="144"/>
      <c r="CF144" s="22"/>
      <c r="CG144" s="22"/>
      <c r="CH144" s="144"/>
      <c r="CI144" s="22"/>
      <c r="CJ144" s="22"/>
      <c r="CK144" s="144"/>
      <c r="CL144" s="22"/>
      <c r="CM144" s="22"/>
      <c r="CN144" s="144"/>
      <c r="CO144" s="22"/>
      <c r="CP144" s="22"/>
      <c r="CQ144" s="144"/>
    </row>
    <row r="145" spans="1:95" ht="15.75" customHeight="1" x14ac:dyDescent="0.45">
      <c r="A145" s="22"/>
      <c r="B145" s="22"/>
      <c r="C145" s="12"/>
      <c r="D145" s="12"/>
      <c r="E145" s="12"/>
      <c r="F145" s="155"/>
      <c r="G145" s="144"/>
      <c r="H145" s="144"/>
      <c r="I145" s="12"/>
      <c r="J145" s="22"/>
      <c r="K145" s="22"/>
      <c r="L145" s="22"/>
      <c r="M145" s="145"/>
      <c r="N145" s="144"/>
      <c r="O145" s="144"/>
      <c r="P145" s="152"/>
      <c r="Q145" s="22"/>
      <c r="R145" s="152"/>
      <c r="S145" s="22"/>
      <c r="T145" s="74"/>
      <c r="U145" s="45"/>
      <c r="V145" s="158"/>
      <c r="W145" s="45"/>
      <c r="X145" s="45"/>
      <c r="Y145" s="45"/>
      <c r="Z145" s="45"/>
      <c r="AA145" s="45"/>
      <c r="AB145" s="45"/>
      <c r="AC145" s="44"/>
      <c r="AD145" s="45"/>
      <c r="AE145" s="45"/>
      <c r="AF145" s="45"/>
      <c r="AG145" s="45"/>
      <c r="AH145" s="45"/>
      <c r="AI145" s="144"/>
      <c r="AJ145" s="144"/>
      <c r="AK145" s="45"/>
      <c r="AL145" s="45"/>
      <c r="AM145" s="144"/>
      <c r="AN145" s="144"/>
      <c r="AO145" s="144"/>
      <c r="AP145" s="22"/>
      <c r="AQ145" s="22"/>
      <c r="AR145" s="144"/>
      <c r="AS145" s="22"/>
      <c r="AT145" s="22"/>
      <c r="AU145" s="144"/>
      <c r="AV145" s="22"/>
      <c r="AW145" s="22"/>
      <c r="AX145" s="144"/>
      <c r="AY145" s="22"/>
      <c r="AZ145" s="22"/>
      <c r="BA145" s="144"/>
      <c r="BB145" s="22"/>
      <c r="BC145" s="22"/>
      <c r="BD145" s="144"/>
      <c r="BE145" s="144"/>
      <c r="BF145" s="22"/>
      <c r="BG145" s="144"/>
      <c r="BH145" s="144"/>
      <c r="BI145" s="144"/>
      <c r="BJ145" s="144"/>
      <c r="BK145" s="144"/>
      <c r="BL145" s="22"/>
      <c r="BM145" s="144"/>
      <c r="BN145" s="144"/>
      <c r="BO145" s="22"/>
      <c r="BP145" s="144"/>
      <c r="BQ145" s="22"/>
      <c r="BR145" s="144"/>
      <c r="BS145" s="144"/>
      <c r="BT145" s="22"/>
      <c r="BU145" s="144"/>
      <c r="BV145" s="144"/>
      <c r="BW145" s="22"/>
      <c r="BX145" s="22"/>
      <c r="BY145" s="144"/>
      <c r="BZ145" s="22"/>
      <c r="CA145" s="22"/>
      <c r="CB145" s="144"/>
      <c r="CC145" s="22"/>
      <c r="CD145" s="22"/>
      <c r="CE145" s="144"/>
      <c r="CF145" s="22"/>
      <c r="CG145" s="22"/>
      <c r="CH145" s="144"/>
      <c r="CI145" s="22"/>
      <c r="CJ145" s="22"/>
      <c r="CK145" s="144"/>
      <c r="CL145" s="22"/>
      <c r="CM145" s="22"/>
      <c r="CN145" s="144"/>
      <c r="CO145" s="22"/>
      <c r="CP145" s="22"/>
      <c r="CQ145" s="144"/>
    </row>
    <row r="146" spans="1:95" ht="15.75" customHeight="1" x14ac:dyDescent="0.45">
      <c r="A146" s="22"/>
      <c r="B146" s="22"/>
      <c r="C146" s="12"/>
      <c r="D146" s="12"/>
      <c r="E146" s="12"/>
      <c r="F146" s="155"/>
      <c r="G146" s="144"/>
      <c r="H146" s="144"/>
      <c r="I146" s="12"/>
      <c r="J146" s="22"/>
      <c r="K146" s="22"/>
      <c r="L146" s="22"/>
      <c r="M146" s="145"/>
      <c r="N146" s="144"/>
      <c r="O146" s="144"/>
      <c r="P146" s="152"/>
      <c r="Q146" s="22"/>
      <c r="R146" s="152"/>
      <c r="S146" s="22"/>
      <c r="T146" s="74"/>
      <c r="U146" s="45"/>
      <c r="V146" s="158"/>
      <c r="W146" s="45"/>
      <c r="X146" s="45"/>
      <c r="Y146" s="45"/>
      <c r="Z146" s="45"/>
      <c r="AA146" s="45"/>
      <c r="AB146" s="45"/>
      <c r="AC146" s="44"/>
      <c r="AD146" s="45"/>
      <c r="AE146" s="45"/>
      <c r="AF146" s="45"/>
      <c r="AG146" s="45"/>
      <c r="AH146" s="45"/>
      <c r="AI146" s="144"/>
      <c r="AJ146" s="144"/>
      <c r="AK146" s="45"/>
      <c r="AL146" s="45"/>
      <c r="AM146" s="144"/>
      <c r="AN146" s="144"/>
      <c r="AO146" s="144"/>
      <c r="AP146" s="22"/>
      <c r="AQ146" s="22"/>
      <c r="AR146" s="144"/>
      <c r="AS146" s="22"/>
      <c r="AT146" s="22"/>
      <c r="AU146" s="144"/>
      <c r="AV146" s="22"/>
      <c r="AW146" s="22"/>
      <c r="AX146" s="144"/>
      <c r="AY146" s="22"/>
      <c r="AZ146" s="22"/>
      <c r="BA146" s="144"/>
      <c r="BB146" s="22"/>
      <c r="BC146" s="22"/>
      <c r="BD146" s="144"/>
      <c r="BE146" s="144"/>
      <c r="BF146" s="22"/>
      <c r="BG146" s="144"/>
      <c r="BH146" s="144"/>
      <c r="BI146" s="144"/>
      <c r="BJ146" s="144"/>
      <c r="BK146" s="144"/>
      <c r="BL146" s="22"/>
      <c r="BM146" s="144"/>
      <c r="BN146" s="144"/>
      <c r="BO146" s="22"/>
      <c r="BP146" s="144"/>
      <c r="BQ146" s="22"/>
      <c r="BR146" s="144"/>
      <c r="BS146" s="144"/>
      <c r="BT146" s="22"/>
      <c r="BU146" s="144"/>
      <c r="BV146" s="144"/>
      <c r="BW146" s="22"/>
      <c r="BX146" s="22"/>
      <c r="BY146" s="144"/>
      <c r="BZ146" s="22"/>
      <c r="CA146" s="22"/>
      <c r="CB146" s="144"/>
      <c r="CC146" s="22"/>
      <c r="CD146" s="22"/>
      <c r="CE146" s="144"/>
      <c r="CF146" s="22"/>
      <c r="CG146" s="22"/>
      <c r="CH146" s="144"/>
      <c r="CI146" s="22"/>
      <c r="CJ146" s="22"/>
      <c r="CK146" s="144"/>
      <c r="CL146" s="22"/>
      <c r="CM146" s="22"/>
      <c r="CN146" s="144"/>
      <c r="CO146" s="22"/>
      <c r="CP146" s="22"/>
      <c r="CQ146" s="144"/>
    </row>
    <row r="147" spans="1:95" ht="15.75" customHeight="1" x14ac:dyDescent="0.45">
      <c r="A147" s="22"/>
      <c r="B147" s="22"/>
      <c r="C147" s="12"/>
      <c r="D147" s="12"/>
      <c r="E147" s="12"/>
      <c r="F147" s="155"/>
      <c r="G147" s="144"/>
      <c r="H147" s="144"/>
      <c r="I147" s="12"/>
      <c r="J147" s="22"/>
      <c r="K147" s="22"/>
      <c r="L147" s="22"/>
      <c r="M147" s="145"/>
      <c r="N147" s="144"/>
      <c r="O147" s="144"/>
      <c r="P147" s="152"/>
      <c r="Q147" s="22"/>
      <c r="R147" s="152"/>
      <c r="S147" s="22"/>
      <c r="T147" s="74"/>
      <c r="U147" s="45"/>
      <c r="V147" s="158"/>
      <c r="W147" s="45"/>
      <c r="X147" s="45"/>
      <c r="Y147" s="45"/>
      <c r="Z147" s="45"/>
      <c r="AA147" s="45"/>
      <c r="AB147" s="45"/>
      <c r="AC147" s="44"/>
      <c r="AD147" s="45"/>
      <c r="AE147" s="45"/>
      <c r="AF147" s="45"/>
      <c r="AG147" s="45"/>
      <c r="AH147" s="45"/>
      <c r="AI147" s="144"/>
      <c r="AJ147" s="144"/>
      <c r="AK147" s="45"/>
      <c r="AL147" s="45"/>
      <c r="AM147" s="144"/>
      <c r="AN147" s="144"/>
      <c r="AO147" s="144"/>
      <c r="AP147" s="22"/>
      <c r="AQ147" s="22"/>
      <c r="AR147" s="144"/>
      <c r="AS147" s="22"/>
      <c r="AT147" s="22"/>
      <c r="AU147" s="144"/>
      <c r="AV147" s="22"/>
      <c r="AW147" s="22"/>
      <c r="AX147" s="144"/>
      <c r="AY147" s="22"/>
      <c r="AZ147" s="22"/>
      <c r="BA147" s="144"/>
      <c r="BB147" s="22"/>
      <c r="BC147" s="22"/>
      <c r="BD147" s="144"/>
      <c r="BE147" s="144"/>
      <c r="BF147" s="22"/>
      <c r="BG147" s="144"/>
      <c r="BH147" s="144"/>
      <c r="BI147" s="144"/>
      <c r="BJ147" s="144"/>
      <c r="BK147" s="144"/>
      <c r="BL147" s="22"/>
      <c r="BM147" s="144"/>
      <c r="BN147" s="144"/>
      <c r="BO147" s="22"/>
      <c r="BP147" s="144"/>
      <c r="BQ147" s="22"/>
      <c r="BR147" s="144"/>
      <c r="BS147" s="144"/>
      <c r="BT147" s="22"/>
      <c r="BU147" s="144"/>
      <c r="BV147" s="144"/>
      <c r="BW147" s="22"/>
      <c r="BX147" s="22"/>
      <c r="BY147" s="144"/>
      <c r="BZ147" s="22"/>
      <c r="CA147" s="22"/>
      <c r="CB147" s="144"/>
      <c r="CC147" s="22"/>
      <c r="CD147" s="22"/>
      <c r="CE147" s="144"/>
      <c r="CF147" s="22"/>
      <c r="CG147" s="22"/>
      <c r="CH147" s="144"/>
      <c r="CI147" s="22"/>
      <c r="CJ147" s="22"/>
      <c r="CK147" s="144"/>
      <c r="CL147" s="22"/>
      <c r="CM147" s="22"/>
      <c r="CN147" s="144"/>
      <c r="CO147" s="22"/>
      <c r="CP147" s="22"/>
      <c r="CQ147" s="144"/>
    </row>
    <row r="148" spans="1:95" ht="15.75" customHeight="1" x14ac:dyDescent="0.45">
      <c r="A148" s="22"/>
      <c r="B148" s="22"/>
      <c r="C148" s="12"/>
      <c r="D148" s="12"/>
      <c r="E148" s="12"/>
      <c r="F148" s="155"/>
      <c r="G148" s="144"/>
      <c r="H148" s="144"/>
      <c r="I148" s="12"/>
      <c r="J148" s="22"/>
      <c r="K148" s="22"/>
      <c r="L148" s="22"/>
      <c r="M148" s="145"/>
      <c r="N148" s="144"/>
      <c r="O148" s="144"/>
      <c r="P148" s="152"/>
      <c r="Q148" s="22"/>
      <c r="R148" s="152"/>
      <c r="S148" s="22"/>
      <c r="T148" s="74"/>
      <c r="U148" s="45"/>
      <c r="V148" s="158"/>
      <c r="W148" s="45"/>
      <c r="X148" s="45"/>
      <c r="Y148" s="45"/>
      <c r="Z148" s="45"/>
      <c r="AA148" s="45"/>
      <c r="AB148" s="45"/>
      <c r="AC148" s="44"/>
      <c r="AD148" s="45"/>
      <c r="AE148" s="45"/>
      <c r="AF148" s="45"/>
      <c r="AG148" s="45"/>
      <c r="AH148" s="45"/>
      <c r="AI148" s="144"/>
      <c r="AJ148" s="144"/>
      <c r="AK148" s="45"/>
      <c r="AL148" s="45"/>
      <c r="AM148" s="144"/>
      <c r="AN148" s="144"/>
      <c r="AO148" s="144"/>
      <c r="AP148" s="22"/>
      <c r="AQ148" s="22"/>
      <c r="AR148" s="144"/>
      <c r="AS148" s="22"/>
      <c r="AT148" s="22"/>
      <c r="AU148" s="144"/>
      <c r="AV148" s="22"/>
      <c r="AW148" s="22"/>
      <c r="AX148" s="144"/>
      <c r="AY148" s="22"/>
      <c r="AZ148" s="22"/>
      <c r="BA148" s="144"/>
      <c r="BB148" s="22"/>
      <c r="BC148" s="22"/>
      <c r="BD148" s="144"/>
      <c r="BE148" s="144"/>
      <c r="BF148" s="22"/>
      <c r="BG148" s="144"/>
      <c r="BH148" s="144"/>
      <c r="BI148" s="144"/>
      <c r="BJ148" s="144"/>
      <c r="BK148" s="144"/>
      <c r="BL148" s="22"/>
      <c r="BM148" s="144"/>
      <c r="BN148" s="144"/>
      <c r="BO148" s="22"/>
      <c r="BP148" s="144"/>
      <c r="BQ148" s="22"/>
      <c r="BR148" s="144"/>
      <c r="BS148" s="144"/>
      <c r="BT148" s="22"/>
      <c r="BU148" s="144"/>
      <c r="BV148" s="144"/>
      <c r="BW148" s="22"/>
      <c r="BX148" s="22"/>
      <c r="BY148" s="144"/>
      <c r="BZ148" s="22"/>
      <c r="CA148" s="22"/>
      <c r="CB148" s="144"/>
      <c r="CC148" s="22"/>
      <c r="CD148" s="22"/>
      <c r="CE148" s="144"/>
      <c r="CF148" s="22"/>
      <c r="CG148" s="22"/>
      <c r="CH148" s="144"/>
      <c r="CI148" s="22"/>
      <c r="CJ148" s="22"/>
      <c r="CK148" s="144"/>
      <c r="CL148" s="22"/>
      <c r="CM148" s="22"/>
      <c r="CN148" s="144"/>
      <c r="CO148" s="22"/>
      <c r="CP148" s="22"/>
      <c r="CQ148" s="144"/>
    </row>
    <row r="149" spans="1:95" ht="15.75" customHeight="1" x14ac:dyDescent="0.45">
      <c r="A149" s="22"/>
      <c r="B149" s="22"/>
      <c r="C149" s="12"/>
      <c r="D149" s="12"/>
      <c r="E149" s="12"/>
      <c r="F149" s="155"/>
      <c r="G149" s="144"/>
      <c r="H149" s="144"/>
      <c r="I149" s="12"/>
      <c r="J149" s="22"/>
      <c r="K149" s="22"/>
      <c r="L149" s="22"/>
      <c r="M149" s="145"/>
      <c r="N149" s="144"/>
      <c r="O149" s="144"/>
      <c r="P149" s="152"/>
      <c r="Q149" s="22"/>
      <c r="R149" s="152"/>
      <c r="S149" s="22"/>
      <c r="T149" s="74"/>
      <c r="U149" s="45"/>
      <c r="V149" s="158"/>
      <c r="W149" s="45"/>
      <c r="X149" s="45"/>
      <c r="Y149" s="45"/>
      <c r="Z149" s="45"/>
      <c r="AA149" s="45"/>
      <c r="AB149" s="45"/>
      <c r="AC149" s="44"/>
      <c r="AD149" s="45"/>
      <c r="AE149" s="45"/>
      <c r="AF149" s="45"/>
      <c r="AG149" s="45"/>
      <c r="AH149" s="45"/>
      <c r="AI149" s="144"/>
      <c r="AJ149" s="144"/>
      <c r="AK149" s="45"/>
      <c r="AL149" s="45"/>
      <c r="AM149" s="144"/>
      <c r="AN149" s="144"/>
      <c r="AO149" s="144"/>
      <c r="AP149" s="22"/>
      <c r="AQ149" s="22"/>
      <c r="AR149" s="144"/>
      <c r="AS149" s="22"/>
      <c r="AT149" s="22"/>
      <c r="AU149" s="144"/>
      <c r="AV149" s="22"/>
      <c r="AW149" s="22"/>
      <c r="AX149" s="144"/>
      <c r="AY149" s="22"/>
      <c r="AZ149" s="22"/>
      <c r="BA149" s="144"/>
      <c r="BB149" s="22"/>
      <c r="BC149" s="22"/>
      <c r="BD149" s="144"/>
      <c r="BE149" s="144"/>
      <c r="BF149" s="22"/>
      <c r="BG149" s="144"/>
      <c r="BH149" s="144"/>
      <c r="BI149" s="144"/>
      <c r="BJ149" s="144"/>
      <c r="BK149" s="144"/>
      <c r="BL149" s="22"/>
      <c r="BM149" s="144"/>
      <c r="BN149" s="144"/>
      <c r="BO149" s="22"/>
      <c r="BP149" s="144"/>
      <c r="BQ149" s="22"/>
      <c r="BR149" s="144"/>
      <c r="BS149" s="144"/>
      <c r="BT149" s="22"/>
      <c r="BU149" s="144"/>
      <c r="BV149" s="144"/>
      <c r="BW149" s="22"/>
      <c r="BX149" s="22"/>
      <c r="BY149" s="144"/>
      <c r="BZ149" s="22"/>
      <c r="CA149" s="22"/>
      <c r="CB149" s="144"/>
      <c r="CC149" s="22"/>
      <c r="CD149" s="22"/>
      <c r="CE149" s="144"/>
      <c r="CF149" s="22"/>
      <c r="CG149" s="22"/>
      <c r="CH149" s="144"/>
      <c r="CI149" s="22"/>
      <c r="CJ149" s="22"/>
      <c r="CK149" s="144"/>
      <c r="CL149" s="22"/>
      <c r="CM149" s="22"/>
      <c r="CN149" s="144"/>
      <c r="CO149" s="22"/>
      <c r="CP149" s="22"/>
      <c r="CQ149" s="144"/>
    </row>
    <row r="150" spans="1:95" ht="15.75" customHeight="1" x14ac:dyDescent="0.45">
      <c r="A150" s="22"/>
      <c r="B150" s="22"/>
      <c r="C150" s="12"/>
      <c r="D150" s="12"/>
      <c r="E150" s="12"/>
      <c r="F150" s="155"/>
      <c r="G150" s="144"/>
      <c r="H150" s="144"/>
      <c r="I150" s="12"/>
      <c r="J150" s="22"/>
      <c r="K150" s="22"/>
      <c r="L150" s="22"/>
      <c r="M150" s="145"/>
      <c r="N150" s="144"/>
      <c r="O150" s="144"/>
      <c r="P150" s="152"/>
      <c r="Q150" s="22"/>
      <c r="R150" s="152"/>
      <c r="S150" s="22"/>
      <c r="T150" s="74"/>
      <c r="U150" s="45"/>
      <c r="V150" s="158"/>
      <c r="W150" s="45"/>
      <c r="X150" s="45"/>
      <c r="Y150" s="45"/>
      <c r="Z150" s="45"/>
      <c r="AA150" s="45"/>
      <c r="AB150" s="45"/>
      <c r="AC150" s="44"/>
      <c r="AD150" s="45"/>
      <c r="AE150" s="45"/>
      <c r="AF150" s="45"/>
      <c r="AG150" s="45"/>
      <c r="AH150" s="45"/>
      <c r="AI150" s="144"/>
      <c r="AJ150" s="144"/>
      <c r="AK150" s="45"/>
      <c r="AL150" s="45"/>
      <c r="AM150" s="144"/>
      <c r="AN150" s="144"/>
      <c r="AO150" s="144"/>
      <c r="AP150" s="22"/>
      <c r="AQ150" s="22"/>
      <c r="AR150" s="144"/>
      <c r="AS150" s="22"/>
      <c r="AT150" s="22"/>
      <c r="AU150" s="144"/>
      <c r="AV150" s="22"/>
      <c r="AW150" s="22"/>
      <c r="AX150" s="144"/>
      <c r="AY150" s="22"/>
      <c r="AZ150" s="22"/>
      <c r="BA150" s="144"/>
      <c r="BB150" s="22"/>
      <c r="BC150" s="22"/>
      <c r="BD150" s="144"/>
      <c r="BE150" s="144"/>
      <c r="BF150" s="22"/>
      <c r="BG150" s="144"/>
      <c r="BH150" s="144"/>
      <c r="BI150" s="144"/>
      <c r="BJ150" s="144"/>
      <c r="BK150" s="144"/>
      <c r="BL150" s="22"/>
      <c r="BM150" s="144"/>
      <c r="BN150" s="144"/>
      <c r="BO150" s="22"/>
      <c r="BP150" s="144"/>
      <c r="BQ150" s="22"/>
      <c r="BR150" s="144"/>
      <c r="BS150" s="144"/>
      <c r="BT150" s="22"/>
      <c r="BU150" s="144"/>
      <c r="BV150" s="144"/>
      <c r="BW150" s="22"/>
      <c r="BX150" s="22"/>
      <c r="BY150" s="144"/>
      <c r="BZ150" s="22"/>
      <c r="CA150" s="22"/>
      <c r="CB150" s="144"/>
      <c r="CC150" s="22"/>
      <c r="CD150" s="22"/>
      <c r="CE150" s="144"/>
      <c r="CF150" s="22"/>
      <c r="CG150" s="22"/>
      <c r="CH150" s="144"/>
      <c r="CI150" s="22"/>
      <c r="CJ150" s="22"/>
      <c r="CK150" s="144"/>
      <c r="CL150" s="22"/>
      <c r="CM150" s="22"/>
      <c r="CN150" s="144"/>
      <c r="CO150" s="22"/>
      <c r="CP150" s="22"/>
      <c r="CQ150" s="144"/>
    </row>
    <row r="151" spans="1:95" ht="15.75" customHeight="1" x14ac:dyDescent="0.45">
      <c r="A151" s="22"/>
      <c r="B151" s="22"/>
      <c r="C151" s="12"/>
      <c r="D151" s="12"/>
      <c r="E151" s="12"/>
      <c r="F151" s="155"/>
      <c r="G151" s="144"/>
      <c r="H151" s="144"/>
      <c r="I151" s="12"/>
      <c r="J151" s="22"/>
      <c r="K151" s="22"/>
      <c r="L151" s="22"/>
      <c r="M151" s="145"/>
      <c r="N151" s="144"/>
      <c r="O151" s="144"/>
      <c r="P151" s="152"/>
      <c r="Q151" s="22"/>
      <c r="R151" s="152"/>
      <c r="S151" s="22"/>
      <c r="T151" s="74"/>
      <c r="U151" s="45"/>
      <c r="V151" s="158"/>
      <c r="W151" s="45"/>
      <c r="X151" s="45"/>
      <c r="Y151" s="45"/>
      <c r="Z151" s="45"/>
      <c r="AA151" s="45"/>
      <c r="AB151" s="45"/>
      <c r="AC151" s="44"/>
      <c r="AD151" s="45"/>
      <c r="AE151" s="45"/>
      <c r="AF151" s="45"/>
      <c r="AG151" s="45"/>
      <c r="AH151" s="45"/>
      <c r="AI151" s="144"/>
      <c r="AJ151" s="144"/>
      <c r="AK151" s="45"/>
      <c r="AL151" s="45"/>
      <c r="AM151" s="144"/>
      <c r="AN151" s="144"/>
      <c r="AO151" s="144"/>
      <c r="AP151" s="22"/>
      <c r="AQ151" s="22"/>
      <c r="AR151" s="144"/>
      <c r="AS151" s="22"/>
      <c r="AT151" s="22"/>
      <c r="AU151" s="144"/>
      <c r="AV151" s="22"/>
      <c r="AW151" s="22"/>
      <c r="AX151" s="144"/>
      <c r="AY151" s="22"/>
      <c r="AZ151" s="22"/>
      <c r="BA151" s="144"/>
      <c r="BB151" s="22"/>
      <c r="BC151" s="22"/>
      <c r="BD151" s="144"/>
      <c r="BE151" s="144"/>
      <c r="BF151" s="22"/>
      <c r="BG151" s="144"/>
      <c r="BH151" s="144"/>
      <c r="BI151" s="144"/>
      <c r="BJ151" s="144"/>
      <c r="BK151" s="144"/>
      <c r="BL151" s="22"/>
      <c r="BM151" s="144"/>
      <c r="BN151" s="144"/>
      <c r="BO151" s="22"/>
      <c r="BP151" s="144"/>
      <c r="BQ151" s="22"/>
      <c r="BR151" s="144"/>
      <c r="BS151" s="144"/>
      <c r="BT151" s="22"/>
      <c r="BU151" s="144"/>
      <c r="BV151" s="144"/>
      <c r="BW151" s="22"/>
      <c r="BX151" s="22"/>
      <c r="BY151" s="144"/>
      <c r="BZ151" s="22"/>
      <c r="CA151" s="22"/>
      <c r="CB151" s="144"/>
      <c r="CC151" s="22"/>
      <c r="CD151" s="22"/>
      <c r="CE151" s="144"/>
      <c r="CF151" s="22"/>
      <c r="CG151" s="22"/>
      <c r="CH151" s="144"/>
      <c r="CI151" s="22"/>
      <c r="CJ151" s="22"/>
      <c r="CK151" s="144"/>
      <c r="CL151" s="22"/>
      <c r="CM151" s="22"/>
      <c r="CN151" s="144"/>
      <c r="CO151" s="22"/>
      <c r="CP151" s="22"/>
      <c r="CQ151" s="144"/>
    </row>
    <row r="152" spans="1:95" ht="15.75" customHeight="1" x14ac:dyDescent="0.45">
      <c r="A152" s="22"/>
      <c r="B152" s="22"/>
      <c r="C152" s="12"/>
      <c r="D152" s="12"/>
      <c r="E152" s="12"/>
      <c r="F152" s="155"/>
      <c r="G152" s="144"/>
      <c r="H152" s="144"/>
      <c r="I152" s="12"/>
      <c r="J152" s="22"/>
      <c r="K152" s="22"/>
      <c r="L152" s="22"/>
      <c r="M152" s="145"/>
      <c r="N152" s="144"/>
      <c r="O152" s="144"/>
      <c r="P152" s="152"/>
      <c r="Q152" s="22"/>
      <c r="R152" s="152"/>
      <c r="S152" s="22"/>
      <c r="T152" s="74"/>
      <c r="U152" s="45"/>
      <c r="V152" s="158"/>
      <c r="W152" s="45"/>
      <c r="X152" s="45"/>
      <c r="Y152" s="45"/>
      <c r="Z152" s="45"/>
      <c r="AA152" s="45"/>
      <c r="AB152" s="45"/>
      <c r="AC152" s="44"/>
      <c r="AD152" s="45"/>
      <c r="AE152" s="45"/>
      <c r="AF152" s="45"/>
      <c r="AG152" s="45"/>
      <c r="AH152" s="45"/>
      <c r="AI152" s="144"/>
      <c r="AJ152" s="144"/>
      <c r="AK152" s="45"/>
      <c r="AL152" s="45"/>
      <c r="AM152" s="144"/>
      <c r="AN152" s="144"/>
      <c r="AO152" s="144"/>
      <c r="AP152" s="22"/>
      <c r="AQ152" s="22"/>
      <c r="AR152" s="144"/>
      <c r="AS152" s="22"/>
      <c r="AT152" s="22"/>
      <c r="AU152" s="144"/>
      <c r="AV152" s="22"/>
      <c r="AW152" s="22"/>
      <c r="AX152" s="144"/>
      <c r="AY152" s="22"/>
      <c r="AZ152" s="22"/>
      <c r="BA152" s="144"/>
      <c r="BB152" s="22"/>
      <c r="BC152" s="22"/>
      <c r="BD152" s="144"/>
      <c r="BE152" s="144"/>
      <c r="BF152" s="22"/>
      <c r="BG152" s="144"/>
      <c r="BH152" s="144"/>
      <c r="BI152" s="144"/>
      <c r="BJ152" s="144"/>
      <c r="BK152" s="144"/>
      <c r="BL152" s="22"/>
      <c r="BM152" s="144"/>
      <c r="BN152" s="144"/>
      <c r="BO152" s="22"/>
      <c r="BP152" s="144"/>
      <c r="BQ152" s="22"/>
      <c r="BR152" s="144"/>
      <c r="BS152" s="144"/>
      <c r="BT152" s="22"/>
      <c r="BU152" s="144"/>
      <c r="BV152" s="144"/>
      <c r="BW152" s="22"/>
      <c r="BX152" s="22"/>
      <c r="BY152" s="144"/>
      <c r="BZ152" s="22"/>
      <c r="CA152" s="22"/>
      <c r="CB152" s="144"/>
      <c r="CC152" s="22"/>
      <c r="CD152" s="22"/>
      <c r="CE152" s="144"/>
      <c r="CF152" s="22"/>
      <c r="CG152" s="22"/>
      <c r="CH152" s="144"/>
      <c r="CI152" s="22"/>
      <c r="CJ152" s="22"/>
      <c r="CK152" s="144"/>
      <c r="CL152" s="22"/>
      <c r="CM152" s="22"/>
      <c r="CN152" s="144"/>
      <c r="CO152" s="22"/>
      <c r="CP152" s="22"/>
      <c r="CQ152" s="144"/>
    </row>
    <row r="153" spans="1:95" ht="15.75" customHeight="1" x14ac:dyDescent="0.45">
      <c r="A153" s="22"/>
      <c r="B153" s="22"/>
      <c r="C153" s="12"/>
      <c r="D153" s="12"/>
      <c r="E153" s="12"/>
      <c r="F153" s="155"/>
      <c r="G153" s="144"/>
      <c r="H153" s="144"/>
      <c r="I153" s="12"/>
      <c r="J153" s="22"/>
      <c r="K153" s="22"/>
      <c r="L153" s="22"/>
      <c r="M153" s="145"/>
      <c r="N153" s="144"/>
      <c r="O153" s="144"/>
      <c r="P153" s="152"/>
      <c r="Q153" s="22"/>
      <c r="R153" s="152"/>
      <c r="S153" s="22"/>
      <c r="T153" s="74"/>
      <c r="U153" s="45"/>
      <c r="V153" s="158"/>
      <c r="W153" s="45"/>
      <c r="X153" s="45"/>
      <c r="Y153" s="45"/>
      <c r="Z153" s="45"/>
      <c r="AA153" s="45"/>
      <c r="AB153" s="45"/>
      <c r="AC153" s="44"/>
      <c r="AD153" s="45"/>
      <c r="AE153" s="45"/>
      <c r="AF153" s="45"/>
      <c r="AG153" s="45"/>
      <c r="AH153" s="45"/>
      <c r="AI153" s="144"/>
      <c r="AJ153" s="144"/>
      <c r="AK153" s="45"/>
      <c r="AL153" s="45"/>
      <c r="AM153" s="144"/>
      <c r="AN153" s="144"/>
      <c r="AO153" s="144"/>
      <c r="AP153" s="22"/>
      <c r="AQ153" s="22"/>
      <c r="AR153" s="144"/>
      <c r="AS153" s="22"/>
      <c r="AT153" s="22"/>
      <c r="AU153" s="144"/>
      <c r="AV153" s="22"/>
      <c r="AW153" s="22"/>
      <c r="AX153" s="144"/>
      <c r="AY153" s="22"/>
      <c r="AZ153" s="22"/>
      <c r="BA153" s="144"/>
      <c r="BB153" s="22"/>
      <c r="BC153" s="22"/>
      <c r="BD153" s="144"/>
      <c r="BE153" s="144"/>
      <c r="BF153" s="22"/>
      <c r="BG153" s="144"/>
      <c r="BH153" s="144"/>
      <c r="BI153" s="144"/>
      <c r="BJ153" s="144"/>
      <c r="BK153" s="144"/>
      <c r="BL153" s="22"/>
      <c r="BM153" s="144"/>
      <c r="BN153" s="144"/>
      <c r="BO153" s="22"/>
      <c r="BP153" s="144"/>
      <c r="BQ153" s="22"/>
      <c r="BR153" s="144"/>
      <c r="BS153" s="144"/>
      <c r="BT153" s="22"/>
      <c r="BU153" s="144"/>
      <c r="BV153" s="144"/>
      <c r="BW153" s="22"/>
      <c r="BX153" s="22"/>
      <c r="BY153" s="144"/>
      <c r="BZ153" s="22"/>
      <c r="CA153" s="22"/>
      <c r="CB153" s="144"/>
      <c r="CC153" s="22"/>
      <c r="CD153" s="22"/>
      <c r="CE153" s="144"/>
      <c r="CF153" s="22"/>
      <c r="CG153" s="22"/>
      <c r="CH153" s="144"/>
      <c r="CI153" s="22"/>
      <c r="CJ153" s="22"/>
      <c r="CK153" s="144"/>
      <c r="CL153" s="22"/>
      <c r="CM153" s="22"/>
      <c r="CN153" s="144"/>
      <c r="CO153" s="22"/>
      <c r="CP153" s="22"/>
      <c r="CQ153" s="144"/>
    </row>
    <row r="154" spans="1:95" ht="15.75" customHeight="1" x14ac:dyDescent="0.45">
      <c r="A154" s="22"/>
      <c r="B154" s="22"/>
      <c r="C154" s="12"/>
      <c r="D154" s="12"/>
      <c r="E154" s="12"/>
      <c r="F154" s="155"/>
      <c r="G154" s="144"/>
      <c r="H154" s="144"/>
      <c r="I154" s="12"/>
      <c r="J154" s="22"/>
      <c r="K154" s="22"/>
      <c r="L154" s="22"/>
      <c r="M154" s="145"/>
      <c r="N154" s="144"/>
      <c r="O154" s="144"/>
      <c r="P154" s="152"/>
      <c r="Q154" s="22"/>
      <c r="R154" s="152"/>
      <c r="S154" s="22"/>
      <c r="T154" s="74"/>
      <c r="U154" s="45"/>
      <c r="V154" s="158"/>
      <c r="W154" s="45"/>
      <c r="X154" s="45"/>
      <c r="Y154" s="45"/>
      <c r="Z154" s="45"/>
      <c r="AA154" s="45"/>
      <c r="AB154" s="45"/>
      <c r="AC154" s="44"/>
      <c r="AD154" s="45"/>
      <c r="AE154" s="45"/>
      <c r="AF154" s="45"/>
      <c r="AG154" s="45"/>
      <c r="AH154" s="45"/>
      <c r="AI154" s="144"/>
      <c r="AJ154" s="144"/>
      <c r="AK154" s="45"/>
      <c r="AL154" s="45"/>
      <c r="AM154" s="144"/>
      <c r="AN154" s="144"/>
      <c r="AO154" s="144"/>
      <c r="AP154" s="22"/>
      <c r="AQ154" s="22"/>
      <c r="AR154" s="144"/>
      <c r="AS154" s="22"/>
      <c r="AT154" s="22"/>
      <c r="AU154" s="144"/>
      <c r="AV154" s="22"/>
      <c r="AW154" s="22"/>
      <c r="AX154" s="144"/>
      <c r="AY154" s="22"/>
      <c r="AZ154" s="22"/>
      <c r="BA154" s="144"/>
      <c r="BB154" s="22"/>
      <c r="BC154" s="22"/>
      <c r="BD154" s="144"/>
      <c r="BE154" s="144"/>
      <c r="BF154" s="22"/>
      <c r="BG154" s="144"/>
      <c r="BH154" s="144"/>
      <c r="BI154" s="144"/>
      <c r="BJ154" s="144"/>
      <c r="BK154" s="144"/>
      <c r="BL154" s="22"/>
      <c r="BM154" s="144"/>
      <c r="BN154" s="144"/>
      <c r="BO154" s="22"/>
      <c r="BP154" s="144"/>
      <c r="BQ154" s="22"/>
      <c r="BR154" s="144"/>
      <c r="BS154" s="144"/>
      <c r="BT154" s="22"/>
      <c r="BU154" s="144"/>
      <c r="BV154" s="144"/>
      <c r="BW154" s="22"/>
      <c r="BX154" s="22"/>
      <c r="BY154" s="144"/>
      <c r="BZ154" s="22"/>
      <c r="CA154" s="22"/>
      <c r="CB154" s="144"/>
      <c r="CC154" s="22"/>
      <c r="CD154" s="22"/>
      <c r="CE154" s="144"/>
      <c r="CF154" s="22"/>
      <c r="CG154" s="22"/>
      <c r="CH154" s="144"/>
      <c r="CI154" s="22"/>
      <c r="CJ154" s="22"/>
      <c r="CK154" s="144"/>
      <c r="CL154" s="22"/>
      <c r="CM154" s="22"/>
      <c r="CN154" s="144"/>
      <c r="CO154" s="22"/>
      <c r="CP154" s="22"/>
      <c r="CQ154" s="144"/>
    </row>
    <row r="155" spans="1:95" ht="15.75" customHeight="1" x14ac:dyDescent="0.45">
      <c r="A155" s="22"/>
      <c r="B155" s="22"/>
      <c r="C155" s="12"/>
      <c r="D155" s="12"/>
      <c r="E155" s="12"/>
      <c r="F155" s="155"/>
      <c r="G155" s="144"/>
      <c r="H155" s="144"/>
      <c r="I155" s="12"/>
      <c r="J155" s="22"/>
      <c r="K155" s="22"/>
      <c r="L155" s="22"/>
      <c r="M155" s="145"/>
      <c r="N155" s="144"/>
      <c r="O155" s="144"/>
      <c r="P155" s="152"/>
      <c r="Q155" s="22"/>
      <c r="R155" s="152"/>
      <c r="S155" s="22"/>
      <c r="T155" s="74"/>
      <c r="U155" s="45"/>
      <c r="V155" s="158"/>
      <c r="W155" s="45"/>
      <c r="X155" s="45"/>
      <c r="Y155" s="45"/>
      <c r="Z155" s="45"/>
      <c r="AA155" s="45"/>
      <c r="AB155" s="45"/>
      <c r="AC155" s="44"/>
      <c r="AD155" s="45"/>
      <c r="AE155" s="45"/>
      <c r="AF155" s="45"/>
      <c r="AG155" s="45"/>
      <c r="AH155" s="45"/>
      <c r="AI155" s="144"/>
      <c r="AJ155" s="144"/>
      <c r="AK155" s="45"/>
      <c r="AL155" s="45"/>
      <c r="AM155" s="144"/>
      <c r="AN155" s="144"/>
      <c r="AO155" s="144"/>
      <c r="AP155" s="22"/>
      <c r="AQ155" s="22"/>
      <c r="AR155" s="144"/>
      <c r="AS155" s="22"/>
      <c r="AT155" s="22"/>
      <c r="AU155" s="144"/>
      <c r="AV155" s="22"/>
      <c r="AW155" s="22"/>
      <c r="AX155" s="144"/>
      <c r="AY155" s="22"/>
      <c r="AZ155" s="22"/>
      <c r="BA155" s="144"/>
      <c r="BB155" s="22"/>
      <c r="BC155" s="22"/>
      <c r="BD155" s="144"/>
      <c r="BE155" s="144"/>
      <c r="BF155" s="22"/>
      <c r="BG155" s="144"/>
      <c r="BH155" s="144"/>
      <c r="BI155" s="144"/>
      <c r="BJ155" s="144"/>
      <c r="BK155" s="144"/>
      <c r="BL155" s="22"/>
      <c r="BM155" s="144"/>
      <c r="BN155" s="144"/>
      <c r="BO155" s="22"/>
      <c r="BP155" s="144"/>
      <c r="BQ155" s="22"/>
      <c r="BR155" s="144"/>
      <c r="BS155" s="144"/>
      <c r="BT155" s="22"/>
      <c r="BU155" s="144"/>
      <c r="BV155" s="144"/>
      <c r="BW155" s="22"/>
      <c r="BX155" s="22"/>
      <c r="BY155" s="144"/>
      <c r="BZ155" s="22"/>
      <c r="CA155" s="22"/>
      <c r="CB155" s="144"/>
      <c r="CC155" s="22"/>
      <c r="CD155" s="22"/>
      <c r="CE155" s="144"/>
      <c r="CF155" s="22"/>
      <c r="CG155" s="22"/>
      <c r="CH155" s="144"/>
      <c r="CI155" s="22"/>
      <c r="CJ155" s="22"/>
      <c r="CK155" s="144"/>
      <c r="CL155" s="22"/>
      <c r="CM155" s="22"/>
      <c r="CN155" s="144"/>
      <c r="CO155" s="22"/>
      <c r="CP155" s="22"/>
      <c r="CQ155" s="144"/>
    </row>
    <row r="156" spans="1:95" ht="15.75" customHeight="1" x14ac:dyDescent="0.45">
      <c r="A156" s="22"/>
      <c r="B156" s="22"/>
      <c r="C156" s="12"/>
      <c r="D156" s="12"/>
      <c r="E156" s="12"/>
      <c r="F156" s="155"/>
      <c r="G156" s="144"/>
      <c r="H156" s="144"/>
      <c r="I156" s="12"/>
      <c r="J156" s="22"/>
      <c r="K156" s="22"/>
      <c r="L156" s="22"/>
      <c r="M156" s="145"/>
      <c r="N156" s="144"/>
      <c r="O156" s="144"/>
      <c r="P156" s="152"/>
      <c r="Q156" s="22"/>
      <c r="R156" s="152"/>
      <c r="S156" s="22"/>
      <c r="T156" s="74"/>
      <c r="U156" s="45"/>
      <c r="V156" s="158"/>
      <c r="W156" s="45"/>
      <c r="X156" s="45"/>
      <c r="Y156" s="45"/>
      <c r="Z156" s="45"/>
      <c r="AA156" s="45"/>
      <c r="AB156" s="45"/>
      <c r="AC156" s="44"/>
      <c r="AD156" s="45"/>
      <c r="AE156" s="45"/>
      <c r="AF156" s="45"/>
      <c r="AG156" s="45"/>
      <c r="AH156" s="45"/>
      <c r="AI156" s="144"/>
      <c r="AJ156" s="144"/>
      <c r="AK156" s="45"/>
      <c r="AL156" s="45"/>
      <c r="AM156" s="144"/>
      <c r="AN156" s="144"/>
      <c r="AO156" s="144"/>
      <c r="AP156" s="22"/>
      <c r="AQ156" s="22"/>
      <c r="AR156" s="144"/>
      <c r="AS156" s="22"/>
      <c r="AT156" s="22"/>
      <c r="AU156" s="144"/>
      <c r="AV156" s="22"/>
      <c r="AW156" s="22"/>
      <c r="AX156" s="144"/>
      <c r="AY156" s="22"/>
      <c r="AZ156" s="22"/>
      <c r="BA156" s="144"/>
      <c r="BB156" s="22"/>
      <c r="BC156" s="22"/>
      <c r="BD156" s="144"/>
      <c r="BE156" s="144"/>
      <c r="BF156" s="22"/>
      <c r="BG156" s="144"/>
      <c r="BH156" s="144"/>
      <c r="BI156" s="144"/>
      <c r="BJ156" s="144"/>
      <c r="BK156" s="144"/>
      <c r="BL156" s="22"/>
      <c r="BM156" s="144"/>
      <c r="BN156" s="144"/>
      <c r="BO156" s="22"/>
      <c r="BP156" s="144"/>
      <c r="BQ156" s="22"/>
      <c r="BR156" s="144"/>
      <c r="BS156" s="144"/>
      <c r="BT156" s="22"/>
      <c r="BU156" s="144"/>
      <c r="BV156" s="144"/>
      <c r="BW156" s="22"/>
      <c r="BX156" s="22"/>
      <c r="BY156" s="144"/>
      <c r="BZ156" s="22"/>
      <c r="CA156" s="22"/>
      <c r="CB156" s="144"/>
      <c r="CC156" s="22"/>
      <c r="CD156" s="22"/>
      <c r="CE156" s="144"/>
      <c r="CF156" s="22"/>
      <c r="CG156" s="22"/>
      <c r="CH156" s="144"/>
      <c r="CI156" s="22"/>
      <c r="CJ156" s="22"/>
      <c r="CK156" s="144"/>
      <c r="CL156" s="22"/>
      <c r="CM156" s="22"/>
      <c r="CN156" s="144"/>
      <c r="CO156" s="22"/>
      <c r="CP156" s="22"/>
      <c r="CQ156" s="144"/>
    </row>
    <row r="157" spans="1:95" ht="15.75" customHeight="1" x14ac:dyDescent="0.45">
      <c r="A157" s="22"/>
      <c r="B157" s="22"/>
      <c r="C157" s="12"/>
      <c r="D157" s="12"/>
      <c r="E157" s="12"/>
      <c r="F157" s="155"/>
      <c r="G157" s="144"/>
      <c r="H157" s="144"/>
      <c r="I157" s="12"/>
      <c r="J157" s="22"/>
      <c r="K157" s="22"/>
      <c r="L157" s="22"/>
      <c r="M157" s="145"/>
      <c r="N157" s="144"/>
      <c r="O157" s="144"/>
      <c r="P157" s="152"/>
      <c r="Q157" s="22"/>
      <c r="R157" s="152"/>
      <c r="S157" s="22"/>
      <c r="T157" s="74"/>
      <c r="U157" s="45"/>
      <c r="V157" s="158"/>
      <c r="W157" s="45"/>
      <c r="X157" s="45"/>
      <c r="Y157" s="45"/>
      <c r="Z157" s="45"/>
      <c r="AA157" s="45"/>
      <c r="AB157" s="45"/>
      <c r="AC157" s="44"/>
      <c r="AD157" s="45"/>
      <c r="AE157" s="45"/>
      <c r="AF157" s="45"/>
      <c r="AG157" s="45"/>
      <c r="AH157" s="45"/>
      <c r="AI157" s="144"/>
      <c r="AJ157" s="144"/>
      <c r="AK157" s="45"/>
      <c r="AL157" s="45"/>
      <c r="AM157" s="144"/>
      <c r="AN157" s="144"/>
      <c r="AO157" s="144"/>
      <c r="AP157" s="22"/>
      <c r="AQ157" s="22"/>
      <c r="AR157" s="144"/>
      <c r="AS157" s="22"/>
      <c r="AT157" s="22"/>
      <c r="AU157" s="144"/>
      <c r="AV157" s="22"/>
      <c r="AW157" s="22"/>
      <c r="AX157" s="144"/>
      <c r="AY157" s="22"/>
      <c r="AZ157" s="22"/>
      <c r="BA157" s="144"/>
      <c r="BB157" s="22"/>
      <c r="BC157" s="22"/>
      <c r="BD157" s="144"/>
      <c r="BE157" s="144"/>
      <c r="BF157" s="22"/>
      <c r="BG157" s="144"/>
      <c r="BH157" s="144"/>
      <c r="BI157" s="144"/>
      <c r="BJ157" s="144"/>
      <c r="BK157" s="144"/>
      <c r="BL157" s="22"/>
      <c r="BM157" s="144"/>
      <c r="BN157" s="144"/>
      <c r="BO157" s="22"/>
      <c r="BP157" s="144"/>
      <c r="BQ157" s="22"/>
      <c r="BR157" s="144"/>
      <c r="BS157" s="144"/>
      <c r="BT157" s="22"/>
      <c r="BU157" s="144"/>
      <c r="BV157" s="144"/>
      <c r="BW157" s="22"/>
      <c r="BX157" s="22"/>
      <c r="BY157" s="144"/>
      <c r="BZ157" s="22"/>
      <c r="CA157" s="22"/>
      <c r="CB157" s="144"/>
      <c r="CC157" s="22"/>
      <c r="CD157" s="22"/>
      <c r="CE157" s="144"/>
      <c r="CF157" s="22"/>
      <c r="CG157" s="22"/>
      <c r="CH157" s="144"/>
      <c r="CI157" s="22"/>
      <c r="CJ157" s="22"/>
      <c r="CK157" s="144"/>
      <c r="CL157" s="22"/>
      <c r="CM157" s="22"/>
      <c r="CN157" s="144"/>
      <c r="CO157" s="22"/>
      <c r="CP157" s="22"/>
      <c r="CQ157" s="144"/>
    </row>
    <row r="158" spans="1:95" ht="15.75" customHeight="1" x14ac:dyDescent="0.45">
      <c r="A158" s="22"/>
      <c r="B158" s="22"/>
      <c r="C158" s="12"/>
      <c r="D158" s="12"/>
      <c r="E158" s="12"/>
      <c r="F158" s="155"/>
      <c r="G158" s="144"/>
      <c r="H158" s="144"/>
      <c r="I158" s="12"/>
      <c r="J158" s="22"/>
      <c r="K158" s="22"/>
      <c r="L158" s="22"/>
      <c r="M158" s="145"/>
      <c r="N158" s="144"/>
      <c r="O158" s="144"/>
      <c r="P158" s="152"/>
      <c r="Q158" s="22"/>
      <c r="R158" s="152"/>
      <c r="S158" s="22"/>
      <c r="T158" s="74"/>
      <c r="U158" s="45"/>
      <c r="V158" s="158"/>
      <c r="W158" s="45"/>
      <c r="X158" s="45"/>
      <c r="Y158" s="45"/>
      <c r="Z158" s="45"/>
      <c r="AA158" s="45"/>
      <c r="AB158" s="45"/>
      <c r="AC158" s="44"/>
      <c r="AD158" s="45"/>
      <c r="AE158" s="45"/>
      <c r="AF158" s="45"/>
      <c r="AG158" s="45"/>
      <c r="AH158" s="45"/>
      <c r="AI158" s="144"/>
      <c r="AJ158" s="144"/>
      <c r="AK158" s="45"/>
      <c r="AL158" s="45"/>
      <c r="AM158" s="144"/>
      <c r="AN158" s="144"/>
      <c r="AO158" s="144"/>
      <c r="AP158" s="22"/>
      <c r="AQ158" s="22"/>
      <c r="AR158" s="144"/>
      <c r="AS158" s="22"/>
      <c r="AT158" s="22"/>
      <c r="AU158" s="144"/>
      <c r="AV158" s="22"/>
      <c r="AW158" s="22"/>
      <c r="AX158" s="144"/>
      <c r="AY158" s="22"/>
      <c r="AZ158" s="22"/>
      <c r="BA158" s="144"/>
      <c r="BB158" s="22"/>
      <c r="BC158" s="22"/>
      <c r="BD158" s="144"/>
      <c r="BE158" s="144"/>
      <c r="BF158" s="22"/>
      <c r="BG158" s="144"/>
      <c r="BH158" s="144"/>
      <c r="BI158" s="144"/>
      <c r="BJ158" s="144"/>
      <c r="BK158" s="144"/>
      <c r="BL158" s="22"/>
      <c r="BM158" s="144"/>
      <c r="BN158" s="144"/>
      <c r="BO158" s="22"/>
      <c r="BP158" s="144"/>
      <c r="BQ158" s="22"/>
      <c r="BR158" s="144"/>
      <c r="BS158" s="144"/>
      <c r="BT158" s="22"/>
      <c r="BU158" s="144"/>
      <c r="BV158" s="144"/>
      <c r="BW158" s="22"/>
      <c r="BX158" s="22"/>
      <c r="BY158" s="144"/>
      <c r="BZ158" s="22"/>
      <c r="CA158" s="22"/>
      <c r="CB158" s="144"/>
      <c r="CC158" s="22"/>
      <c r="CD158" s="22"/>
      <c r="CE158" s="144"/>
      <c r="CF158" s="22"/>
      <c r="CG158" s="22"/>
      <c r="CH158" s="144"/>
      <c r="CI158" s="22"/>
      <c r="CJ158" s="22"/>
      <c r="CK158" s="144"/>
      <c r="CL158" s="22"/>
      <c r="CM158" s="22"/>
      <c r="CN158" s="144"/>
      <c r="CO158" s="22"/>
      <c r="CP158" s="22"/>
      <c r="CQ158" s="144"/>
    </row>
    <row r="159" spans="1:95" ht="15.75" customHeight="1" x14ac:dyDescent="0.45">
      <c r="A159" s="22"/>
      <c r="B159" s="22"/>
      <c r="C159" s="12"/>
      <c r="D159" s="12"/>
      <c r="E159" s="12"/>
      <c r="F159" s="155"/>
      <c r="G159" s="144"/>
      <c r="H159" s="144"/>
      <c r="I159" s="12"/>
      <c r="J159" s="22"/>
      <c r="K159" s="22"/>
      <c r="L159" s="22"/>
      <c r="M159" s="145"/>
      <c r="N159" s="144"/>
      <c r="O159" s="144"/>
      <c r="P159" s="152"/>
      <c r="Q159" s="22"/>
      <c r="R159" s="152"/>
      <c r="S159" s="22"/>
      <c r="T159" s="74"/>
      <c r="U159" s="45"/>
      <c r="V159" s="158"/>
      <c r="W159" s="45"/>
      <c r="X159" s="45"/>
      <c r="Y159" s="45"/>
      <c r="Z159" s="45"/>
      <c r="AA159" s="45"/>
      <c r="AB159" s="45"/>
      <c r="AC159" s="44"/>
      <c r="AD159" s="45"/>
      <c r="AE159" s="45"/>
      <c r="AF159" s="45"/>
      <c r="AG159" s="45"/>
      <c r="AH159" s="45"/>
      <c r="AI159" s="144"/>
      <c r="AJ159" s="144"/>
      <c r="AK159" s="45"/>
      <c r="AL159" s="45"/>
      <c r="AM159" s="144"/>
      <c r="AN159" s="144"/>
      <c r="AO159" s="144"/>
      <c r="AP159" s="22"/>
      <c r="AQ159" s="22"/>
      <c r="AR159" s="144"/>
      <c r="AS159" s="22"/>
      <c r="AT159" s="22"/>
      <c r="AU159" s="144"/>
      <c r="AV159" s="22"/>
      <c r="AW159" s="22"/>
      <c r="AX159" s="144"/>
      <c r="AY159" s="22"/>
      <c r="AZ159" s="22"/>
      <c r="BA159" s="144"/>
      <c r="BB159" s="22"/>
      <c r="BC159" s="22"/>
      <c r="BD159" s="144"/>
      <c r="BE159" s="144"/>
      <c r="BF159" s="22"/>
      <c r="BG159" s="144"/>
      <c r="BH159" s="144"/>
      <c r="BI159" s="144"/>
      <c r="BJ159" s="144"/>
      <c r="BK159" s="144"/>
      <c r="BL159" s="22"/>
      <c r="BM159" s="144"/>
      <c r="BN159" s="144"/>
      <c r="BO159" s="22"/>
      <c r="BP159" s="144"/>
      <c r="BQ159" s="22"/>
      <c r="BR159" s="144"/>
      <c r="BS159" s="144"/>
      <c r="BT159" s="22"/>
      <c r="BU159" s="144"/>
      <c r="BV159" s="144"/>
      <c r="BW159" s="22"/>
      <c r="BX159" s="22"/>
      <c r="BY159" s="144"/>
      <c r="BZ159" s="22"/>
      <c r="CA159" s="22"/>
      <c r="CB159" s="144"/>
      <c r="CC159" s="22"/>
      <c r="CD159" s="22"/>
      <c r="CE159" s="144"/>
      <c r="CF159" s="22"/>
      <c r="CG159" s="22"/>
      <c r="CH159" s="144"/>
      <c r="CI159" s="22"/>
      <c r="CJ159" s="22"/>
      <c r="CK159" s="144"/>
      <c r="CL159" s="22"/>
      <c r="CM159" s="22"/>
      <c r="CN159" s="144"/>
      <c r="CO159" s="22"/>
      <c r="CP159" s="22"/>
      <c r="CQ159" s="144"/>
    </row>
    <row r="160" spans="1:95" ht="15.75" customHeight="1" x14ac:dyDescent="0.45">
      <c r="A160" s="22"/>
      <c r="B160" s="22"/>
      <c r="C160" s="12"/>
      <c r="D160" s="12"/>
      <c r="E160" s="12"/>
      <c r="F160" s="155"/>
      <c r="G160" s="144"/>
      <c r="H160" s="144"/>
      <c r="I160" s="12"/>
      <c r="J160" s="22"/>
      <c r="K160" s="22"/>
      <c r="L160" s="22"/>
      <c r="M160" s="145"/>
      <c r="N160" s="144"/>
      <c r="O160" s="144"/>
      <c r="P160" s="152"/>
      <c r="Q160" s="22"/>
      <c r="R160" s="152"/>
      <c r="S160" s="22"/>
      <c r="T160" s="74"/>
      <c r="U160" s="45"/>
      <c r="V160" s="158"/>
      <c r="W160" s="45"/>
      <c r="X160" s="45"/>
      <c r="Y160" s="45"/>
      <c r="Z160" s="45"/>
      <c r="AA160" s="45"/>
      <c r="AB160" s="45"/>
      <c r="AC160" s="44"/>
      <c r="AD160" s="45"/>
      <c r="AE160" s="45"/>
      <c r="AF160" s="45"/>
      <c r="AG160" s="45"/>
      <c r="AH160" s="45"/>
      <c r="AI160" s="144"/>
      <c r="AJ160" s="144"/>
      <c r="AK160" s="45"/>
      <c r="AL160" s="45"/>
      <c r="AM160" s="144"/>
      <c r="AN160" s="144"/>
      <c r="AO160" s="144"/>
      <c r="AP160" s="22"/>
      <c r="AQ160" s="22"/>
      <c r="AR160" s="144"/>
      <c r="AS160" s="22"/>
      <c r="AT160" s="22"/>
      <c r="AU160" s="144"/>
      <c r="AV160" s="22"/>
      <c r="AW160" s="22"/>
      <c r="AX160" s="144"/>
      <c r="AY160" s="22"/>
      <c r="AZ160" s="22"/>
      <c r="BA160" s="144"/>
      <c r="BB160" s="22"/>
      <c r="BC160" s="22"/>
      <c r="BD160" s="144"/>
      <c r="BE160" s="144"/>
      <c r="BF160" s="22"/>
      <c r="BG160" s="144"/>
      <c r="BH160" s="144"/>
      <c r="BI160" s="144"/>
      <c r="BJ160" s="144"/>
      <c r="BK160" s="144"/>
      <c r="BL160" s="22"/>
      <c r="BM160" s="144"/>
      <c r="BN160" s="144"/>
      <c r="BO160" s="22"/>
      <c r="BP160" s="144"/>
      <c r="BQ160" s="22"/>
      <c r="BR160" s="144"/>
      <c r="BS160" s="144"/>
      <c r="BT160" s="22"/>
      <c r="BU160" s="144"/>
      <c r="BV160" s="144"/>
      <c r="BW160" s="22"/>
      <c r="BX160" s="22"/>
      <c r="BY160" s="144"/>
      <c r="BZ160" s="22"/>
      <c r="CA160" s="22"/>
      <c r="CB160" s="144"/>
      <c r="CC160" s="22"/>
      <c r="CD160" s="22"/>
      <c r="CE160" s="144"/>
      <c r="CF160" s="22"/>
      <c r="CG160" s="22"/>
      <c r="CH160" s="144"/>
      <c r="CI160" s="22"/>
      <c r="CJ160" s="22"/>
      <c r="CK160" s="144"/>
      <c r="CL160" s="22"/>
      <c r="CM160" s="22"/>
      <c r="CN160" s="144"/>
      <c r="CO160" s="22"/>
      <c r="CP160" s="22"/>
      <c r="CQ160" s="144"/>
    </row>
    <row r="161" spans="1:95" ht="15.75" customHeight="1" x14ac:dyDescent="0.45">
      <c r="A161" s="22"/>
      <c r="B161" s="22"/>
      <c r="C161" s="12"/>
      <c r="D161" s="12"/>
      <c r="E161" s="12"/>
      <c r="F161" s="155"/>
      <c r="G161" s="144"/>
      <c r="H161" s="144"/>
      <c r="I161" s="12"/>
      <c r="J161" s="22"/>
      <c r="K161" s="22"/>
      <c r="L161" s="22"/>
      <c r="M161" s="145"/>
      <c r="N161" s="144"/>
      <c r="O161" s="144"/>
      <c r="P161" s="152"/>
      <c r="Q161" s="22"/>
      <c r="R161" s="152"/>
      <c r="S161" s="22"/>
      <c r="T161" s="74"/>
      <c r="U161" s="45"/>
      <c r="V161" s="158"/>
      <c r="W161" s="45"/>
      <c r="X161" s="45"/>
      <c r="Y161" s="45"/>
      <c r="Z161" s="45"/>
      <c r="AA161" s="45"/>
      <c r="AB161" s="45"/>
      <c r="AC161" s="44"/>
      <c r="AD161" s="45"/>
      <c r="AE161" s="45"/>
      <c r="AF161" s="45"/>
      <c r="AG161" s="45"/>
      <c r="AH161" s="45"/>
      <c r="AI161" s="144"/>
      <c r="AJ161" s="144"/>
      <c r="AK161" s="45"/>
      <c r="AL161" s="45"/>
      <c r="AM161" s="144"/>
      <c r="AN161" s="144"/>
      <c r="AO161" s="144"/>
      <c r="AP161" s="22"/>
      <c r="AQ161" s="22"/>
      <c r="AR161" s="144"/>
      <c r="AS161" s="22"/>
      <c r="AT161" s="22"/>
      <c r="AU161" s="144"/>
      <c r="AV161" s="22"/>
      <c r="AW161" s="22"/>
      <c r="AX161" s="144"/>
      <c r="AY161" s="22"/>
      <c r="AZ161" s="22"/>
      <c r="BA161" s="144"/>
      <c r="BB161" s="22"/>
      <c r="BC161" s="22"/>
      <c r="BD161" s="144"/>
      <c r="BE161" s="144"/>
      <c r="BF161" s="22"/>
      <c r="BG161" s="144"/>
      <c r="BH161" s="144"/>
      <c r="BI161" s="144"/>
      <c r="BJ161" s="144"/>
      <c r="BK161" s="144"/>
      <c r="BL161" s="22"/>
      <c r="BM161" s="144"/>
      <c r="BN161" s="144"/>
      <c r="BO161" s="22"/>
      <c r="BP161" s="144"/>
      <c r="BQ161" s="22"/>
      <c r="BR161" s="144"/>
      <c r="BS161" s="144"/>
      <c r="BT161" s="22"/>
      <c r="BU161" s="144"/>
      <c r="BV161" s="144"/>
      <c r="BW161" s="22"/>
      <c r="BX161" s="22"/>
      <c r="BY161" s="144"/>
      <c r="BZ161" s="22"/>
      <c r="CA161" s="22"/>
      <c r="CB161" s="144"/>
      <c r="CC161" s="22"/>
      <c r="CD161" s="22"/>
      <c r="CE161" s="144"/>
      <c r="CF161" s="22"/>
      <c r="CG161" s="22"/>
      <c r="CH161" s="144"/>
      <c r="CI161" s="22"/>
      <c r="CJ161" s="22"/>
      <c r="CK161" s="144"/>
      <c r="CL161" s="22"/>
      <c r="CM161" s="22"/>
      <c r="CN161" s="144"/>
      <c r="CO161" s="22"/>
      <c r="CP161" s="22"/>
      <c r="CQ161" s="144"/>
    </row>
    <row r="162" spans="1:95" ht="15.75" customHeight="1" x14ac:dyDescent="0.45">
      <c r="A162" s="22"/>
      <c r="B162" s="22"/>
      <c r="C162" s="12"/>
      <c r="D162" s="12"/>
      <c r="E162" s="12"/>
      <c r="F162" s="155"/>
      <c r="G162" s="144"/>
      <c r="H162" s="144"/>
      <c r="I162" s="12"/>
      <c r="J162" s="22"/>
      <c r="K162" s="22"/>
      <c r="L162" s="22"/>
      <c r="M162" s="145"/>
      <c r="N162" s="144"/>
      <c r="O162" s="144"/>
      <c r="P162" s="152"/>
      <c r="Q162" s="22"/>
      <c r="R162" s="152"/>
      <c r="S162" s="22"/>
      <c r="T162" s="74"/>
      <c r="U162" s="45"/>
      <c r="V162" s="158"/>
      <c r="W162" s="45"/>
      <c r="X162" s="45"/>
      <c r="Y162" s="45"/>
      <c r="Z162" s="45"/>
      <c r="AA162" s="45"/>
      <c r="AB162" s="45"/>
      <c r="AC162" s="44"/>
      <c r="AD162" s="45"/>
      <c r="AE162" s="45"/>
      <c r="AF162" s="45"/>
      <c r="AG162" s="45"/>
      <c r="AH162" s="45"/>
      <c r="AI162" s="144"/>
      <c r="AJ162" s="144"/>
      <c r="AK162" s="45"/>
      <c r="AL162" s="45"/>
      <c r="AM162" s="144"/>
      <c r="AN162" s="144"/>
      <c r="AO162" s="144"/>
      <c r="AP162" s="22"/>
      <c r="AQ162" s="22"/>
      <c r="AR162" s="144"/>
      <c r="AS162" s="22"/>
      <c r="AT162" s="22"/>
      <c r="AU162" s="144"/>
      <c r="AV162" s="22"/>
      <c r="AW162" s="22"/>
      <c r="AX162" s="144"/>
      <c r="AY162" s="22"/>
      <c r="AZ162" s="22"/>
      <c r="BA162" s="144"/>
      <c r="BB162" s="22"/>
      <c r="BC162" s="22"/>
      <c r="BD162" s="144"/>
      <c r="BE162" s="144"/>
      <c r="BF162" s="22"/>
      <c r="BG162" s="144"/>
      <c r="BH162" s="144"/>
      <c r="BI162" s="144"/>
      <c r="BJ162" s="144"/>
      <c r="BK162" s="144"/>
      <c r="BL162" s="22"/>
      <c r="BM162" s="144"/>
      <c r="BN162" s="144"/>
      <c r="BO162" s="22"/>
      <c r="BP162" s="144"/>
      <c r="BQ162" s="22"/>
      <c r="BR162" s="144"/>
      <c r="BS162" s="144"/>
      <c r="BT162" s="22"/>
      <c r="BU162" s="144"/>
      <c r="BV162" s="144"/>
      <c r="BW162" s="22"/>
      <c r="BX162" s="22"/>
      <c r="BY162" s="144"/>
      <c r="BZ162" s="22"/>
      <c r="CA162" s="22"/>
      <c r="CB162" s="144"/>
      <c r="CC162" s="22"/>
      <c r="CD162" s="22"/>
      <c r="CE162" s="144"/>
      <c r="CF162" s="22"/>
      <c r="CG162" s="22"/>
      <c r="CH162" s="144"/>
      <c r="CI162" s="22"/>
      <c r="CJ162" s="22"/>
      <c r="CK162" s="144"/>
      <c r="CL162" s="22"/>
      <c r="CM162" s="22"/>
      <c r="CN162" s="144"/>
      <c r="CO162" s="22"/>
      <c r="CP162" s="22"/>
      <c r="CQ162" s="144"/>
    </row>
    <row r="163" spans="1:95" ht="15.75" customHeight="1" x14ac:dyDescent="0.45">
      <c r="A163" s="22"/>
      <c r="B163" s="22"/>
      <c r="C163" s="12"/>
      <c r="D163" s="12"/>
      <c r="E163" s="12"/>
      <c r="F163" s="155"/>
      <c r="G163" s="144"/>
      <c r="H163" s="144"/>
      <c r="I163" s="12"/>
      <c r="J163" s="22"/>
      <c r="K163" s="22"/>
      <c r="L163" s="22"/>
      <c r="M163" s="145"/>
      <c r="N163" s="144"/>
      <c r="O163" s="144"/>
      <c r="P163" s="152"/>
      <c r="Q163" s="22"/>
      <c r="R163" s="152"/>
      <c r="S163" s="22"/>
      <c r="T163" s="74"/>
      <c r="U163" s="45"/>
      <c r="V163" s="158"/>
      <c r="W163" s="45"/>
      <c r="X163" s="45"/>
      <c r="Y163" s="45"/>
      <c r="Z163" s="45"/>
      <c r="AA163" s="45"/>
      <c r="AB163" s="45"/>
      <c r="AC163" s="44"/>
      <c r="AD163" s="45"/>
      <c r="AE163" s="45"/>
      <c r="AF163" s="45"/>
      <c r="AG163" s="45"/>
      <c r="AH163" s="45"/>
      <c r="AI163" s="144"/>
      <c r="AJ163" s="144"/>
      <c r="AK163" s="45"/>
      <c r="AL163" s="45"/>
      <c r="AM163" s="144"/>
      <c r="AN163" s="144"/>
      <c r="AO163" s="144"/>
      <c r="AP163" s="22"/>
      <c r="AQ163" s="22"/>
      <c r="AR163" s="144"/>
      <c r="AS163" s="22"/>
      <c r="AT163" s="22"/>
      <c r="AU163" s="144"/>
      <c r="AV163" s="22"/>
      <c r="AW163" s="22"/>
      <c r="AX163" s="144"/>
      <c r="AY163" s="22"/>
      <c r="AZ163" s="22"/>
      <c r="BA163" s="144"/>
      <c r="BB163" s="22"/>
      <c r="BC163" s="22"/>
      <c r="BD163" s="144"/>
      <c r="BE163" s="144"/>
      <c r="BF163" s="22"/>
      <c r="BG163" s="144"/>
      <c r="BH163" s="144"/>
      <c r="BI163" s="144"/>
      <c r="BJ163" s="144"/>
      <c r="BK163" s="144"/>
      <c r="BL163" s="22"/>
      <c r="BM163" s="144"/>
      <c r="BN163" s="144"/>
      <c r="BO163" s="22"/>
      <c r="BP163" s="144"/>
      <c r="BQ163" s="22"/>
      <c r="BR163" s="144"/>
      <c r="BS163" s="144"/>
      <c r="BT163" s="22"/>
      <c r="BU163" s="144"/>
      <c r="BV163" s="144"/>
      <c r="BW163" s="22"/>
      <c r="BX163" s="22"/>
      <c r="BY163" s="144"/>
      <c r="BZ163" s="22"/>
      <c r="CA163" s="22"/>
      <c r="CB163" s="144"/>
      <c r="CC163" s="22"/>
      <c r="CD163" s="22"/>
      <c r="CE163" s="144"/>
      <c r="CF163" s="22"/>
      <c r="CG163" s="22"/>
      <c r="CH163" s="144"/>
      <c r="CI163" s="22"/>
      <c r="CJ163" s="22"/>
      <c r="CK163" s="144"/>
      <c r="CL163" s="22"/>
      <c r="CM163" s="22"/>
      <c r="CN163" s="144"/>
      <c r="CO163" s="22"/>
      <c r="CP163" s="22"/>
      <c r="CQ163" s="144"/>
    </row>
    <row r="164" spans="1:95" ht="15.75" customHeight="1" x14ac:dyDescent="0.45">
      <c r="A164" s="22"/>
      <c r="B164" s="22"/>
      <c r="C164" s="12"/>
      <c r="D164" s="12"/>
      <c r="E164" s="12"/>
      <c r="F164" s="155"/>
      <c r="G164" s="144"/>
      <c r="H164" s="144"/>
      <c r="I164" s="12"/>
      <c r="J164" s="22"/>
      <c r="K164" s="22"/>
      <c r="L164" s="22"/>
      <c r="M164" s="145"/>
      <c r="N164" s="144"/>
      <c r="O164" s="144"/>
      <c r="P164" s="152"/>
      <c r="Q164" s="22"/>
      <c r="R164" s="152"/>
      <c r="S164" s="22"/>
      <c r="T164" s="74"/>
      <c r="U164" s="45"/>
      <c r="V164" s="158"/>
      <c r="W164" s="45"/>
      <c r="X164" s="45"/>
      <c r="Y164" s="45"/>
      <c r="Z164" s="45"/>
      <c r="AA164" s="45"/>
      <c r="AB164" s="45"/>
      <c r="AC164" s="44"/>
      <c r="AD164" s="45"/>
      <c r="AE164" s="45"/>
      <c r="AF164" s="45"/>
      <c r="AG164" s="45"/>
      <c r="AH164" s="45"/>
      <c r="AI164" s="144"/>
      <c r="AJ164" s="144"/>
      <c r="AK164" s="45"/>
      <c r="AL164" s="45"/>
      <c r="AM164" s="144"/>
      <c r="AN164" s="144"/>
      <c r="AO164" s="144"/>
      <c r="AP164" s="22"/>
      <c r="AQ164" s="22"/>
      <c r="AR164" s="144"/>
      <c r="AS164" s="22"/>
      <c r="AT164" s="22"/>
      <c r="AU164" s="144"/>
      <c r="AV164" s="22"/>
      <c r="AW164" s="22"/>
      <c r="AX164" s="144"/>
      <c r="AY164" s="22"/>
      <c r="AZ164" s="22"/>
      <c r="BA164" s="144"/>
      <c r="BB164" s="22"/>
      <c r="BC164" s="22"/>
      <c r="BD164" s="144"/>
      <c r="BE164" s="144"/>
      <c r="BF164" s="22"/>
      <c r="BG164" s="144"/>
      <c r="BH164" s="144"/>
      <c r="BI164" s="144"/>
      <c r="BJ164" s="144"/>
      <c r="BK164" s="144"/>
      <c r="BL164" s="22"/>
      <c r="BM164" s="144"/>
      <c r="BN164" s="144"/>
      <c r="BO164" s="22"/>
      <c r="BP164" s="144"/>
      <c r="BQ164" s="22"/>
      <c r="BR164" s="144"/>
      <c r="BS164" s="144"/>
      <c r="BT164" s="22"/>
      <c r="BU164" s="144"/>
      <c r="BV164" s="144"/>
      <c r="BW164" s="22"/>
      <c r="BX164" s="22"/>
      <c r="BY164" s="144"/>
      <c r="BZ164" s="22"/>
      <c r="CA164" s="22"/>
      <c r="CB164" s="144"/>
      <c r="CC164" s="22"/>
      <c r="CD164" s="22"/>
      <c r="CE164" s="144"/>
      <c r="CF164" s="22"/>
      <c r="CG164" s="22"/>
      <c r="CH164" s="144"/>
      <c r="CI164" s="22"/>
      <c r="CJ164" s="22"/>
      <c r="CK164" s="144"/>
      <c r="CL164" s="22"/>
      <c r="CM164" s="22"/>
      <c r="CN164" s="144"/>
      <c r="CO164" s="22"/>
      <c r="CP164" s="22"/>
      <c r="CQ164" s="144"/>
    </row>
    <row r="165" spans="1:95" ht="15.75" customHeight="1" x14ac:dyDescent="0.45">
      <c r="A165" s="22"/>
      <c r="B165" s="22"/>
      <c r="C165" s="12"/>
      <c r="D165" s="12"/>
      <c r="E165" s="12"/>
      <c r="F165" s="155"/>
      <c r="G165" s="144"/>
      <c r="H165" s="144"/>
      <c r="I165" s="12"/>
      <c r="J165" s="22"/>
      <c r="K165" s="22"/>
      <c r="L165" s="22"/>
      <c r="M165" s="145"/>
      <c r="N165" s="144"/>
      <c r="O165" s="144"/>
      <c r="P165" s="152"/>
      <c r="Q165" s="22"/>
      <c r="R165" s="152"/>
      <c r="S165" s="22"/>
      <c r="T165" s="74"/>
      <c r="U165" s="45"/>
      <c r="V165" s="158"/>
      <c r="W165" s="45"/>
      <c r="X165" s="45"/>
      <c r="Y165" s="45"/>
      <c r="Z165" s="45"/>
      <c r="AA165" s="45"/>
      <c r="AB165" s="45"/>
      <c r="AC165" s="44"/>
      <c r="AD165" s="45"/>
      <c r="AE165" s="45"/>
      <c r="AF165" s="45"/>
      <c r="AG165" s="45"/>
      <c r="AH165" s="45"/>
      <c r="AI165" s="144"/>
      <c r="AJ165" s="144"/>
      <c r="AK165" s="45"/>
      <c r="AL165" s="45"/>
      <c r="AM165" s="144"/>
      <c r="AN165" s="144"/>
      <c r="AO165" s="144"/>
      <c r="AP165" s="22"/>
      <c r="AQ165" s="22"/>
      <c r="AR165" s="144"/>
      <c r="AS165" s="22"/>
      <c r="AT165" s="22"/>
      <c r="AU165" s="144"/>
      <c r="AV165" s="22"/>
      <c r="AW165" s="22"/>
      <c r="AX165" s="144"/>
      <c r="AY165" s="22"/>
      <c r="AZ165" s="22"/>
      <c r="BA165" s="144"/>
      <c r="BB165" s="22"/>
      <c r="BC165" s="22"/>
      <c r="BD165" s="144"/>
      <c r="BE165" s="144"/>
      <c r="BF165" s="22"/>
      <c r="BG165" s="144"/>
      <c r="BH165" s="144"/>
      <c r="BI165" s="144"/>
      <c r="BJ165" s="144"/>
      <c r="BK165" s="144"/>
      <c r="BL165" s="22"/>
      <c r="BM165" s="144"/>
      <c r="BN165" s="144"/>
      <c r="BO165" s="22"/>
      <c r="BP165" s="144"/>
      <c r="BQ165" s="22"/>
      <c r="BR165" s="144"/>
      <c r="BS165" s="144"/>
      <c r="BT165" s="22"/>
      <c r="BU165" s="144"/>
      <c r="BV165" s="144"/>
      <c r="BW165" s="22"/>
      <c r="BX165" s="22"/>
      <c r="BY165" s="144"/>
      <c r="BZ165" s="22"/>
      <c r="CA165" s="22"/>
      <c r="CB165" s="144"/>
      <c r="CC165" s="22"/>
      <c r="CD165" s="22"/>
      <c r="CE165" s="144"/>
      <c r="CF165" s="22"/>
      <c r="CG165" s="22"/>
      <c r="CH165" s="144"/>
      <c r="CI165" s="22"/>
      <c r="CJ165" s="22"/>
      <c r="CK165" s="144"/>
      <c r="CL165" s="22"/>
      <c r="CM165" s="22"/>
      <c r="CN165" s="144"/>
      <c r="CO165" s="22"/>
      <c r="CP165" s="22"/>
      <c r="CQ165" s="144"/>
    </row>
    <row r="166" spans="1:95" ht="15.75" customHeight="1" x14ac:dyDescent="0.45">
      <c r="A166" s="22"/>
      <c r="B166" s="22"/>
      <c r="C166" s="12"/>
      <c r="D166" s="12"/>
      <c r="E166" s="12"/>
      <c r="F166" s="155"/>
      <c r="G166" s="144"/>
      <c r="H166" s="144"/>
      <c r="I166" s="12"/>
      <c r="J166" s="22"/>
      <c r="K166" s="22"/>
      <c r="L166" s="22"/>
      <c r="M166" s="145"/>
      <c r="N166" s="144"/>
      <c r="O166" s="144"/>
      <c r="P166" s="152"/>
      <c r="Q166" s="22"/>
      <c r="R166" s="152"/>
      <c r="S166" s="22"/>
      <c r="T166" s="74"/>
      <c r="U166" s="45"/>
      <c r="V166" s="158"/>
      <c r="W166" s="45"/>
      <c r="X166" s="45"/>
      <c r="Y166" s="45"/>
      <c r="Z166" s="45"/>
      <c r="AA166" s="45"/>
      <c r="AB166" s="45"/>
      <c r="AC166" s="44"/>
      <c r="AD166" s="45"/>
      <c r="AE166" s="45"/>
      <c r="AF166" s="45"/>
      <c r="AG166" s="45"/>
      <c r="AH166" s="45"/>
      <c r="AI166" s="144"/>
      <c r="AJ166" s="144"/>
      <c r="AK166" s="45"/>
      <c r="AL166" s="45"/>
      <c r="AM166" s="144"/>
      <c r="AN166" s="144"/>
      <c r="AO166" s="144"/>
      <c r="AP166" s="22"/>
      <c r="AQ166" s="22"/>
      <c r="AR166" s="144"/>
      <c r="AS166" s="22"/>
      <c r="AT166" s="22"/>
      <c r="AU166" s="144"/>
      <c r="AV166" s="22"/>
      <c r="AW166" s="22"/>
      <c r="AX166" s="144"/>
      <c r="AY166" s="22"/>
      <c r="AZ166" s="22"/>
      <c r="BA166" s="144"/>
      <c r="BB166" s="22"/>
      <c r="BC166" s="22"/>
      <c r="BD166" s="144"/>
      <c r="BE166" s="144"/>
      <c r="BF166" s="22"/>
      <c r="BG166" s="144"/>
      <c r="BH166" s="144"/>
      <c r="BI166" s="144"/>
      <c r="BJ166" s="144"/>
      <c r="BK166" s="144"/>
      <c r="BL166" s="22"/>
      <c r="BM166" s="144"/>
      <c r="BN166" s="144"/>
      <c r="BO166" s="22"/>
      <c r="BP166" s="144"/>
      <c r="BQ166" s="22"/>
      <c r="BR166" s="144"/>
      <c r="BS166" s="144"/>
      <c r="BT166" s="22"/>
      <c r="BU166" s="144"/>
      <c r="BV166" s="144"/>
      <c r="BW166" s="22"/>
      <c r="BX166" s="22"/>
      <c r="BY166" s="144"/>
      <c r="BZ166" s="22"/>
      <c r="CA166" s="22"/>
      <c r="CB166" s="144"/>
      <c r="CC166" s="22"/>
      <c r="CD166" s="22"/>
      <c r="CE166" s="144"/>
      <c r="CF166" s="22"/>
      <c r="CG166" s="22"/>
      <c r="CH166" s="144"/>
      <c r="CI166" s="22"/>
      <c r="CJ166" s="22"/>
      <c r="CK166" s="144"/>
      <c r="CL166" s="22"/>
      <c r="CM166" s="22"/>
      <c r="CN166" s="144"/>
      <c r="CO166" s="22"/>
      <c r="CP166" s="22"/>
      <c r="CQ166" s="144"/>
    </row>
    <row r="167" spans="1:95" ht="15.75" customHeight="1" x14ac:dyDescent="0.45">
      <c r="A167" s="22"/>
      <c r="B167" s="22"/>
      <c r="C167" s="12"/>
      <c r="D167" s="12"/>
      <c r="E167" s="12"/>
      <c r="F167" s="155"/>
      <c r="G167" s="144"/>
      <c r="H167" s="144"/>
      <c r="I167" s="12"/>
      <c r="J167" s="22"/>
      <c r="K167" s="22"/>
      <c r="L167" s="22"/>
      <c r="M167" s="145"/>
      <c r="N167" s="144"/>
      <c r="O167" s="144"/>
      <c r="P167" s="152"/>
      <c r="Q167" s="22"/>
      <c r="R167" s="152"/>
      <c r="S167" s="22"/>
      <c r="T167" s="74"/>
      <c r="U167" s="45"/>
      <c r="V167" s="158"/>
      <c r="W167" s="45"/>
      <c r="X167" s="45"/>
      <c r="Y167" s="45"/>
      <c r="Z167" s="45"/>
      <c r="AA167" s="45"/>
      <c r="AB167" s="45"/>
      <c r="AC167" s="44"/>
      <c r="AD167" s="45"/>
      <c r="AE167" s="45"/>
      <c r="AF167" s="45"/>
      <c r="AG167" s="45"/>
      <c r="AH167" s="45"/>
      <c r="AI167" s="144"/>
      <c r="AJ167" s="144"/>
      <c r="AK167" s="45"/>
      <c r="AL167" s="45"/>
      <c r="AM167" s="144"/>
      <c r="AN167" s="144"/>
      <c r="AO167" s="144"/>
      <c r="AP167" s="22"/>
      <c r="AQ167" s="22"/>
      <c r="AR167" s="144"/>
      <c r="AS167" s="22"/>
      <c r="AT167" s="22"/>
      <c r="AU167" s="144"/>
      <c r="AV167" s="22"/>
      <c r="AW167" s="22"/>
      <c r="AX167" s="144"/>
      <c r="AY167" s="22"/>
      <c r="AZ167" s="22"/>
      <c r="BA167" s="144"/>
      <c r="BB167" s="22"/>
      <c r="BC167" s="22"/>
      <c r="BD167" s="144"/>
      <c r="BE167" s="144"/>
      <c r="BF167" s="22"/>
      <c r="BG167" s="144"/>
      <c r="BH167" s="144"/>
      <c r="BI167" s="144"/>
      <c r="BJ167" s="144"/>
      <c r="BK167" s="144"/>
      <c r="BL167" s="22"/>
      <c r="BM167" s="144"/>
      <c r="BN167" s="144"/>
      <c r="BO167" s="22"/>
      <c r="BP167" s="144"/>
      <c r="BQ167" s="22"/>
      <c r="BR167" s="144"/>
      <c r="BS167" s="144"/>
      <c r="BT167" s="22"/>
      <c r="BU167" s="144"/>
      <c r="BV167" s="144"/>
      <c r="BW167" s="22"/>
      <c r="BX167" s="22"/>
      <c r="BY167" s="144"/>
      <c r="BZ167" s="22"/>
      <c r="CA167" s="22"/>
      <c r="CB167" s="144"/>
      <c r="CC167" s="22"/>
      <c r="CD167" s="22"/>
      <c r="CE167" s="144"/>
      <c r="CF167" s="22"/>
      <c r="CG167" s="22"/>
      <c r="CH167" s="144"/>
      <c r="CI167" s="22"/>
      <c r="CJ167" s="22"/>
      <c r="CK167" s="144"/>
      <c r="CL167" s="22"/>
      <c r="CM167" s="22"/>
      <c r="CN167" s="144"/>
      <c r="CO167" s="22"/>
      <c r="CP167" s="22"/>
      <c r="CQ167" s="144"/>
    </row>
    <row r="168" spans="1:95" ht="15.75" customHeight="1" x14ac:dyDescent="0.45">
      <c r="A168" s="22"/>
      <c r="B168" s="22"/>
      <c r="C168" s="12"/>
      <c r="D168" s="12"/>
      <c r="E168" s="12"/>
      <c r="F168" s="155"/>
      <c r="G168" s="144"/>
      <c r="H168" s="144"/>
      <c r="I168" s="12"/>
      <c r="J168" s="22"/>
      <c r="K168" s="22"/>
      <c r="L168" s="22"/>
      <c r="M168" s="145"/>
      <c r="N168" s="144"/>
      <c r="O168" s="144"/>
      <c r="P168" s="152"/>
      <c r="Q168" s="22"/>
      <c r="R168" s="152"/>
      <c r="S168" s="22"/>
      <c r="T168" s="74"/>
      <c r="U168" s="45"/>
      <c r="V168" s="158"/>
      <c r="W168" s="45"/>
      <c r="X168" s="45"/>
      <c r="Y168" s="45"/>
      <c r="Z168" s="45"/>
      <c r="AA168" s="45"/>
      <c r="AB168" s="45"/>
      <c r="AC168" s="44"/>
      <c r="AD168" s="45"/>
      <c r="AE168" s="45"/>
      <c r="AF168" s="45"/>
      <c r="AG168" s="45"/>
      <c r="AH168" s="45"/>
      <c r="AI168" s="144"/>
      <c r="AJ168" s="144"/>
      <c r="AK168" s="45"/>
      <c r="AL168" s="45"/>
      <c r="AM168" s="144"/>
      <c r="AN168" s="144"/>
      <c r="AO168" s="144"/>
      <c r="AP168" s="22"/>
      <c r="AQ168" s="22"/>
      <c r="AR168" s="144"/>
      <c r="AS168" s="22"/>
      <c r="AT168" s="22"/>
      <c r="AU168" s="144"/>
      <c r="AV168" s="22"/>
      <c r="AW168" s="22"/>
      <c r="AX168" s="144"/>
      <c r="AY168" s="22"/>
      <c r="AZ168" s="22"/>
      <c r="BA168" s="144"/>
      <c r="BB168" s="22"/>
      <c r="BC168" s="22"/>
      <c r="BD168" s="144"/>
      <c r="BE168" s="144"/>
      <c r="BF168" s="22"/>
      <c r="BG168" s="144"/>
      <c r="BH168" s="144"/>
      <c r="BI168" s="144"/>
      <c r="BJ168" s="144"/>
      <c r="BK168" s="144"/>
      <c r="BL168" s="22"/>
      <c r="BM168" s="144"/>
      <c r="BN168" s="144"/>
      <c r="BO168" s="22"/>
      <c r="BP168" s="144"/>
      <c r="BQ168" s="22"/>
      <c r="BR168" s="144"/>
      <c r="BS168" s="144"/>
      <c r="BT168" s="22"/>
      <c r="BU168" s="144"/>
      <c r="BV168" s="144"/>
      <c r="BW168" s="22"/>
      <c r="BX168" s="22"/>
      <c r="BY168" s="144"/>
      <c r="BZ168" s="22"/>
      <c r="CA168" s="22"/>
      <c r="CB168" s="144"/>
      <c r="CC168" s="22"/>
      <c r="CD168" s="22"/>
      <c r="CE168" s="144"/>
      <c r="CF168" s="22"/>
      <c r="CG168" s="22"/>
      <c r="CH168" s="144"/>
      <c r="CI168" s="22"/>
      <c r="CJ168" s="22"/>
      <c r="CK168" s="144"/>
      <c r="CL168" s="22"/>
      <c r="CM168" s="22"/>
      <c r="CN168" s="144"/>
      <c r="CO168" s="22"/>
      <c r="CP168" s="22"/>
      <c r="CQ168" s="144"/>
    </row>
    <row r="169" spans="1:95" ht="15.75" customHeight="1" x14ac:dyDescent="0.45">
      <c r="A169" s="22"/>
      <c r="B169" s="22"/>
      <c r="C169" s="12"/>
      <c r="D169" s="12"/>
      <c r="E169" s="12"/>
      <c r="F169" s="155"/>
      <c r="G169" s="144"/>
      <c r="H169" s="144"/>
      <c r="I169" s="12"/>
      <c r="J169" s="22"/>
      <c r="K169" s="22"/>
      <c r="L169" s="22"/>
      <c r="M169" s="145"/>
      <c r="N169" s="144"/>
      <c r="O169" s="144"/>
      <c r="P169" s="152"/>
      <c r="Q169" s="22"/>
      <c r="R169" s="152"/>
      <c r="S169" s="22"/>
      <c r="T169" s="74"/>
      <c r="U169" s="45"/>
      <c r="V169" s="158"/>
      <c r="W169" s="45"/>
      <c r="X169" s="45"/>
      <c r="Y169" s="45"/>
      <c r="Z169" s="45"/>
      <c r="AA169" s="45"/>
      <c r="AB169" s="45"/>
      <c r="AC169" s="44"/>
      <c r="AD169" s="45"/>
      <c r="AE169" s="45"/>
      <c r="AF169" s="45"/>
      <c r="AG169" s="45"/>
      <c r="AH169" s="45"/>
      <c r="AI169" s="144"/>
      <c r="AJ169" s="144"/>
      <c r="AK169" s="45"/>
      <c r="AL169" s="45"/>
      <c r="AM169" s="144"/>
      <c r="AN169" s="144"/>
      <c r="AO169" s="144"/>
      <c r="AP169" s="22"/>
      <c r="AQ169" s="22"/>
      <c r="AR169" s="144"/>
      <c r="AS169" s="22"/>
      <c r="AT169" s="22"/>
      <c r="AU169" s="144"/>
      <c r="AV169" s="22"/>
      <c r="AW169" s="22"/>
      <c r="AX169" s="144"/>
      <c r="AY169" s="22"/>
      <c r="AZ169" s="22"/>
      <c r="BA169" s="144"/>
      <c r="BB169" s="22"/>
      <c r="BC169" s="22"/>
      <c r="BD169" s="144"/>
      <c r="BE169" s="144"/>
      <c r="BF169" s="22"/>
      <c r="BG169" s="144"/>
      <c r="BH169" s="144"/>
      <c r="BI169" s="144"/>
      <c r="BJ169" s="144"/>
      <c r="BK169" s="144"/>
      <c r="BL169" s="22"/>
      <c r="BM169" s="144"/>
      <c r="BN169" s="144"/>
      <c r="BO169" s="22"/>
      <c r="BP169" s="144"/>
      <c r="BQ169" s="22"/>
      <c r="BR169" s="144"/>
      <c r="BS169" s="144"/>
      <c r="BT169" s="22"/>
      <c r="BU169" s="144"/>
      <c r="BV169" s="144"/>
      <c r="BW169" s="22"/>
      <c r="BX169" s="22"/>
      <c r="BY169" s="144"/>
      <c r="BZ169" s="22"/>
      <c r="CA169" s="22"/>
      <c r="CB169" s="144"/>
      <c r="CC169" s="22"/>
      <c r="CD169" s="22"/>
      <c r="CE169" s="144"/>
      <c r="CF169" s="22"/>
      <c r="CG169" s="22"/>
      <c r="CH169" s="144"/>
      <c r="CI169" s="22"/>
      <c r="CJ169" s="22"/>
      <c r="CK169" s="144"/>
      <c r="CL169" s="22"/>
      <c r="CM169" s="22"/>
      <c r="CN169" s="144"/>
      <c r="CO169" s="22"/>
      <c r="CP169" s="22"/>
      <c r="CQ169" s="144"/>
    </row>
    <row r="170" spans="1:95" ht="15.75" customHeight="1" x14ac:dyDescent="0.45">
      <c r="A170" s="22"/>
      <c r="B170" s="22"/>
      <c r="C170" s="12"/>
      <c r="D170" s="12"/>
      <c r="E170" s="12"/>
      <c r="F170" s="155"/>
      <c r="G170" s="144"/>
      <c r="H170" s="144"/>
      <c r="I170" s="12"/>
      <c r="J170" s="22"/>
      <c r="K170" s="22"/>
      <c r="L170" s="22"/>
      <c r="M170" s="145"/>
      <c r="N170" s="144"/>
      <c r="O170" s="144"/>
      <c r="P170" s="152"/>
      <c r="Q170" s="22"/>
      <c r="R170" s="152"/>
      <c r="S170" s="22"/>
      <c r="T170" s="74"/>
      <c r="U170" s="45"/>
      <c r="V170" s="158"/>
      <c r="W170" s="45"/>
      <c r="X170" s="45"/>
      <c r="Y170" s="45"/>
      <c r="Z170" s="45"/>
      <c r="AA170" s="45"/>
      <c r="AB170" s="45"/>
      <c r="AC170" s="44"/>
      <c r="AD170" s="45"/>
      <c r="AE170" s="45"/>
      <c r="AF170" s="45"/>
      <c r="AG170" s="45"/>
      <c r="AH170" s="45"/>
      <c r="AI170" s="144"/>
      <c r="AJ170" s="144"/>
      <c r="AK170" s="45"/>
      <c r="AL170" s="45"/>
      <c r="AM170" s="144"/>
      <c r="AN170" s="144"/>
      <c r="AO170" s="144"/>
      <c r="AP170" s="22"/>
      <c r="AQ170" s="22"/>
      <c r="AR170" s="144"/>
      <c r="AS170" s="22"/>
      <c r="AT170" s="22"/>
      <c r="AU170" s="144"/>
      <c r="AV170" s="22"/>
      <c r="AW170" s="22"/>
      <c r="AX170" s="144"/>
      <c r="AY170" s="22"/>
      <c r="AZ170" s="22"/>
      <c r="BA170" s="144"/>
      <c r="BB170" s="22"/>
      <c r="BC170" s="22"/>
      <c r="BD170" s="144"/>
      <c r="BE170" s="144"/>
      <c r="BF170" s="22"/>
      <c r="BG170" s="144"/>
      <c r="BH170" s="144"/>
      <c r="BI170" s="144"/>
      <c r="BJ170" s="144"/>
      <c r="BK170" s="144"/>
      <c r="BL170" s="22"/>
      <c r="BM170" s="144"/>
      <c r="BN170" s="144"/>
      <c r="BO170" s="22"/>
      <c r="BP170" s="144"/>
      <c r="BQ170" s="22"/>
      <c r="BR170" s="144"/>
      <c r="BS170" s="144"/>
      <c r="BT170" s="22"/>
      <c r="BU170" s="144"/>
      <c r="BV170" s="144"/>
      <c r="BW170" s="22"/>
      <c r="BX170" s="22"/>
      <c r="BY170" s="144"/>
      <c r="BZ170" s="22"/>
      <c r="CA170" s="22"/>
      <c r="CB170" s="144"/>
      <c r="CC170" s="22"/>
      <c r="CD170" s="22"/>
      <c r="CE170" s="144"/>
      <c r="CF170" s="22"/>
      <c r="CG170" s="22"/>
      <c r="CH170" s="144"/>
      <c r="CI170" s="22"/>
      <c r="CJ170" s="22"/>
      <c r="CK170" s="144"/>
      <c r="CL170" s="22"/>
      <c r="CM170" s="22"/>
      <c r="CN170" s="144"/>
      <c r="CO170" s="22"/>
      <c r="CP170" s="22"/>
      <c r="CQ170" s="144"/>
    </row>
    <row r="171" spans="1:95" ht="15.75" customHeight="1" x14ac:dyDescent="0.45">
      <c r="A171" s="22"/>
      <c r="B171" s="22"/>
      <c r="C171" s="12"/>
      <c r="D171" s="12"/>
      <c r="E171" s="12"/>
      <c r="F171" s="155"/>
      <c r="G171" s="144"/>
      <c r="H171" s="144"/>
      <c r="I171" s="12"/>
      <c r="J171" s="22"/>
      <c r="K171" s="22"/>
      <c r="L171" s="22"/>
      <c r="M171" s="145"/>
      <c r="N171" s="144"/>
      <c r="O171" s="144"/>
      <c r="P171" s="152"/>
      <c r="Q171" s="22"/>
      <c r="R171" s="152"/>
      <c r="S171" s="22"/>
      <c r="T171" s="74"/>
      <c r="U171" s="45"/>
      <c r="V171" s="158"/>
      <c r="W171" s="45"/>
      <c r="X171" s="45"/>
      <c r="Y171" s="45"/>
      <c r="Z171" s="45"/>
      <c r="AA171" s="45"/>
      <c r="AB171" s="45"/>
      <c r="AC171" s="44"/>
      <c r="AD171" s="45"/>
      <c r="AE171" s="45"/>
      <c r="AF171" s="45"/>
      <c r="AG171" s="45"/>
      <c r="AH171" s="45"/>
      <c r="AI171" s="144"/>
      <c r="AJ171" s="144"/>
      <c r="AK171" s="45"/>
      <c r="AL171" s="45"/>
      <c r="AM171" s="144"/>
      <c r="AN171" s="144"/>
      <c r="AO171" s="144"/>
      <c r="AP171" s="22"/>
      <c r="AQ171" s="22"/>
      <c r="AR171" s="144"/>
      <c r="AS171" s="22"/>
      <c r="AT171" s="22"/>
      <c r="AU171" s="144"/>
      <c r="AV171" s="22"/>
      <c r="AW171" s="22"/>
      <c r="AX171" s="144"/>
      <c r="AY171" s="22"/>
      <c r="AZ171" s="22"/>
      <c r="BA171" s="144"/>
      <c r="BB171" s="22"/>
      <c r="BC171" s="22"/>
      <c r="BD171" s="144"/>
      <c r="BE171" s="144"/>
      <c r="BF171" s="22"/>
      <c r="BG171" s="144"/>
      <c r="BH171" s="144"/>
      <c r="BI171" s="144"/>
      <c r="BJ171" s="144"/>
      <c r="BK171" s="144"/>
      <c r="BL171" s="22"/>
      <c r="BM171" s="144"/>
      <c r="BN171" s="144"/>
      <c r="BO171" s="22"/>
      <c r="BP171" s="144"/>
      <c r="BQ171" s="22"/>
      <c r="BR171" s="144"/>
      <c r="BS171" s="144"/>
      <c r="BT171" s="22"/>
      <c r="BU171" s="144"/>
      <c r="BV171" s="144"/>
      <c r="BW171" s="22"/>
      <c r="BX171" s="22"/>
      <c r="BY171" s="144"/>
      <c r="BZ171" s="22"/>
      <c r="CA171" s="22"/>
      <c r="CB171" s="144"/>
      <c r="CC171" s="22"/>
      <c r="CD171" s="22"/>
      <c r="CE171" s="144"/>
      <c r="CF171" s="22"/>
      <c r="CG171" s="22"/>
      <c r="CH171" s="144"/>
      <c r="CI171" s="22"/>
      <c r="CJ171" s="22"/>
      <c r="CK171" s="144"/>
      <c r="CL171" s="22"/>
      <c r="CM171" s="22"/>
      <c r="CN171" s="144"/>
      <c r="CO171" s="22"/>
      <c r="CP171" s="22"/>
      <c r="CQ171" s="144"/>
    </row>
    <row r="172" spans="1:95" ht="15.75" customHeight="1" x14ac:dyDescent="0.45">
      <c r="A172" s="22"/>
      <c r="B172" s="22"/>
      <c r="C172" s="12"/>
      <c r="D172" s="12"/>
      <c r="E172" s="12"/>
      <c r="F172" s="155"/>
      <c r="G172" s="144"/>
      <c r="H172" s="144"/>
      <c r="I172" s="12"/>
      <c r="J172" s="22"/>
      <c r="K172" s="22"/>
      <c r="L172" s="22"/>
      <c r="M172" s="145"/>
      <c r="N172" s="144"/>
      <c r="O172" s="144"/>
      <c r="P172" s="152"/>
      <c r="Q172" s="22"/>
      <c r="R172" s="152"/>
      <c r="S172" s="22"/>
      <c r="T172" s="74"/>
      <c r="U172" s="45"/>
      <c r="V172" s="158"/>
      <c r="W172" s="45"/>
      <c r="X172" s="45"/>
      <c r="Y172" s="45"/>
      <c r="Z172" s="45"/>
      <c r="AA172" s="45"/>
      <c r="AB172" s="45"/>
      <c r="AC172" s="44"/>
      <c r="AD172" s="45"/>
      <c r="AE172" s="45"/>
      <c r="AF172" s="45"/>
      <c r="AG172" s="45"/>
      <c r="AH172" s="45"/>
      <c r="AI172" s="144"/>
      <c r="AJ172" s="144"/>
      <c r="AK172" s="45"/>
      <c r="AL172" s="45"/>
      <c r="AM172" s="144"/>
      <c r="AN172" s="144"/>
      <c r="AO172" s="144"/>
      <c r="AP172" s="22"/>
      <c r="AQ172" s="22"/>
      <c r="AR172" s="144"/>
      <c r="AS172" s="22"/>
      <c r="AT172" s="22"/>
      <c r="AU172" s="144"/>
      <c r="AV172" s="22"/>
      <c r="AW172" s="22"/>
      <c r="AX172" s="144"/>
      <c r="AY172" s="22"/>
      <c r="AZ172" s="22"/>
      <c r="BA172" s="144"/>
      <c r="BB172" s="22"/>
      <c r="BC172" s="22"/>
      <c r="BD172" s="144"/>
      <c r="BE172" s="144"/>
      <c r="BF172" s="22"/>
      <c r="BG172" s="144"/>
      <c r="BH172" s="144"/>
      <c r="BI172" s="144"/>
      <c r="BJ172" s="144"/>
      <c r="BK172" s="144"/>
      <c r="BL172" s="22"/>
      <c r="BM172" s="144"/>
      <c r="BN172" s="144"/>
      <c r="BO172" s="22"/>
      <c r="BP172" s="144"/>
      <c r="BQ172" s="22"/>
      <c r="BR172" s="144"/>
      <c r="BS172" s="144"/>
      <c r="BT172" s="22"/>
      <c r="BU172" s="144"/>
      <c r="BV172" s="144"/>
      <c r="BW172" s="22"/>
      <c r="BX172" s="22"/>
      <c r="BY172" s="144"/>
      <c r="BZ172" s="22"/>
      <c r="CA172" s="22"/>
      <c r="CB172" s="144"/>
      <c r="CC172" s="22"/>
      <c r="CD172" s="22"/>
      <c r="CE172" s="144"/>
      <c r="CF172" s="22"/>
      <c r="CG172" s="22"/>
      <c r="CH172" s="144"/>
      <c r="CI172" s="22"/>
      <c r="CJ172" s="22"/>
      <c r="CK172" s="144"/>
      <c r="CL172" s="22"/>
      <c r="CM172" s="22"/>
      <c r="CN172" s="144"/>
      <c r="CO172" s="22"/>
      <c r="CP172" s="22"/>
      <c r="CQ172" s="144"/>
    </row>
    <row r="173" spans="1:95" ht="15.75" customHeight="1" x14ac:dyDescent="0.45">
      <c r="A173" s="22"/>
      <c r="B173" s="22"/>
      <c r="C173" s="12"/>
      <c r="D173" s="12"/>
      <c r="E173" s="12"/>
      <c r="F173" s="155"/>
      <c r="G173" s="144"/>
      <c r="H173" s="144"/>
      <c r="I173" s="12"/>
      <c r="J173" s="22"/>
      <c r="K173" s="22"/>
      <c r="L173" s="22"/>
      <c r="M173" s="145"/>
      <c r="N173" s="144"/>
      <c r="O173" s="144"/>
      <c r="P173" s="152"/>
      <c r="Q173" s="22"/>
      <c r="R173" s="152"/>
      <c r="S173" s="22"/>
      <c r="T173" s="74"/>
      <c r="U173" s="45"/>
      <c r="V173" s="158"/>
      <c r="W173" s="45"/>
      <c r="X173" s="45"/>
      <c r="Y173" s="45"/>
      <c r="Z173" s="45"/>
      <c r="AA173" s="45"/>
      <c r="AB173" s="45"/>
      <c r="AC173" s="44"/>
      <c r="AD173" s="45"/>
      <c r="AE173" s="45"/>
      <c r="AF173" s="45"/>
      <c r="AG173" s="45"/>
      <c r="AH173" s="45"/>
      <c r="AI173" s="144"/>
      <c r="AJ173" s="144"/>
      <c r="AK173" s="45"/>
      <c r="AL173" s="45"/>
      <c r="AM173" s="144"/>
      <c r="AN173" s="144"/>
      <c r="AO173" s="144"/>
      <c r="AP173" s="22"/>
      <c r="AQ173" s="22"/>
      <c r="AR173" s="144"/>
      <c r="AS173" s="22"/>
      <c r="AT173" s="22"/>
      <c r="AU173" s="144"/>
      <c r="AV173" s="22"/>
      <c r="AW173" s="22"/>
      <c r="AX173" s="144"/>
      <c r="AY173" s="22"/>
      <c r="AZ173" s="22"/>
      <c r="BA173" s="144"/>
      <c r="BB173" s="22"/>
      <c r="BC173" s="22"/>
      <c r="BD173" s="144"/>
      <c r="BE173" s="144"/>
      <c r="BF173" s="22"/>
      <c r="BG173" s="144"/>
      <c r="BH173" s="144"/>
      <c r="BI173" s="144"/>
      <c r="BJ173" s="144"/>
      <c r="BK173" s="144"/>
      <c r="BL173" s="22"/>
      <c r="BM173" s="144"/>
      <c r="BN173" s="144"/>
      <c r="BO173" s="22"/>
      <c r="BP173" s="144"/>
      <c r="BQ173" s="22"/>
      <c r="BR173" s="144"/>
      <c r="BS173" s="144"/>
      <c r="BT173" s="22"/>
      <c r="BU173" s="144"/>
      <c r="BV173" s="144"/>
      <c r="BW173" s="22"/>
      <c r="BX173" s="22"/>
      <c r="BY173" s="144"/>
      <c r="BZ173" s="22"/>
      <c r="CA173" s="22"/>
      <c r="CB173" s="144"/>
      <c r="CC173" s="22"/>
      <c r="CD173" s="22"/>
      <c r="CE173" s="144"/>
      <c r="CF173" s="22"/>
      <c r="CG173" s="22"/>
      <c r="CH173" s="144"/>
      <c r="CI173" s="22"/>
      <c r="CJ173" s="22"/>
      <c r="CK173" s="144"/>
      <c r="CL173" s="22"/>
      <c r="CM173" s="22"/>
      <c r="CN173" s="144"/>
      <c r="CO173" s="22"/>
      <c r="CP173" s="22"/>
      <c r="CQ173" s="144"/>
    </row>
    <row r="174" spans="1:95" ht="15.75" customHeight="1" x14ac:dyDescent="0.45">
      <c r="A174" s="22"/>
      <c r="B174" s="22"/>
      <c r="C174" s="12"/>
      <c r="D174" s="12"/>
      <c r="E174" s="12"/>
      <c r="F174" s="155"/>
      <c r="G174" s="144"/>
      <c r="H174" s="144"/>
      <c r="I174" s="12"/>
      <c r="J174" s="22"/>
      <c r="K174" s="22"/>
      <c r="L174" s="22"/>
      <c r="M174" s="145"/>
      <c r="N174" s="144"/>
      <c r="O174" s="144"/>
      <c r="P174" s="152"/>
      <c r="Q174" s="22"/>
      <c r="R174" s="152"/>
      <c r="S174" s="22"/>
      <c r="T174" s="74"/>
      <c r="U174" s="45"/>
      <c r="V174" s="158"/>
      <c r="W174" s="45"/>
      <c r="X174" s="45"/>
      <c r="Y174" s="45"/>
      <c r="Z174" s="45"/>
      <c r="AA174" s="45"/>
      <c r="AB174" s="45"/>
      <c r="AC174" s="44"/>
      <c r="AD174" s="45"/>
      <c r="AE174" s="45"/>
      <c r="AF174" s="45"/>
      <c r="AG174" s="45"/>
      <c r="AH174" s="45"/>
      <c r="AI174" s="144"/>
      <c r="AJ174" s="144"/>
      <c r="AK174" s="45"/>
      <c r="AL174" s="45"/>
      <c r="AM174" s="144"/>
      <c r="AN174" s="144"/>
      <c r="AO174" s="144"/>
      <c r="AP174" s="22"/>
      <c r="AQ174" s="22"/>
      <c r="AR174" s="144"/>
      <c r="AS174" s="22"/>
      <c r="AT174" s="22"/>
      <c r="AU174" s="144"/>
      <c r="AV174" s="22"/>
      <c r="AW174" s="22"/>
      <c r="AX174" s="144"/>
      <c r="AY174" s="22"/>
      <c r="AZ174" s="22"/>
      <c r="BA174" s="144"/>
      <c r="BB174" s="22"/>
      <c r="BC174" s="22"/>
      <c r="BD174" s="144"/>
      <c r="BE174" s="144"/>
      <c r="BF174" s="22"/>
      <c r="BG174" s="144"/>
      <c r="BH174" s="144"/>
      <c r="BI174" s="144"/>
      <c r="BJ174" s="144"/>
      <c r="BK174" s="144"/>
      <c r="BL174" s="22"/>
      <c r="BM174" s="144"/>
      <c r="BN174" s="144"/>
      <c r="BO174" s="22"/>
      <c r="BP174" s="144"/>
      <c r="BQ174" s="22"/>
      <c r="BR174" s="144"/>
      <c r="BS174" s="144"/>
      <c r="BT174" s="22"/>
      <c r="BU174" s="144"/>
      <c r="BV174" s="144"/>
      <c r="BW174" s="22"/>
      <c r="BX174" s="22"/>
      <c r="BY174" s="144"/>
      <c r="BZ174" s="22"/>
      <c r="CA174" s="22"/>
      <c r="CB174" s="144"/>
      <c r="CC174" s="22"/>
      <c r="CD174" s="22"/>
      <c r="CE174" s="144"/>
      <c r="CF174" s="22"/>
      <c r="CG174" s="22"/>
      <c r="CH174" s="144"/>
      <c r="CI174" s="22"/>
      <c r="CJ174" s="22"/>
      <c r="CK174" s="144"/>
      <c r="CL174" s="22"/>
      <c r="CM174" s="22"/>
      <c r="CN174" s="144"/>
      <c r="CO174" s="22"/>
      <c r="CP174" s="22"/>
      <c r="CQ174" s="144"/>
    </row>
    <row r="175" spans="1:95" ht="15.75" customHeight="1" x14ac:dyDescent="0.45">
      <c r="A175" s="22"/>
      <c r="B175" s="22"/>
      <c r="C175" s="12"/>
      <c r="D175" s="12"/>
      <c r="E175" s="12"/>
      <c r="F175" s="155"/>
      <c r="G175" s="144"/>
      <c r="H175" s="144"/>
      <c r="I175" s="12"/>
      <c r="J175" s="22"/>
      <c r="K175" s="22"/>
      <c r="L175" s="22"/>
      <c r="M175" s="145"/>
      <c r="N175" s="144"/>
      <c r="O175" s="144"/>
      <c r="P175" s="152"/>
      <c r="Q175" s="22"/>
      <c r="R175" s="152"/>
      <c r="S175" s="22"/>
      <c r="T175" s="74"/>
      <c r="U175" s="45"/>
      <c r="V175" s="158"/>
      <c r="W175" s="45"/>
      <c r="X175" s="45"/>
      <c r="Y175" s="45"/>
      <c r="Z175" s="45"/>
      <c r="AA175" s="45"/>
      <c r="AB175" s="45"/>
      <c r="AC175" s="44"/>
      <c r="AD175" s="45"/>
      <c r="AE175" s="45"/>
      <c r="AF175" s="45"/>
      <c r="AG175" s="45"/>
      <c r="AH175" s="45"/>
      <c r="AI175" s="144"/>
      <c r="AJ175" s="144"/>
      <c r="AK175" s="45"/>
      <c r="AL175" s="45"/>
      <c r="AM175" s="144"/>
      <c r="AN175" s="144"/>
      <c r="AO175" s="144"/>
      <c r="AP175" s="22"/>
      <c r="AQ175" s="22"/>
      <c r="AR175" s="144"/>
      <c r="AS175" s="22"/>
      <c r="AT175" s="22"/>
      <c r="AU175" s="144"/>
      <c r="AV175" s="22"/>
      <c r="AW175" s="22"/>
      <c r="AX175" s="144"/>
      <c r="AY175" s="22"/>
      <c r="AZ175" s="22"/>
      <c r="BA175" s="144"/>
      <c r="BB175" s="22"/>
      <c r="BC175" s="22"/>
      <c r="BD175" s="144"/>
      <c r="BE175" s="144"/>
      <c r="BF175" s="22"/>
      <c r="BG175" s="144"/>
      <c r="BH175" s="144"/>
      <c r="BI175" s="144"/>
      <c r="BJ175" s="144"/>
      <c r="BK175" s="144"/>
      <c r="BL175" s="22"/>
      <c r="BM175" s="144"/>
      <c r="BN175" s="144"/>
      <c r="BO175" s="22"/>
      <c r="BP175" s="144"/>
      <c r="BQ175" s="22"/>
      <c r="BR175" s="144"/>
      <c r="BS175" s="144"/>
      <c r="BT175" s="22"/>
      <c r="BU175" s="144"/>
      <c r="BV175" s="144"/>
      <c r="BW175" s="22"/>
      <c r="BX175" s="22"/>
      <c r="BY175" s="144"/>
      <c r="BZ175" s="22"/>
      <c r="CA175" s="22"/>
      <c r="CB175" s="144"/>
      <c r="CC175" s="22"/>
      <c r="CD175" s="22"/>
      <c r="CE175" s="144"/>
      <c r="CF175" s="22"/>
      <c r="CG175" s="22"/>
      <c r="CH175" s="144"/>
      <c r="CI175" s="22"/>
      <c r="CJ175" s="22"/>
      <c r="CK175" s="144"/>
      <c r="CL175" s="22"/>
      <c r="CM175" s="22"/>
      <c r="CN175" s="144"/>
      <c r="CO175" s="22"/>
      <c r="CP175" s="22"/>
      <c r="CQ175" s="144"/>
    </row>
    <row r="176" spans="1:95" ht="15.75" customHeight="1" x14ac:dyDescent="0.45">
      <c r="A176" s="22"/>
      <c r="B176" s="22"/>
      <c r="C176" s="12"/>
      <c r="D176" s="12"/>
      <c r="E176" s="12"/>
      <c r="F176" s="155"/>
      <c r="G176" s="144"/>
      <c r="H176" s="144"/>
      <c r="I176" s="12"/>
      <c r="J176" s="22"/>
      <c r="K176" s="22"/>
      <c r="L176" s="22"/>
      <c r="M176" s="145"/>
      <c r="N176" s="144"/>
      <c r="O176" s="144"/>
      <c r="P176" s="152"/>
      <c r="Q176" s="22"/>
      <c r="R176" s="152"/>
      <c r="S176" s="22"/>
      <c r="T176" s="74"/>
      <c r="U176" s="45"/>
      <c r="V176" s="158"/>
      <c r="W176" s="45"/>
      <c r="X176" s="45"/>
      <c r="Y176" s="45"/>
      <c r="Z176" s="45"/>
      <c r="AA176" s="45"/>
      <c r="AB176" s="45"/>
      <c r="AC176" s="44"/>
      <c r="AD176" s="45"/>
      <c r="AE176" s="45"/>
      <c r="AF176" s="45"/>
      <c r="AG176" s="45"/>
      <c r="AH176" s="45"/>
      <c r="AI176" s="144"/>
      <c r="AJ176" s="144"/>
      <c r="AK176" s="45"/>
      <c r="AL176" s="45"/>
      <c r="AM176" s="144"/>
      <c r="AN176" s="144"/>
      <c r="AO176" s="144"/>
      <c r="AP176" s="22"/>
      <c r="AQ176" s="22"/>
      <c r="AR176" s="144"/>
      <c r="AS176" s="22"/>
      <c r="AT176" s="22"/>
      <c r="AU176" s="144"/>
      <c r="AV176" s="22"/>
      <c r="AW176" s="22"/>
      <c r="AX176" s="144"/>
      <c r="AY176" s="22"/>
      <c r="AZ176" s="22"/>
      <c r="BA176" s="144"/>
      <c r="BB176" s="22"/>
      <c r="BC176" s="22"/>
      <c r="BD176" s="144"/>
      <c r="BE176" s="144"/>
      <c r="BF176" s="22"/>
      <c r="BG176" s="144"/>
      <c r="BH176" s="144"/>
      <c r="BI176" s="144"/>
      <c r="BJ176" s="144"/>
      <c r="BK176" s="144"/>
      <c r="BL176" s="22"/>
      <c r="BM176" s="144"/>
      <c r="BN176" s="144"/>
      <c r="BO176" s="22"/>
      <c r="BP176" s="144"/>
      <c r="BQ176" s="22"/>
      <c r="BR176" s="144"/>
      <c r="BS176" s="144"/>
      <c r="BT176" s="22"/>
      <c r="BU176" s="144"/>
      <c r="BV176" s="144"/>
      <c r="BW176" s="22"/>
      <c r="BX176" s="22"/>
      <c r="BY176" s="144"/>
      <c r="BZ176" s="22"/>
      <c r="CA176" s="22"/>
      <c r="CB176" s="144"/>
      <c r="CC176" s="22"/>
      <c r="CD176" s="22"/>
      <c r="CE176" s="144"/>
      <c r="CF176" s="22"/>
      <c r="CG176" s="22"/>
      <c r="CH176" s="144"/>
      <c r="CI176" s="22"/>
      <c r="CJ176" s="22"/>
      <c r="CK176" s="144"/>
      <c r="CL176" s="22"/>
      <c r="CM176" s="22"/>
      <c r="CN176" s="144"/>
      <c r="CO176" s="22"/>
      <c r="CP176" s="22"/>
      <c r="CQ176" s="144"/>
    </row>
    <row r="177" spans="1:95" ht="15.75" customHeight="1" x14ac:dyDescent="0.45">
      <c r="A177" s="22"/>
      <c r="B177" s="22"/>
      <c r="C177" s="12"/>
      <c r="D177" s="12"/>
      <c r="E177" s="12"/>
      <c r="F177" s="155"/>
      <c r="G177" s="144"/>
      <c r="H177" s="144"/>
      <c r="I177" s="12"/>
      <c r="J177" s="22"/>
      <c r="K177" s="22"/>
      <c r="L177" s="22"/>
      <c r="M177" s="145"/>
      <c r="N177" s="144"/>
      <c r="O177" s="144"/>
      <c r="P177" s="152"/>
      <c r="Q177" s="22"/>
      <c r="R177" s="152"/>
      <c r="S177" s="22"/>
      <c r="T177" s="74"/>
      <c r="U177" s="45"/>
      <c r="V177" s="158"/>
      <c r="W177" s="45"/>
      <c r="X177" s="45"/>
      <c r="Y177" s="45"/>
      <c r="Z177" s="45"/>
      <c r="AA177" s="45"/>
      <c r="AB177" s="45"/>
      <c r="AC177" s="44"/>
      <c r="AD177" s="45"/>
      <c r="AE177" s="45"/>
      <c r="AF177" s="45"/>
      <c r="AG177" s="45"/>
      <c r="AH177" s="45"/>
      <c r="AI177" s="144"/>
      <c r="AJ177" s="144"/>
      <c r="AK177" s="45"/>
      <c r="AL177" s="45"/>
      <c r="AM177" s="144"/>
      <c r="AN177" s="144"/>
      <c r="AO177" s="144"/>
      <c r="AP177" s="22"/>
      <c r="AQ177" s="22"/>
      <c r="AR177" s="144"/>
      <c r="AS177" s="22"/>
      <c r="AT177" s="22"/>
      <c r="AU177" s="144"/>
      <c r="AV177" s="22"/>
      <c r="AW177" s="22"/>
      <c r="AX177" s="144"/>
      <c r="AY177" s="22"/>
      <c r="AZ177" s="22"/>
      <c r="BA177" s="144"/>
      <c r="BB177" s="22"/>
      <c r="BC177" s="22"/>
      <c r="BD177" s="144"/>
      <c r="BE177" s="144"/>
      <c r="BF177" s="22"/>
      <c r="BG177" s="144"/>
      <c r="BH177" s="144"/>
      <c r="BI177" s="144"/>
      <c r="BJ177" s="144"/>
      <c r="BK177" s="144"/>
      <c r="BL177" s="22"/>
      <c r="BM177" s="144"/>
      <c r="BN177" s="144"/>
      <c r="BO177" s="22"/>
      <c r="BP177" s="144"/>
      <c r="BQ177" s="22"/>
      <c r="BR177" s="144"/>
      <c r="BS177" s="144"/>
      <c r="BT177" s="22"/>
      <c r="BU177" s="144"/>
      <c r="BV177" s="144"/>
      <c r="BW177" s="22"/>
      <c r="BX177" s="22"/>
      <c r="BY177" s="144"/>
      <c r="BZ177" s="22"/>
      <c r="CA177" s="22"/>
      <c r="CB177" s="144"/>
      <c r="CC177" s="22"/>
      <c r="CD177" s="22"/>
      <c r="CE177" s="144"/>
      <c r="CF177" s="22"/>
      <c r="CG177" s="22"/>
      <c r="CH177" s="144"/>
      <c r="CI177" s="22"/>
      <c r="CJ177" s="22"/>
      <c r="CK177" s="144"/>
      <c r="CL177" s="22"/>
      <c r="CM177" s="22"/>
      <c r="CN177" s="144"/>
      <c r="CO177" s="22"/>
      <c r="CP177" s="22"/>
      <c r="CQ177" s="144"/>
    </row>
    <row r="178" spans="1:95" ht="15.75" customHeight="1" x14ac:dyDescent="0.45">
      <c r="A178" s="22"/>
      <c r="B178" s="22"/>
      <c r="C178" s="12"/>
      <c r="D178" s="12"/>
      <c r="E178" s="12"/>
      <c r="F178" s="155"/>
      <c r="G178" s="144"/>
      <c r="H178" s="144"/>
      <c r="I178" s="12"/>
      <c r="J178" s="22"/>
      <c r="K178" s="22"/>
      <c r="L178" s="22"/>
      <c r="M178" s="145"/>
      <c r="N178" s="144"/>
      <c r="O178" s="144"/>
      <c r="P178" s="152"/>
      <c r="Q178" s="22"/>
      <c r="R178" s="152"/>
      <c r="S178" s="22"/>
      <c r="T178" s="74"/>
      <c r="U178" s="45"/>
      <c r="V178" s="158"/>
      <c r="W178" s="45"/>
      <c r="X178" s="45"/>
      <c r="Y178" s="45"/>
      <c r="Z178" s="45"/>
      <c r="AA178" s="45"/>
      <c r="AB178" s="45"/>
      <c r="AC178" s="44"/>
      <c r="AD178" s="45"/>
      <c r="AE178" s="45"/>
      <c r="AF178" s="45"/>
      <c r="AG178" s="45"/>
      <c r="AH178" s="45"/>
      <c r="AI178" s="144"/>
      <c r="AJ178" s="144"/>
      <c r="AK178" s="45"/>
      <c r="AL178" s="45"/>
      <c r="AM178" s="144"/>
      <c r="AN178" s="144"/>
      <c r="AO178" s="144"/>
      <c r="AP178" s="22"/>
      <c r="AQ178" s="22"/>
      <c r="AR178" s="144"/>
      <c r="AS178" s="22"/>
      <c r="AT178" s="22"/>
      <c r="AU178" s="144"/>
      <c r="AV178" s="22"/>
      <c r="AW178" s="22"/>
      <c r="AX178" s="144"/>
      <c r="AY178" s="22"/>
      <c r="AZ178" s="22"/>
      <c r="BA178" s="144"/>
      <c r="BB178" s="22"/>
      <c r="BC178" s="22"/>
      <c r="BD178" s="144"/>
      <c r="BE178" s="144"/>
      <c r="BF178" s="22"/>
      <c r="BG178" s="144"/>
      <c r="BH178" s="144"/>
      <c r="BI178" s="144"/>
      <c r="BJ178" s="144"/>
      <c r="BK178" s="144"/>
      <c r="BL178" s="22"/>
      <c r="BM178" s="144"/>
      <c r="BN178" s="144"/>
      <c r="BO178" s="22"/>
      <c r="BP178" s="144"/>
      <c r="BQ178" s="22"/>
      <c r="BR178" s="144"/>
      <c r="BS178" s="144"/>
      <c r="BT178" s="22"/>
      <c r="BU178" s="144"/>
      <c r="BV178" s="144"/>
      <c r="BW178" s="22"/>
      <c r="BX178" s="22"/>
      <c r="BY178" s="144"/>
      <c r="BZ178" s="22"/>
      <c r="CA178" s="22"/>
      <c r="CB178" s="144"/>
      <c r="CC178" s="22"/>
      <c r="CD178" s="22"/>
      <c r="CE178" s="144"/>
      <c r="CF178" s="22"/>
      <c r="CG178" s="22"/>
      <c r="CH178" s="144"/>
      <c r="CI178" s="22"/>
      <c r="CJ178" s="22"/>
      <c r="CK178" s="144"/>
      <c r="CL178" s="22"/>
      <c r="CM178" s="22"/>
      <c r="CN178" s="144"/>
      <c r="CO178" s="22"/>
      <c r="CP178" s="22"/>
      <c r="CQ178" s="144"/>
    </row>
    <row r="179" spans="1:95" ht="15.75" customHeight="1" x14ac:dyDescent="0.45">
      <c r="A179" s="22"/>
      <c r="B179" s="22"/>
      <c r="C179" s="12"/>
      <c r="D179" s="12"/>
      <c r="E179" s="12"/>
      <c r="F179" s="155"/>
      <c r="G179" s="144"/>
      <c r="H179" s="144"/>
      <c r="I179" s="12"/>
      <c r="J179" s="22"/>
      <c r="K179" s="22"/>
      <c r="L179" s="22"/>
      <c r="M179" s="145"/>
      <c r="N179" s="144"/>
      <c r="O179" s="144"/>
      <c r="P179" s="152"/>
      <c r="Q179" s="22"/>
      <c r="R179" s="152"/>
      <c r="S179" s="22"/>
      <c r="T179" s="74"/>
      <c r="U179" s="45"/>
      <c r="V179" s="158"/>
      <c r="W179" s="45"/>
      <c r="X179" s="45"/>
      <c r="Y179" s="45"/>
      <c r="Z179" s="45"/>
      <c r="AA179" s="45"/>
      <c r="AB179" s="45"/>
      <c r="AC179" s="44"/>
      <c r="AD179" s="45"/>
      <c r="AE179" s="45"/>
      <c r="AF179" s="45"/>
      <c r="AG179" s="45"/>
      <c r="AH179" s="45"/>
      <c r="AI179" s="144"/>
      <c r="AJ179" s="144"/>
      <c r="AK179" s="45"/>
      <c r="AL179" s="45"/>
      <c r="AM179" s="144"/>
      <c r="AN179" s="144"/>
      <c r="AO179" s="144"/>
      <c r="AP179" s="22"/>
      <c r="AQ179" s="22"/>
      <c r="AR179" s="144"/>
      <c r="AS179" s="22"/>
      <c r="AT179" s="22"/>
      <c r="AU179" s="144"/>
      <c r="AV179" s="22"/>
      <c r="AW179" s="22"/>
      <c r="AX179" s="144"/>
      <c r="AY179" s="22"/>
      <c r="AZ179" s="22"/>
      <c r="BA179" s="144"/>
      <c r="BB179" s="22"/>
      <c r="BC179" s="22"/>
      <c r="BD179" s="144"/>
      <c r="BE179" s="144"/>
      <c r="BF179" s="22"/>
      <c r="BG179" s="144"/>
      <c r="BH179" s="144"/>
      <c r="BI179" s="144"/>
      <c r="BJ179" s="144"/>
      <c r="BK179" s="144"/>
      <c r="BL179" s="22"/>
      <c r="BM179" s="144"/>
      <c r="BN179" s="144"/>
      <c r="BO179" s="22"/>
      <c r="BP179" s="144"/>
      <c r="BQ179" s="22"/>
      <c r="BR179" s="144"/>
      <c r="BS179" s="144"/>
      <c r="BT179" s="22"/>
      <c r="BU179" s="144"/>
      <c r="BV179" s="144"/>
      <c r="BW179" s="22"/>
      <c r="BX179" s="22"/>
      <c r="BY179" s="144"/>
      <c r="BZ179" s="22"/>
      <c r="CA179" s="22"/>
      <c r="CB179" s="144"/>
      <c r="CC179" s="22"/>
      <c r="CD179" s="22"/>
      <c r="CE179" s="144"/>
      <c r="CF179" s="22"/>
      <c r="CG179" s="22"/>
      <c r="CH179" s="144"/>
      <c r="CI179" s="22"/>
      <c r="CJ179" s="22"/>
      <c r="CK179" s="144"/>
      <c r="CL179" s="22"/>
      <c r="CM179" s="22"/>
      <c r="CN179" s="144"/>
      <c r="CO179" s="22"/>
      <c r="CP179" s="22"/>
      <c r="CQ179" s="144"/>
    </row>
    <row r="180" spans="1:95" ht="15.75" customHeight="1" x14ac:dyDescent="0.45">
      <c r="A180" s="22"/>
      <c r="B180" s="22"/>
      <c r="C180" s="12"/>
      <c r="D180" s="12"/>
      <c r="E180" s="12"/>
      <c r="F180" s="155"/>
      <c r="G180" s="144"/>
      <c r="H180" s="144"/>
      <c r="I180" s="12"/>
      <c r="J180" s="22"/>
      <c r="K180" s="22"/>
      <c r="L180" s="22"/>
      <c r="M180" s="145"/>
      <c r="N180" s="144"/>
      <c r="O180" s="144"/>
      <c r="P180" s="152"/>
      <c r="Q180" s="22"/>
      <c r="R180" s="152"/>
      <c r="S180" s="22"/>
      <c r="T180" s="74"/>
      <c r="U180" s="45"/>
      <c r="V180" s="158"/>
      <c r="W180" s="45"/>
      <c r="X180" s="45"/>
      <c r="Y180" s="45"/>
      <c r="Z180" s="45"/>
      <c r="AA180" s="45"/>
      <c r="AB180" s="45"/>
      <c r="AC180" s="44"/>
      <c r="AD180" s="45"/>
      <c r="AE180" s="45"/>
      <c r="AF180" s="45"/>
      <c r="AG180" s="45"/>
      <c r="AH180" s="45"/>
      <c r="AI180" s="144"/>
      <c r="AJ180" s="144"/>
      <c r="AK180" s="45"/>
      <c r="AL180" s="45"/>
      <c r="AM180" s="144"/>
      <c r="AN180" s="144"/>
      <c r="AO180" s="144"/>
      <c r="AP180" s="22"/>
      <c r="AQ180" s="22"/>
      <c r="AR180" s="144"/>
      <c r="AS180" s="22"/>
      <c r="AT180" s="22"/>
      <c r="AU180" s="144"/>
      <c r="AV180" s="22"/>
      <c r="AW180" s="22"/>
      <c r="AX180" s="144"/>
      <c r="AY180" s="22"/>
      <c r="AZ180" s="22"/>
      <c r="BA180" s="144"/>
      <c r="BB180" s="22"/>
      <c r="BC180" s="22"/>
      <c r="BD180" s="144"/>
      <c r="BE180" s="144"/>
      <c r="BF180" s="22"/>
      <c r="BG180" s="144"/>
      <c r="BH180" s="144"/>
      <c r="BI180" s="144"/>
      <c r="BJ180" s="144"/>
      <c r="BK180" s="144"/>
      <c r="BL180" s="22"/>
      <c r="BM180" s="144"/>
      <c r="BN180" s="144"/>
      <c r="BO180" s="22"/>
      <c r="BP180" s="144"/>
      <c r="BQ180" s="22"/>
      <c r="BR180" s="144"/>
      <c r="BS180" s="144"/>
      <c r="BT180" s="22"/>
      <c r="BU180" s="144"/>
      <c r="BV180" s="144"/>
      <c r="BW180" s="22"/>
      <c r="BX180" s="22"/>
      <c r="BY180" s="144"/>
      <c r="BZ180" s="22"/>
      <c r="CA180" s="22"/>
      <c r="CB180" s="144"/>
      <c r="CC180" s="22"/>
      <c r="CD180" s="22"/>
      <c r="CE180" s="144"/>
      <c r="CF180" s="22"/>
      <c r="CG180" s="22"/>
      <c r="CH180" s="144"/>
      <c r="CI180" s="22"/>
      <c r="CJ180" s="22"/>
      <c r="CK180" s="144"/>
      <c r="CL180" s="22"/>
      <c r="CM180" s="22"/>
      <c r="CN180" s="144"/>
      <c r="CO180" s="22"/>
      <c r="CP180" s="22"/>
      <c r="CQ180" s="144"/>
    </row>
    <row r="181" spans="1:95" ht="15.75" customHeight="1" x14ac:dyDescent="0.45">
      <c r="A181" s="22"/>
      <c r="B181" s="22"/>
      <c r="C181" s="12"/>
      <c r="D181" s="12"/>
      <c r="E181" s="12"/>
      <c r="F181" s="155"/>
      <c r="G181" s="144"/>
      <c r="H181" s="144"/>
      <c r="I181" s="12"/>
      <c r="J181" s="22"/>
      <c r="K181" s="22"/>
      <c r="L181" s="22"/>
      <c r="M181" s="145"/>
      <c r="N181" s="144"/>
      <c r="O181" s="144"/>
      <c r="P181" s="152"/>
      <c r="Q181" s="22"/>
      <c r="R181" s="152"/>
      <c r="S181" s="22"/>
      <c r="T181" s="74"/>
      <c r="U181" s="45"/>
      <c r="V181" s="158"/>
      <c r="W181" s="45"/>
      <c r="X181" s="45"/>
      <c r="Y181" s="45"/>
      <c r="Z181" s="45"/>
      <c r="AA181" s="45"/>
      <c r="AB181" s="45"/>
      <c r="AC181" s="44"/>
      <c r="AD181" s="45"/>
      <c r="AE181" s="45"/>
      <c r="AF181" s="45"/>
      <c r="AG181" s="45"/>
      <c r="AH181" s="45"/>
      <c r="AI181" s="144"/>
      <c r="AJ181" s="144"/>
      <c r="AK181" s="45"/>
      <c r="AL181" s="45"/>
      <c r="AM181" s="144"/>
      <c r="AN181" s="144"/>
      <c r="AO181" s="144"/>
      <c r="AP181" s="22"/>
      <c r="AQ181" s="22"/>
      <c r="AR181" s="144"/>
      <c r="AS181" s="22"/>
      <c r="AT181" s="22"/>
      <c r="AU181" s="144"/>
      <c r="AV181" s="22"/>
      <c r="AW181" s="22"/>
      <c r="AX181" s="144"/>
      <c r="AY181" s="22"/>
      <c r="AZ181" s="22"/>
      <c r="BA181" s="144"/>
      <c r="BB181" s="22"/>
      <c r="BC181" s="22"/>
      <c r="BD181" s="144"/>
      <c r="BE181" s="144"/>
      <c r="BF181" s="22"/>
      <c r="BG181" s="144"/>
      <c r="BH181" s="144"/>
      <c r="BI181" s="144"/>
      <c r="BJ181" s="144"/>
      <c r="BK181" s="144"/>
      <c r="BL181" s="22"/>
      <c r="BM181" s="144"/>
      <c r="BN181" s="144"/>
      <c r="BO181" s="22"/>
      <c r="BP181" s="144"/>
      <c r="BQ181" s="22"/>
      <c r="BR181" s="144"/>
      <c r="BS181" s="144"/>
      <c r="BT181" s="22"/>
      <c r="BU181" s="144"/>
      <c r="BV181" s="144"/>
      <c r="BW181" s="22"/>
      <c r="BX181" s="22"/>
      <c r="BY181" s="144"/>
      <c r="BZ181" s="22"/>
      <c r="CA181" s="22"/>
      <c r="CB181" s="144"/>
      <c r="CC181" s="22"/>
      <c r="CD181" s="22"/>
      <c r="CE181" s="144"/>
      <c r="CF181" s="22"/>
      <c r="CG181" s="22"/>
      <c r="CH181" s="144"/>
      <c r="CI181" s="22"/>
      <c r="CJ181" s="22"/>
      <c r="CK181" s="144"/>
      <c r="CL181" s="22"/>
      <c r="CM181" s="22"/>
      <c r="CN181" s="144"/>
      <c r="CO181" s="22"/>
      <c r="CP181" s="22"/>
      <c r="CQ181" s="144"/>
    </row>
    <row r="182" spans="1:95" ht="15.75" customHeight="1" x14ac:dyDescent="0.45">
      <c r="A182" s="22"/>
      <c r="B182" s="22"/>
      <c r="C182" s="12"/>
      <c r="D182" s="12"/>
      <c r="E182" s="12"/>
      <c r="F182" s="155"/>
      <c r="G182" s="144"/>
      <c r="H182" s="144"/>
      <c r="I182" s="12"/>
      <c r="J182" s="22"/>
      <c r="K182" s="22"/>
      <c r="L182" s="22"/>
      <c r="M182" s="145"/>
      <c r="N182" s="144"/>
      <c r="O182" s="144"/>
      <c r="P182" s="152"/>
      <c r="Q182" s="22"/>
      <c r="R182" s="152"/>
      <c r="S182" s="22"/>
      <c r="T182" s="74"/>
      <c r="U182" s="45"/>
      <c r="V182" s="158"/>
      <c r="W182" s="45"/>
      <c r="X182" s="45"/>
      <c r="Y182" s="45"/>
      <c r="Z182" s="45"/>
      <c r="AA182" s="45"/>
      <c r="AB182" s="45"/>
      <c r="AC182" s="44"/>
      <c r="AD182" s="45"/>
      <c r="AE182" s="45"/>
      <c r="AF182" s="45"/>
      <c r="AG182" s="45"/>
      <c r="AH182" s="45"/>
      <c r="AI182" s="144"/>
      <c r="AJ182" s="144"/>
      <c r="AK182" s="45"/>
      <c r="AL182" s="45"/>
      <c r="AM182" s="144"/>
      <c r="AN182" s="144"/>
      <c r="AO182" s="144"/>
      <c r="AP182" s="22"/>
      <c r="AQ182" s="22"/>
      <c r="AR182" s="144"/>
      <c r="AS182" s="22"/>
      <c r="AT182" s="22"/>
      <c r="AU182" s="144"/>
      <c r="AV182" s="22"/>
      <c r="AW182" s="22"/>
      <c r="AX182" s="144"/>
      <c r="AY182" s="22"/>
      <c r="AZ182" s="22"/>
      <c r="BA182" s="144"/>
      <c r="BB182" s="22"/>
      <c r="BC182" s="22"/>
      <c r="BD182" s="144"/>
      <c r="BE182" s="144"/>
      <c r="BF182" s="22"/>
      <c r="BG182" s="144"/>
      <c r="BH182" s="144"/>
      <c r="BI182" s="144"/>
      <c r="BJ182" s="144"/>
      <c r="BK182" s="144"/>
      <c r="BL182" s="22"/>
      <c r="BM182" s="144"/>
      <c r="BN182" s="144"/>
      <c r="BO182" s="22"/>
      <c r="BP182" s="144"/>
      <c r="BQ182" s="22"/>
      <c r="BR182" s="144"/>
      <c r="BS182" s="144"/>
      <c r="BT182" s="22"/>
      <c r="BU182" s="144"/>
      <c r="BV182" s="144"/>
      <c r="BW182" s="22"/>
      <c r="BX182" s="22"/>
      <c r="BY182" s="144"/>
      <c r="BZ182" s="22"/>
      <c r="CA182" s="22"/>
      <c r="CB182" s="144"/>
      <c r="CC182" s="22"/>
      <c r="CD182" s="22"/>
      <c r="CE182" s="144"/>
      <c r="CF182" s="22"/>
      <c r="CG182" s="22"/>
      <c r="CH182" s="144"/>
      <c r="CI182" s="22"/>
      <c r="CJ182" s="22"/>
      <c r="CK182" s="144"/>
      <c r="CL182" s="22"/>
      <c r="CM182" s="22"/>
      <c r="CN182" s="144"/>
      <c r="CO182" s="22"/>
      <c r="CP182" s="22"/>
      <c r="CQ182" s="144"/>
    </row>
    <row r="183" spans="1:95" ht="15.75" customHeight="1" x14ac:dyDescent="0.45">
      <c r="A183" s="22"/>
      <c r="B183" s="22"/>
      <c r="C183" s="12"/>
      <c r="D183" s="12"/>
      <c r="E183" s="12"/>
      <c r="F183" s="155"/>
      <c r="G183" s="144"/>
      <c r="H183" s="144"/>
      <c r="I183" s="12"/>
      <c r="J183" s="22"/>
      <c r="K183" s="22"/>
      <c r="L183" s="22"/>
      <c r="M183" s="145"/>
      <c r="N183" s="144"/>
      <c r="O183" s="144"/>
      <c r="P183" s="152"/>
      <c r="Q183" s="22"/>
      <c r="R183" s="152"/>
      <c r="S183" s="22"/>
      <c r="T183" s="74"/>
      <c r="U183" s="45"/>
      <c r="V183" s="158"/>
      <c r="W183" s="45"/>
      <c r="X183" s="45"/>
      <c r="Y183" s="45"/>
      <c r="Z183" s="45"/>
      <c r="AA183" s="45"/>
      <c r="AB183" s="45"/>
      <c r="AC183" s="44"/>
      <c r="AD183" s="45"/>
      <c r="AE183" s="45"/>
      <c r="AF183" s="45"/>
      <c r="AG183" s="45"/>
      <c r="AH183" s="45"/>
      <c r="AI183" s="144"/>
      <c r="AJ183" s="144"/>
      <c r="AK183" s="45"/>
      <c r="AL183" s="45"/>
      <c r="AM183" s="144"/>
      <c r="AN183" s="144"/>
      <c r="AO183" s="144"/>
      <c r="AP183" s="22"/>
      <c r="AQ183" s="22"/>
      <c r="AR183" s="144"/>
      <c r="AS183" s="22"/>
      <c r="AT183" s="22"/>
      <c r="AU183" s="144"/>
      <c r="AV183" s="22"/>
      <c r="AW183" s="22"/>
      <c r="AX183" s="144"/>
      <c r="AY183" s="22"/>
      <c r="AZ183" s="22"/>
      <c r="BA183" s="144"/>
      <c r="BB183" s="22"/>
      <c r="BC183" s="22"/>
      <c r="BD183" s="144"/>
      <c r="BE183" s="144"/>
      <c r="BF183" s="22"/>
      <c r="BG183" s="144"/>
      <c r="BH183" s="144"/>
      <c r="BI183" s="144"/>
      <c r="BJ183" s="144"/>
      <c r="BK183" s="144"/>
      <c r="BL183" s="22"/>
      <c r="BM183" s="144"/>
      <c r="BN183" s="144"/>
      <c r="BO183" s="22"/>
      <c r="BP183" s="144"/>
      <c r="BQ183" s="22"/>
      <c r="BR183" s="144"/>
      <c r="BS183" s="144"/>
      <c r="BT183" s="22"/>
      <c r="BU183" s="144"/>
      <c r="BV183" s="144"/>
      <c r="BW183" s="22"/>
      <c r="BX183" s="22"/>
      <c r="BY183" s="144"/>
      <c r="BZ183" s="22"/>
      <c r="CA183" s="22"/>
      <c r="CB183" s="144"/>
      <c r="CC183" s="22"/>
      <c r="CD183" s="22"/>
      <c r="CE183" s="144"/>
      <c r="CF183" s="22"/>
      <c r="CG183" s="22"/>
      <c r="CH183" s="144"/>
      <c r="CI183" s="22"/>
      <c r="CJ183" s="22"/>
      <c r="CK183" s="144"/>
      <c r="CL183" s="22"/>
      <c r="CM183" s="22"/>
      <c r="CN183" s="144"/>
      <c r="CO183" s="22"/>
      <c r="CP183" s="22"/>
      <c r="CQ183" s="144"/>
    </row>
    <row r="184" spans="1:95" ht="15.75" customHeight="1" x14ac:dyDescent="0.45">
      <c r="A184" s="22"/>
      <c r="B184" s="22"/>
      <c r="C184" s="12"/>
      <c r="D184" s="12"/>
      <c r="E184" s="12"/>
      <c r="F184" s="155"/>
      <c r="G184" s="144"/>
      <c r="H184" s="144"/>
      <c r="I184" s="12"/>
      <c r="J184" s="22"/>
      <c r="K184" s="22"/>
      <c r="L184" s="22"/>
      <c r="M184" s="145"/>
      <c r="N184" s="144"/>
      <c r="O184" s="144"/>
      <c r="P184" s="152"/>
      <c r="Q184" s="22"/>
      <c r="R184" s="152"/>
      <c r="S184" s="22"/>
      <c r="T184" s="74"/>
      <c r="U184" s="45"/>
      <c r="V184" s="158"/>
      <c r="W184" s="45"/>
      <c r="X184" s="45"/>
      <c r="Y184" s="45"/>
      <c r="Z184" s="45"/>
      <c r="AA184" s="45"/>
      <c r="AB184" s="45"/>
      <c r="AC184" s="44"/>
      <c r="AD184" s="45"/>
      <c r="AE184" s="45"/>
      <c r="AF184" s="45"/>
      <c r="AG184" s="45"/>
      <c r="AH184" s="45"/>
      <c r="AI184" s="144"/>
      <c r="AJ184" s="144"/>
      <c r="AK184" s="45"/>
      <c r="AL184" s="45"/>
      <c r="AM184" s="144"/>
      <c r="AN184" s="144"/>
      <c r="AO184" s="144"/>
      <c r="AP184" s="22"/>
      <c r="AQ184" s="22"/>
      <c r="AR184" s="144"/>
      <c r="AS184" s="22"/>
      <c r="AT184" s="22"/>
      <c r="AU184" s="144"/>
      <c r="AV184" s="22"/>
      <c r="AW184" s="22"/>
      <c r="AX184" s="144"/>
      <c r="AY184" s="22"/>
      <c r="AZ184" s="22"/>
      <c r="BA184" s="144"/>
      <c r="BB184" s="22"/>
      <c r="BC184" s="22"/>
      <c r="BD184" s="144"/>
      <c r="BE184" s="144"/>
      <c r="BF184" s="22"/>
      <c r="BG184" s="144"/>
      <c r="BH184" s="144"/>
      <c r="BI184" s="144"/>
      <c r="BJ184" s="144"/>
      <c r="BK184" s="144"/>
      <c r="BL184" s="22"/>
      <c r="BM184" s="144"/>
      <c r="BN184" s="144"/>
      <c r="BO184" s="22"/>
      <c r="BP184" s="144"/>
      <c r="BQ184" s="22"/>
      <c r="BR184" s="144"/>
      <c r="BS184" s="144"/>
      <c r="BT184" s="22"/>
      <c r="BU184" s="144"/>
      <c r="BV184" s="144"/>
      <c r="BW184" s="22"/>
      <c r="BX184" s="22"/>
      <c r="BY184" s="144"/>
      <c r="BZ184" s="22"/>
      <c r="CA184" s="22"/>
      <c r="CB184" s="144"/>
      <c r="CC184" s="22"/>
      <c r="CD184" s="22"/>
      <c r="CE184" s="144"/>
      <c r="CF184" s="22"/>
      <c r="CG184" s="22"/>
      <c r="CH184" s="144"/>
      <c r="CI184" s="22"/>
      <c r="CJ184" s="22"/>
      <c r="CK184" s="144"/>
      <c r="CL184" s="22"/>
      <c r="CM184" s="22"/>
      <c r="CN184" s="144"/>
      <c r="CO184" s="22"/>
      <c r="CP184" s="22"/>
      <c r="CQ184" s="144"/>
    </row>
    <row r="185" spans="1:95" ht="15.75" customHeight="1" x14ac:dyDescent="0.45">
      <c r="A185" s="22"/>
      <c r="B185" s="22"/>
      <c r="C185" s="12"/>
      <c r="D185" s="12"/>
      <c r="E185" s="12"/>
      <c r="F185" s="155"/>
      <c r="G185" s="144"/>
      <c r="H185" s="144"/>
      <c r="I185" s="12"/>
      <c r="J185" s="22"/>
      <c r="K185" s="22"/>
      <c r="L185" s="22"/>
      <c r="M185" s="145"/>
      <c r="N185" s="144"/>
      <c r="O185" s="144"/>
      <c r="P185" s="152"/>
      <c r="Q185" s="22"/>
      <c r="R185" s="152"/>
      <c r="S185" s="22"/>
      <c r="T185" s="74"/>
      <c r="U185" s="45"/>
      <c r="V185" s="158"/>
      <c r="W185" s="45"/>
      <c r="X185" s="45"/>
      <c r="Y185" s="45"/>
      <c r="Z185" s="45"/>
      <c r="AA185" s="45"/>
      <c r="AB185" s="45"/>
      <c r="AC185" s="44"/>
      <c r="AD185" s="45"/>
      <c r="AE185" s="45"/>
      <c r="AF185" s="45"/>
      <c r="AG185" s="45"/>
      <c r="AH185" s="45"/>
      <c r="AI185" s="144"/>
      <c r="AJ185" s="144"/>
      <c r="AK185" s="45"/>
      <c r="AL185" s="45"/>
      <c r="AM185" s="144"/>
      <c r="AN185" s="144"/>
      <c r="AO185" s="144"/>
      <c r="AP185" s="22"/>
      <c r="AQ185" s="22"/>
      <c r="AR185" s="144"/>
      <c r="AS185" s="22"/>
      <c r="AT185" s="22"/>
      <c r="AU185" s="144"/>
      <c r="AV185" s="22"/>
      <c r="AW185" s="22"/>
      <c r="AX185" s="144"/>
      <c r="AY185" s="22"/>
      <c r="AZ185" s="22"/>
      <c r="BA185" s="144"/>
      <c r="BB185" s="22"/>
      <c r="BC185" s="22"/>
      <c r="BD185" s="144"/>
      <c r="BE185" s="144"/>
      <c r="BF185" s="22"/>
      <c r="BG185" s="144"/>
      <c r="BH185" s="144"/>
      <c r="BI185" s="144"/>
      <c r="BJ185" s="144"/>
      <c r="BK185" s="144"/>
      <c r="BL185" s="22"/>
      <c r="BM185" s="144"/>
      <c r="BN185" s="144"/>
      <c r="BO185" s="22"/>
      <c r="BP185" s="144"/>
      <c r="BQ185" s="22"/>
      <c r="BR185" s="144"/>
      <c r="BS185" s="144"/>
      <c r="BT185" s="22"/>
      <c r="BU185" s="144"/>
      <c r="BV185" s="144"/>
      <c r="BW185" s="22"/>
      <c r="BX185" s="22"/>
      <c r="BY185" s="144"/>
      <c r="BZ185" s="22"/>
      <c r="CA185" s="22"/>
      <c r="CB185" s="144"/>
      <c r="CC185" s="22"/>
      <c r="CD185" s="22"/>
      <c r="CE185" s="144"/>
      <c r="CF185" s="22"/>
      <c r="CG185" s="22"/>
      <c r="CH185" s="144"/>
      <c r="CI185" s="22"/>
      <c r="CJ185" s="22"/>
      <c r="CK185" s="144"/>
      <c r="CL185" s="22"/>
      <c r="CM185" s="22"/>
      <c r="CN185" s="144"/>
      <c r="CO185" s="22"/>
      <c r="CP185" s="22"/>
      <c r="CQ185" s="144"/>
    </row>
    <row r="186" spans="1:95" ht="15.75" customHeight="1" x14ac:dyDescent="0.45">
      <c r="A186" s="22"/>
      <c r="B186" s="22"/>
      <c r="C186" s="12"/>
      <c r="D186" s="12"/>
      <c r="E186" s="12"/>
      <c r="F186" s="155"/>
      <c r="G186" s="144"/>
      <c r="H186" s="144"/>
      <c r="I186" s="12"/>
      <c r="J186" s="22"/>
      <c r="K186" s="22"/>
      <c r="L186" s="22"/>
      <c r="M186" s="145"/>
      <c r="N186" s="144"/>
      <c r="O186" s="144"/>
      <c r="P186" s="152"/>
      <c r="Q186" s="22"/>
      <c r="R186" s="152"/>
      <c r="S186" s="22"/>
      <c r="T186" s="74"/>
      <c r="U186" s="45"/>
      <c r="V186" s="158"/>
      <c r="W186" s="45"/>
      <c r="X186" s="45"/>
      <c r="Y186" s="45"/>
      <c r="Z186" s="45"/>
      <c r="AA186" s="45"/>
      <c r="AB186" s="45"/>
      <c r="AC186" s="44"/>
      <c r="AD186" s="45"/>
      <c r="AE186" s="45"/>
      <c r="AF186" s="45"/>
      <c r="AG186" s="45"/>
      <c r="AH186" s="45"/>
      <c r="AI186" s="144"/>
      <c r="AJ186" s="144"/>
      <c r="AK186" s="45"/>
      <c r="AL186" s="45"/>
      <c r="AM186" s="144"/>
      <c r="AN186" s="144"/>
      <c r="AO186" s="144"/>
      <c r="AP186" s="22"/>
      <c r="AQ186" s="22"/>
      <c r="AR186" s="144"/>
      <c r="AS186" s="22"/>
      <c r="AT186" s="22"/>
      <c r="AU186" s="144"/>
      <c r="AV186" s="22"/>
      <c r="AW186" s="22"/>
      <c r="AX186" s="144"/>
      <c r="AY186" s="22"/>
      <c r="AZ186" s="22"/>
      <c r="BA186" s="144"/>
      <c r="BB186" s="22"/>
      <c r="BC186" s="22"/>
      <c r="BD186" s="144"/>
      <c r="BE186" s="144"/>
      <c r="BF186" s="22"/>
      <c r="BG186" s="144"/>
      <c r="BH186" s="144"/>
      <c r="BI186" s="144"/>
      <c r="BJ186" s="144"/>
      <c r="BK186" s="144"/>
      <c r="BL186" s="22"/>
      <c r="BM186" s="144"/>
      <c r="BN186" s="144"/>
      <c r="BO186" s="22"/>
      <c r="BP186" s="144"/>
      <c r="BQ186" s="22"/>
      <c r="BR186" s="144"/>
      <c r="BS186" s="144"/>
      <c r="BT186" s="22"/>
      <c r="BU186" s="144"/>
      <c r="BV186" s="144"/>
      <c r="BW186" s="22"/>
      <c r="BX186" s="22"/>
      <c r="BY186" s="144"/>
      <c r="BZ186" s="22"/>
      <c r="CA186" s="22"/>
      <c r="CB186" s="144"/>
      <c r="CC186" s="22"/>
      <c r="CD186" s="22"/>
      <c r="CE186" s="144"/>
      <c r="CF186" s="22"/>
      <c r="CG186" s="22"/>
      <c r="CH186" s="144"/>
      <c r="CI186" s="22"/>
      <c r="CJ186" s="22"/>
      <c r="CK186" s="144"/>
      <c r="CL186" s="22"/>
      <c r="CM186" s="22"/>
      <c r="CN186" s="144"/>
      <c r="CO186" s="22"/>
      <c r="CP186" s="22"/>
      <c r="CQ186" s="144"/>
    </row>
    <row r="187" spans="1:95" ht="15.75" customHeight="1" x14ac:dyDescent="0.45">
      <c r="A187" s="22"/>
      <c r="B187" s="22"/>
      <c r="C187" s="12"/>
      <c r="D187" s="12"/>
      <c r="E187" s="12"/>
      <c r="F187" s="155"/>
      <c r="G187" s="144"/>
      <c r="H187" s="144"/>
      <c r="I187" s="12"/>
      <c r="J187" s="22"/>
      <c r="K187" s="22"/>
      <c r="L187" s="22"/>
      <c r="M187" s="145"/>
      <c r="N187" s="144"/>
      <c r="O187" s="144"/>
      <c r="P187" s="152"/>
      <c r="Q187" s="22"/>
      <c r="R187" s="152"/>
      <c r="S187" s="22"/>
      <c r="T187" s="74"/>
      <c r="U187" s="45"/>
      <c r="V187" s="158"/>
      <c r="W187" s="45"/>
      <c r="X187" s="45"/>
      <c r="Y187" s="45"/>
      <c r="Z187" s="45"/>
      <c r="AA187" s="45"/>
      <c r="AB187" s="45"/>
      <c r="AC187" s="44"/>
      <c r="AD187" s="45"/>
      <c r="AE187" s="45"/>
      <c r="AF187" s="45"/>
      <c r="AG187" s="45"/>
      <c r="AH187" s="45"/>
      <c r="AI187" s="144"/>
      <c r="AJ187" s="144"/>
      <c r="AK187" s="45"/>
      <c r="AL187" s="45"/>
      <c r="AM187" s="144"/>
      <c r="AN187" s="144"/>
      <c r="AO187" s="144"/>
      <c r="AP187" s="22"/>
      <c r="AQ187" s="22"/>
      <c r="AR187" s="144"/>
      <c r="AS187" s="22"/>
      <c r="AT187" s="22"/>
      <c r="AU187" s="144"/>
      <c r="AV187" s="22"/>
      <c r="AW187" s="22"/>
      <c r="AX187" s="144"/>
      <c r="AY187" s="22"/>
      <c r="AZ187" s="22"/>
      <c r="BA187" s="144"/>
      <c r="BB187" s="22"/>
      <c r="BC187" s="22"/>
      <c r="BD187" s="144"/>
      <c r="BE187" s="144"/>
      <c r="BF187" s="22"/>
      <c r="BG187" s="144"/>
      <c r="BH187" s="144"/>
      <c r="BI187" s="144"/>
      <c r="BJ187" s="144"/>
      <c r="BK187" s="144"/>
      <c r="BL187" s="22"/>
      <c r="BM187" s="144"/>
      <c r="BN187" s="144"/>
      <c r="BO187" s="22"/>
      <c r="BP187" s="144"/>
      <c r="BQ187" s="22"/>
      <c r="BR187" s="144"/>
      <c r="BS187" s="144"/>
      <c r="BT187" s="22"/>
      <c r="BU187" s="144"/>
      <c r="BV187" s="144"/>
      <c r="BW187" s="22"/>
      <c r="BX187" s="22"/>
      <c r="BY187" s="144"/>
      <c r="BZ187" s="22"/>
      <c r="CA187" s="22"/>
      <c r="CB187" s="144"/>
      <c r="CC187" s="22"/>
      <c r="CD187" s="22"/>
      <c r="CE187" s="144"/>
      <c r="CF187" s="22"/>
      <c r="CG187" s="22"/>
      <c r="CH187" s="144"/>
      <c r="CI187" s="22"/>
      <c r="CJ187" s="22"/>
      <c r="CK187" s="144"/>
      <c r="CL187" s="22"/>
      <c r="CM187" s="22"/>
      <c r="CN187" s="144"/>
      <c r="CO187" s="22"/>
      <c r="CP187" s="22"/>
      <c r="CQ187" s="144"/>
    </row>
    <row r="188" spans="1:95" ht="15.75" customHeight="1" x14ac:dyDescent="0.45">
      <c r="A188" s="22"/>
      <c r="B188" s="22"/>
      <c r="C188" s="12"/>
      <c r="D188" s="12"/>
      <c r="E188" s="12"/>
      <c r="F188" s="155"/>
      <c r="G188" s="144"/>
      <c r="H188" s="144"/>
      <c r="I188" s="12"/>
      <c r="J188" s="22"/>
      <c r="K188" s="22"/>
      <c r="L188" s="22"/>
      <c r="M188" s="145"/>
      <c r="N188" s="144"/>
      <c r="O188" s="144"/>
      <c r="P188" s="152"/>
      <c r="Q188" s="22"/>
      <c r="R188" s="152"/>
      <c r="S188" s="22"/>
      <c r="T188" s="74"/>
      <c r="U188" s="45"/>
      <c r="V188" s="158"/>
      <c r="W188" s="45"/>
      <c r="X188" s="45"/>
      <c r="Y188" s="45"/>
      <c r="Z188" s="45"/>
      <c r="AA188" s="45"/>
      <c r="AB188" s="45"/>
      <c r="AC188" s="44"/>
      <c r="AD188" s="45"/>
      <c r="AE188" s="45"/>
      <c r="AF188" s="45"/>
      <c r="AG188" s="45"/>
      <c r="AH188" s="45"/>
      <c r="AI188" s="144"/>
      <c r="AJ188" s="144"/>
      <c r="AK188" s="45"/>
      <c r="AL188" s="45"/>
      <c r="AM188" s="144"/>
      <c r="AN188" s="144"/>
      <c r="AO188" s="144"/>
      <c r="AP188" s="22"/>
      <c r="AQ188" s="22"/>
      <c r="AR188" s="144"/>
      <c r="AS188" s="22"/>
      <c r="AT188" s="22"/>
      <c r="AU188" s="144"/>
      <c r="AV188" s="22"/>
      <c r="AW188" s="22"/>
      <c r="AX188" s="144"/>
      <c r="AY188" s="22"/>
      <c r="AZ188" s="22"/>
      <c r="BA188" s="144"/>
      <c r="BB188" s="22"/>
      <c r="BC188" s="22"/>
      <c r="BD188" s="144"/>
      <c r="BE188" s="144"/>
      <c r="BF188" s="22"/>
      <c r="BG188" s="144"/>
      <c r="BH188" s="144"/>
      <c r="BI188" s="144"/>
      <c r="BJ188" s="144"/>
      <c r="BK188" s="144"/>
      <c r="BL188" s="22"/>
      <c r="BM188" s="144"/>
      <c r="BN188" s="144"/>
      <c r="BO188" s="22"/>
      <c r="BP188" s="144"/>
      <c r="BQ188" s="22"/>
      <c r="BR188" s="144"/>
      <c r="BS188" s="144"/>
      <c r="BT188" s="22"/>
      <c r="BU188" s="144"/>
      <c r="BV188" s="144"/>
      <c r="BW188" s="22"/>
      <c r="BX188" s="22"/>
      <c r="BY188" s="144"/>
      <c r="BZ188" s="22"/>
      <c r="CA188" s="22"/>
      <c r="CB188" s="144"/>
      <c r="CC188" s="22"/>
      <c r="CD188" s="22"/>
      <c r="CE188" s="144"/>
      <c r="CF188" s="22"/>
      <c r="CG188" s="22"/>
      <c r="CH188" s="144"/>
      <c r="CI188" s="22"/>
      <c r="CJ188" s="22"/>
      <c r="CK188" s="144"/>
      <c r="CL188" s="22"/>
      <c r="CM188" s="22"/>
      <c r="CN188" s="144"/>
      <c r="CO188" s="22"/>
      <c r="CP188" s="22"/>
      <c r="CQ188" s="144"/>
    </row>
    <row r="189" spans="1:95" ht="15.75" customHeight="1" x14ac:dyDescent="0.45">
      <c r="A189" s="22"/>
      <c r="B189" s="22"/>
      <c r="C189" s="12"/>
      <c r="D189" s="12"/>
      <c r="E189" s="12"/>
      <c r="F189" s="155"/>
      <c r="G189" s="144"/>
      <c r="H189" s="144"/>
      <c r="I189" s="12"/>
      <c r="J189" s="22"/>
      <c r="K189" s="22"/>
      <c r="L189" s="22"/>
      <c r="M189" s="145"/>
      <c r="N189" s="144"/>
      <c r="O189" s="144"/>
      <c r="P189" s="152"/>
      <c r="Q189" s="22"/>
      <c r="R189" s="152"/>
      <c r="S189" s="22"/>
      <c r="T189" s="74"/>
      <c r="U189" s="45"/>
      <c r="V189" s="158"/>
      <c r="W189" s="45"/>
      <c r="X189" s="45"/>
      <c r="Y189" s="45"/>
      <c r="Z189" s="45"/>
      <c r="AA189" s="45"/>
      <c r="AB189" s="45"/>
      <c r="AC189" s="44"/>
      <c r="AD189" s="45"/>
      <c r="AE189" s="45"/>
      <c r="AF189" s="45"/>
      <c r="AG189" s="45"/>
      <c r="AH189" s="45"/>
      <c r="AI189" s="144"/>
      <c r="AJ189" s="144"/>
      <c r="AK189" s="45"/>
      <c r="AL189" s="45"/>
      <c r="AM189" s="144"/>
      <c r="AN189" s="144"/>
      <c r="AO189" s="144"/>
      <c r="AP189" s="22"/>
      <c r="AQ189" s="22"/>
      <c r="AR189" s="144"/>
      <c r="AS189" s="22"/>
      <c r="AT189" s="22"/>
      <c r="AU189" s="144"/>
      <c r="AV189" s="22"/>
      <c r="AW189" s="22"/>
      <c r="AX189" s="144"/>
      <c r="AY189" s="22"/>
      <c r="AZ189" s="22"/>
      <c r="BA189" s="144"/>
      <c r="BB189" s="22"/>
      <c r="BC189" s="22"/>
      <c r="BD189" s="144"/>
      <c r="BE189" s="144"/>
      <c r="BF189" s="22"/>
      <c r="BG189" s="144"/>
      <c r="BH189" s="144"/>
      <c r="BI189" s="144"/>
      <c r="BJ189" s="144"/>
      <c r="BK189" s="144"/>
      <c r="BL189" s="22"/>
      <c r="BM189" s="144"/>
      <c r="BN189" s="144"/>
      <c r="BO189" s="22"/>
      <c r="BP189" s="144"/>
      <c r="BQ189" s="22"/>
      <c r="BR189" s="144"/>
      <c r="BS189" s="144"/>
      <c r="BT189" s="22"/>
      <c r="BU189" s="144"/>
      <c r="BV189" s="144"/>
      <c r="BW189" s="22"/>
      <c r="BX189" s="22"/>
      <c r="BY189" s="144"/>
      <c r="BZ189" s="22"/>
      <c r="CA189" s="22"/>
      <c r="CB189" s="144"/>
      <c r="CC189" s="22"/>
      <c r="CD189" s="22"/>
      <c r="CE189" s="144"/>
      <c r="CF189" s="22"/>
      <c r="CG189" s="22"/>
      <c r="CH189" s="144"/>
      <c r="CI189" s="22"/>
      <c r="CJ189" s="22"/>
      <c r="CK189" s="144"/>
      <c r="CL189" s="22"/>
      <c r="CM189" s="22"/>
      <c r="CN189" s="144"/>
      <c r="CO189" s="22"/>
      <c r="CP189" s="22"/>
      <c r="CQ189" s="144"/>
    </row>
    <row r="190" spans="1:95" ht="15.75" customHeight="1" x14ac:dyDescent="0.45">
      <c r="A190" s="22"/>
      <c r="B190" s="22"/>
      <c r="C190" s="12"/>
      <c r="D190" s="12"/>
      <c r="E190" s="12"/>
      <c r="F190" s="155"/>
      <c r="G190" s="144"/>
      <c r="H190" s="144"/>
      <c r="I190" s="12"/>
      <c r="J190" s="22"/>
      <c r="K190" s="22"/>
      <c r="L190" s="22"/>
      <c r="M190" s="145"/>
      <c r="N190" s="144"/>
      <c r="O190" s="144"/>
      <c r="P190" s="152"/>
      <c r="Q190" s="22"/>
      <c r="R190" s="152"/>
      <c r="S190" s="22"/>
      <c r="T190" s="74"/>
      <c r="U190" s="45"/>
      <c r="V190" s="158"/>
      <c r="W190" s="45"/>
      <c r="X190" s="45"/>
      <c r="Y190" s="45"/>
      <c r="Z190" s="45"/>
      <c r="AA190" s="45"/>
      <c r="AB190" s="45"/>
      <c r="AC190" s="44"/>
      <c r="AD190" s="45"/>
      <c r="AE190" s="45"/>
      <c r="AF190" s="45"/>
      <c r="AG190" s="45"/>
      <c r="AH190" s="45"/>
      <c r="AI190" s="144"/>
      <c r="AJ190" s="144"/>
      <c r="AK190" s="45"/>
      <c r="AL190" s="45"/>
      <c r="AM190" s="144"/>
      <c r="AN190" s="144"/>
      <c r="AO190" s="144"/>
      <c r="AP190" s="22"/>
      <c r="AQ190" s="22"/>
      <c r="AR190" s="144"/>
      <c r="AS190" s="22"/>
      <c r="AT190" s="22"/>
      <c r="AU190" s="144"/>
      <c r="AV190" s="22"/>
      <c r="AW190" s="22"/>
      <c r="AX190" s="144"/>
      <c r="AY190" s="22"/>
      <c r="AZ190" s="22"/>
      <c r="BA190" s="144"/>
      <c r="BB190" s="22"/>
      <c r="BC190" s="22"/>
      <c r="BD190" s="144"/>
      <c r="BE190" s="144"/>
      <c r="BF190" s="22"/>
      <c r="BG190" s="144"/>
      <c r="BH190" s="144"/>
      <c r="BI190" s="144"/>
      <c r="BJ190" s="144"/>
      <c r="BK190" s="144"/>
      <c r="BL190" s="22"/>
      <c r="BM190" s="144"/>
      <c r="BN190" s="144"/>
      <c r="BO190" s="22"/>
      <c r="BP190" s="144"/>
      <c r="BQ190" s="22"/>
      <c r="BR190" s="144"/>
      <c r="BS190" s="144"/>
      <c r="BT190" s="22"/>
      <c r="BU190" s="144"/>
      <c r="BV190" s="144"/>
      <c r="BW190" s="22"/>
      <c r="BX190" s="22"/>
      <c r="BY190" s="144"/>
      <c r="BZ190" s="22"/>
      <c r="CA190" s="22"/>
      <c r="CB190" s="144"/>
      <c r="CC190" s="22"/>
      <c r="CD190" s="22"/>
      <c r="CE190" s="144"/>
      <c r="CF190" s="22"/>
      <c r="CG190" s="22"/>
      <c r="CH190" s="144"/>
      <c r="CI190" s="22"/>
      <c r="CJ190" s="22"/>
      <c r="CK190" s="144"/>
      <c r="CL190" s="22"/>
      <c r="CM190" s="22"/>
      <c r="CN190" s="144"/>
      <c r="CO190" s="22"/>
      <c r="CP190" s="22"/>
      <c r="CQ190" s="144"/>
    </row>
    <row r="191" spans="1:95" ht="15.75" customHeight="1" x14ac:dyDescent="0.45">
      <c r="A191" s="22"/>
      <c r="B191" s="22"/>
      <c r="C191" s="12"/>
      <c r="D191" s="12"/>
      <c r="E191" s="12"/>
      <c r="F191" s="155"/>
      <c r="G191" s="144"/>
      <c r="H191" s="144"/>
      <c r="I191" s="12"/>
      <c r="J191" s="22"/>
      <c r="K191" s="22"/>
      <c r="L191" s="22"/>
      <c r="M191" s="145"/>
      <c r="N191" s="144"/>
      <c r="O191" s="144"/>
      <c r="P191" s="152"/>
      <c r="Q191" s="22"/>
      <c r="R191" s="152"/>
      <c r="S191" s="22"/>
      <c r="T191" s="74"/>
      <c r="U191" s="45"/>
      <c r="V191" s="158"/>
      <c r="W191" s="45"/>
      <c r="X191" s="45"/>
      <c r="Y191" s="45"/>
      <c r="Z191" s="45"/>
      <c r="AA191" s="45"/>
      <c r="AB191" s="45"/>
      <c r="AC191" s="44"/>
      <c r="AD191" s="45"/>
      <c r="AE191" s="45"/>
      <c r="AF191" s="45"/>
      <c r="AG191" s="45"/>
      <c r="AH191" s="45"/>
      <c r="AI191" s="144"/>
      <c r="AJ191" s="144"/>
      <c r="AK191" s="45"/>
      <c r="AL191" s="45"/>
      <c r="AM191" s="144"/>
      <c r="AN191" s="144"/>
      <c r="AO191" s="144"/>
      <c r="AP191" s="22"/>
      <c r="AQ191" s="22"/>
      <c r="AR191" s="144"/>
      <c r="AS191" s="22"/>
      <c r="AT191" s="22"/>
      <c r="AU191" s="144"/>
      <c r="AV191" s="22"/>
      <c r="AW191" s="22"/>
      <c r="AX191" s="144"/>
      <c r="AY191" s="22"/>
      <c r="AZ191" s="22"/>
      <c r="BA191" s="144"/>
      <c r="BB191" s="22"/>
      <c r="BC191" s="22"/>
      <c r="BD191" s="144"/>
      <c r="BE191" s="144"/>
      <c r="BF191" s="22"/>
      <c r="BG191" s="144"/>
      <c r="BH191" s="144"/>
      <c r="BI191" s="144"/>
      <c r="BJ191" s="144"/>
      <c r="BK191" s="144"/>
      <c r="BL191" s="22"/>
      <c r="BM191" s="144"/>
      <c r="BN191" s="144"/>
      <c r="BO191" s="22"/>
      <c r="BP191" s="144"/>
      <c r="BQ191" s="22"/>
      <c r="BR191" s="144"/>
      <c r="BS191" s="144"/>
      <c r="BT191" s="22"/>
      <c r="BU191" s="144"/>
      <c r="BV191" s="144"/>
      <c r="BW191" s="22"/>
      <c r="BX191" s="22"/>
      <c r="BY191" s="144"/>
      <c r="BZ191" s="22"/>
      <c r="CA191" s="22"/>
      <c r="CB191" s="144"/>
      <c r="CC191" s="22"/>
      <c r="CD191" s="22"/>
      <c r="CE191" s="144"/>
      <c r="CF191" s="22"/>
      <c r="CG191" s="22"/>
      <c r="CH191" s="144"/>
      <c r="CI191" s="22"/>
      <c r="CJ191" s="22"/>
      <c r="CK191" s="144"/>
      <c r="CL191" s="22"/>
      <c r="CM191" s="22"/>
      <c r="CN191" s="144"/>
      <c r="CO191" s="22"/>
      <c r="CP191" s="22"/>
      <c r="CQ191" s="144"/>
    </row>
    <row r="192" spans="1:95" ht="15.75" customHeight="1" x14ac:dyDescent="0.45">
      <c r="A192" s="22"/>
      <c r="B192" s="22"/>
      <c r="C192" s="12"/>
      <c r="D192" s="12"/>
      <c r="E192" s="12"/>
      <c r="F192" s="155"/>
      <c r="G192" s="144"/>
      <c r="H192" s="144"/>
      <c r="I192" s="12"/>
      <c r="J192" s="22"/>
      <c r="K192" s="22"/>
      <c r="L192" s="22"/>
      <c r="M192" s="145"/>
      <c r="N192" s="144"/>
      <c r="O192" s="144"/>
      <c r="P192" s="152"/>
      <c r="Q192" s="22"/>
      <c r="R192" s="152"/>
      <c r="S192" s="22"/>
      <c r="T192" s="74"/>
      <c r="U192" s="45"/>
      <c r="V192" s="158"/>
      <c r="W192" s="45"/>
      <c r="X192" s="45"/>
      <c r="Y192" s="45"/>
      <c r="Z192" s="45"/>
      <c r="AA192" s="45"/>
      <c r="AB192" s="45"/>
      <c r="AC192" s="44"/>
      <c r="AD192" s="45"/>
      <c r="AE192" s="45"/>
      <c r="AF192" s="45"/>
      <c r="AG192" s="45"/>
      <c r="AH192" s="45"/>
      <c r="AI192" s="144"/>
      <c r="AJ192" s="144"/>
      <c r="AK192" s="45"/>
      <c r="AL192" s="45"/>
      <c r="AM192" s="144"/>
      <c r="AN192" s="144"/>
      <c r="AO192" s="144"/>
      <c r="AP192" s="22"/>
      <c r="AQ192" s="22"/>
      <c r="AR192" s="144"/>
      <c r="AS192" s="22"/>
      <c r="AT192" s="22"/>
      <c r="AU192" s="144"/>
      <c r="AV192" s="22"/>
      <c r="AW192" s="22"/>
      <c r="AX192" s="144"/>
      <c r="AY192" s="22"/>
      <c r="AZ192" s="22"/>
      <c r="BA192" s="144"/>
      <c r="BB192" s="22"/>
      <c r="BC192" s="22"/>
      <c r="BD192" s="144"/>
      <c r="BE192" s="144"/>
      <c r="BF192" s="22"/>
      <c r="BG192" s="144"/>
      <c r="BH192" s="144"/>
      <c r="BI192" s="144"/>
      <c r="BJ192" s="144"/>
      <c r="BK192" s="144"/>
      <c r="BL192" s="22"/>
      <c r="BM192" s="144"/>
      <c r="BN192" s="144"/>
      <c r="BO192" s="22"/>
      <c r="BP192" s="144"/>
      <c r="BQ192" s="22"/>
      <c r="BR192" s="144"/>
      <c r="BS192" s="144"/>
      <c r="BT192" s="22"/>
      <c r="BU192" s="144"/>
      <c r="BV192" s="144"/>
      <c r="BW192" s="22"/>
      <c r="BX192" s="22"/>
      <c r="BY192" s="144"/>
      <c r="BZ192" s="22"/>
      <c r="CA192" s="22"/>
      <c r="CB192" s="144"/>
      <c r="CC192" s="22"/>
      <c r="CD192" s="22"/>
      <c r="CE192" s="144"/>
      <c r="CF192" s="22"/>
      <c r="CG192" s="22"/>
      <c r="CH192" s="144"/>
      <c r="CI192" s="22"/>
      <c r="CJ192" s="22"/>
      <c r="CK192" s="144"/>
      <c r="CL192" s="22"/>
      <c r="CM192" s="22"/>
      <c r="CN192" s="144"/>
      <c r="CO192" s="22"/>
      <c r="CP192" s="22"/>
      <c r="CQ192" s="144"/>
    </row>
    <row r="193" spans="1:95" ht="15.75" customHeight="1" x14ac:dyDescent="0.45">
      <c r="A193" s="22"/>
      <c r="B193" s="22"/>
      <c r="C193" s="12"/>
      <c r="D193" s="12"/>
      <c r="E193" s="12"/>
      <c r="F193" s="155"/>
      <c r="G193" s="144"/>
      <c r="H193" s="144"/>
      <c r="I193" s="12"/>
      <c r="J193" s="22"/>
      <c r="K193" s="22"/>
      <c r="L193" s="22"/>
      <c r="M193" s="145"/>
      <c r="N193" s="144"/>
      <c r="O193" s="144"/>
      <c r="P193" s="152"/>
      <c r="Q193" s="22"/>
      <c r="R193" s="152"/>
      <c r="S193" s="22"/>
      <c r="T193" s="74"/>
      <c r="U193" s="45"/>
      <c r="V193" s="158"/>
      <c r="W193" s="45"/>
      <c r="X193" s="45"/>
      <c r="Y193" s="45"/>
      <c r="Z193" s="45"/>
      <c r="AA193" s="45"/>
      <c r="AB193" s="45"/>
      <c r="AC193" s="44"/>
      <c r="AD193" s="45"/>
      <c r="AE193" s="45"/>
      <c r="AF193" s="45"/>
      <c r="AG193" s="45"/>
      <c r="AH193" s="45"/>
      <c r="AI193" s="144"/>
      <c r="AJ193" s="144"/>
      <c r="AK193" s="45"/>
      <c r="AL193" s="45"/>
      <c r="AM193" s="144"/>
      <c r="AN193" s="144"/>
      <c r="AO193" s="144"/>
      <c r="AP193" s="22"/>
      <c r="AQ193" s="22"/>
      <c r="AR193" s="144"/>
      <c r="AS193" s="22"/>
      <c r="AT193" s="22"/>
      <c r="AU193" s="144"/>
      <c r="AV193" s="22"/>
      <c r="AW193" s="22"/>
      <c r="AX193" s="144"/>
      <c r="AY193" s="22"/>
      <c r="AZ193" s="22"/>
      <c r="BA193" s="144"/>
      <c r="BB193" s="22"/>
      <c r="BC193" s="22"/>
      <c r="BD193" s="144"/>
      <c r="BE193" s="144"/>
      <c r="BF193" s="22"/>
      <c r="BG193" s="144"/>
      <c r="BH193" s="144"/>
      <c r="BI193" s="144"/>
      <c r="BJ193" s="144"/>
      <c r="BK193" s="144"/>
      <c r="BL193" s="22"/>
      <c r="BM193" s="144"/>
      <c r="BN193" s="144"/>
      <c r="BO193" s="22"/>
      <c r="BP193" s="144"/>
      <c r="BQ193" s="22"/>
      <c r="BR193" s="144"/>
      <c r="BS193" s="144"/>
      <c r="BT193" s="22"/>
      <c r="BU193" s="144"/>
      <c r="BV193" s="144"/>
      <c r="BW193" s="22"/>
      <c r="BX193" s="22"/>
      <c r="BY193" s="144"/>
      <c r="BZ193" s="22"/>
      <c r="CA193" s="22"/>
      <c r="CB193" s="144"/>
      <c r="CC193" s="22"/>
      <c r="CD193" s="22"/>
      <c r="CE193" s="144"/>
      <c r="CF193" s="22"/>
      <c r="CG193" s="22"/>
      <c r="CH193" s="144"/>
      <c r="CI193" s="22"/>
      <c r="CJ193" s="22"/>
      <c r="CK193" s="144"/>
      <c r="CL193" s="22"/>
      <c r="CM193" s="22"/>
      <c r="CN193" s="144"/>
      <c r="CO193" s="22"/>
      <c r="CP193" s="22"/>
      <c r="CQ193" s="144"/>
    </row>
    <row r="194" spans="1:95" ht="15.75" customHeight="1" x14ac:dyDescent="0.45">
      <c r="A194" s="22"/>
      <c r="B194" s="22"/>
      <c r="C194" s="12"/>
      <c r="D194" s="12"/>
      <c r="E194" s="12"/>
      <c r="F194" s="155"/>
      <c r="G194" s="144"/>
      <c r="H194" s="144"/>
      <c r="I194" s="12"/>
      <c r="J194" s="22"/>
      <c r="K194" s="22"/>
      <c r="L194" s="22"/>
      <c r="M194" s="145"/>
      <c r="N194" s="144"/>
      <c r="O194" s="144"/>
      <c r="P194" s="152"/>
      <c r="Q194" s="22"/>
      <c r="R194" s="152"/>
      <c r="S194" s="22"/>
      <c r="T194" s="74"/>
      <c r="U194" s="45"/>
      <c r="V194" s="158"/>
      <c r="W194" s="45"/>
      <c r="X194" s="45"/>
      <c r="Y194" s="45"/>
      <c r="Z194" s="45"/>
      <c r="AA194" s="45"/>
      <c r="AB194" s="45"/>
      <c r="AC194" s="44"/>
      <c r="AD194" s="45"/>
      <c r="AE194" s="45"/>
      <c r="AF194" s="45"/>
      <c r="AG194" s="45"/>
      <c r="AH194" s="45"/>
      <c r="AI194" s="144"/>
      <c r="AJ194" s="144"/>
      <c r="AK194" s="45"/>
      <c r="AL194" s="45"/>
      <c r="AM194" s="144"/>
      <c r="AN194" s="144"/>
      <c r="AO194" s="144"/>
      <c r="AP194" s="22"/>
      <c r="AQ194" s="22"/>
      <c r="AR194" s="144"/>
      <c r="AS194" s="22"/>
      <c r="AT194" s="22"/>
      <c r="AU194" s="144"/>
      <c r="AV194" s="22"/>
      <c r="AW194" s="22"/>
      <c r="AX194" s="144"/>
      <c r="AY194" s="22"/>
      <c r="AZ194" s="22"/>
      <c r="BA194" s="144"/>
      <c r="BB194" s="22"/>
      <c r="BC194" s="22"/>
      <c r="BD194" s="144"/>
      <c r="BE194" s="144"/>
      <c r="BF194" s="22"/>
      <c r="BG194" s="144"/>
      <c r="BH194" s="144"/>
      <c r="BI194" s="144"/>
      <c r="BJ194" s="144"/>
      <c r="BK194" s="144"/>
      <c r="BL194" s="22"/>
      <c r="BM194" s="144"/>
      <c r="BN194" s="144"/>
      <c r="BO194" s="22"/>
      <c r="BP194" s="144"/>
      <c r="BQ194" s="22"/>
      <c r="BR194" s="144"/>
      <c r="BS194" s="144"/>
      <c r="BT194" s="22"/>
      <c r="BU194" s="144"/>
      <c r="BV194" s="144"/>
      <c r="BW194" s="22"/>
      <c r="BX194" s="22"/>
      <c r="BY194" s="144"/>
      <c r="BZ194" s="22"/>
      <c r="CA194" s="22"/>
      <c r="CB194" s="144"/>
      <c r="CC194" s="22"/>
      <c r="CD194" s="22"/>
      <c r="CE194" s="144"/>
      <c r="CF194" s="22"/>
      <c r="CG194" s="22"/>
      <c r="CH194" s="144"/>
      <c r="CI194" s="22"/>
      <c r="CJ194" s="22"/>
      <c r="CK194" s="144"/>
      <c r="CL194" s="22"/>
      <c r="CM194" s="22"/>
      <c r="CN194" s="144"/>
      <c r="CO194" s="22"/>
      <c r="CP194" s="22"/>
      <c r="CQ194" s="144"/>
    </row>
    <row r="195" spans="1:95" ht="15.75" customHeight="1" x14ac:dyDescent="0.45">
      <c r="A195" s="22"/>
      <c r="B195" s="22"/>
      <c r="C195" s="12"/>
      <c r="D195" s="12"/>
      <c r="E195" s="12"/>
      <c r="F195" s="155"/>
      <c r="G195" s="144"/>
      <c r="H195" s="144"/>
      <c r="I195" s="12"/>
      <c r="J195" s="22"/>
      <c r="K195" s="22"/>
      <c r="L195" s="22"/>
      <c r="M195" s="145"/>
      <c r="N195" s="144"/>
      <c r="O195" s="144"/>
      <c r="P195" s="152"/>
      <c r="Q195" s="22"/>
      <c r="R195" s="152"/>
      <c r="S195" s="22"/>
      <c r="T195" s="74"/>
      <c r="U195" s="45"/>
      <c r="V195" s="158"/>
      <c r="W195" s="45"/>
      <c r="X195" s="45"/>
      <c r="Y195" s="45"/>
      <c r="Z195" s="45"/>
      <c r="AA195" s="45"/>
      <c r="AB195" s="45"/>
      <c r="AC195" s="44"/>
      <c r="AD195" s="45"/>
      <c r="AE195" s="45"/>
      <c r="AF195" s="45"/>
      <c r="AG195" s="45"/>
      <c r="AH195" s="45"/>
      <c r="AI195" s="144"/>
      <c r="AJ195" s="144"/>
      <c r="AK195" s="45"/>
      <c r="AL195" s="45"/>
      <c r="AM195" s="144"/>
      <c r="AN195" s="144"/>
      <c r="AO195" s="144"/>
      <c r="AP195" s="22"/>
      <c r="AQ195" s="22"/>
      <c r="AR195" s="144"/>
      <c r="AS195" s="22"/>
      <c r="AT195" s="22"/>
      <c r="AU195" s="144"/>
      <c r="AV195" s="22"/>
      <c r="AW195" s="22"/>
      <c r="AX195" s="144"/>
      <c r="AY195" s="22"/>
      <c r="AZ195" s="22"/>
      <c r="BA195" s="144"/>
      <c r="BB195" s="22"/>
      <c r="BC195" s="22"/>
      <c r="BD195" s="144"/>
      <c r="BE195" s="144"/>
      <c r="BF195" s="22"/>
      <c r="BG195" s="144"/>
      <c r="BH195" s="144"/>
      <c r="BI195" s="144"/>
      <c r="BJ195" s="144"/>
      <c r="BK195" s="144"/>
      <c r="BL195" s="22"/>
      <c r="BM195" s="144"/>
      <c r="BN195" s="144"/>
      <c r="BO195" s="22"/>
      <c r="BP195" s="144"/>
      <c r="BQ195" s="22"/>
      <c r="BR195" s="144"/>
      <c r="BS195" s="144"/>
      <c r="BT195" s="22"/>
      <c r="BU195" s="144"/>
      <c r="BV195" s="144"/>
      <c r="BW195" s="22"/>
      <c r="BX195" s="22"/>
      <c r="BY195" s="144"/>
      <c r="BZ195" s="22"/>
      <c r="CA195" s="22"/>
      <c r="CB195" s="144"/>
      <c r="CC195" s="22"/>
      <c r="CD195" s="22"/>
      <c r="CE195" s="144"/>
      <c r="CF195" s="22"/>
      <c r="CG195" s="22"/>
      <c r="CH195" s="144"/>
      <c r="CI195" s="22"/>
      <c r="CJ195" s="22"/>
      <c r="CK195" s="144"/>
      <c r="CL195" s="22"/>
      <c r="CM195" s="22"/>
      <c r="CN195" s="144"/>
      <c r="CO195" s="22"/>
      <c r="CP195" s="22"/>
      <c r="CQ195" s="144"/>
    </row>
    <row r="196" spans="1:95" ht="15.75" customHeight="1" x14ac:dyDescent="0.45">
      <c r="A196" s="22"/>
      <c r="B196" s="22"/>
      <c r="C196" s="12"/>
      <c r="D196" s="12"/>
      <c r="E196" s="12"/>
      <c r="F196" s="155"/>
      <c r="G196" s="144"/>
      <c r="H196" s="144"/>
      <c r="I196" s="12"/>
      <c r="J196" s="22"/>
      <c r="K196" s="22"/>
      <c r="L196" s="22"/>
      <c r="M196" s="145"/>
      <c r="N196" s="144"/>
      <c r="O196" s="144"/>
      <c r="P196" s="152"/>
      <c r="Q196" s="22"/>
      <c r="R196" s="152"/>
      <c r="S196" s="22"/>
      <c r="T196" s="74"/>
      <c r="U196" s="45"/>
      <c r="V196" s="158"/>
      <c r="W196" s="45"/>
      <c r="X196" s="45"/>
      <c r="Y196" s="45"/>
      <c r="Z196" s="45"/>
      <c r="AA196" s="45"/>
      <c r="AB196" s="45"/>
      <c r="AC196" s="44"/>
      <c r="AD196" s="45"/>
      <c r="AE196" s="45"/>
      <c r="AF196" s="45"/>
      <c r="AG196" s="45"/>
      <c r="AH196" s="45"/>
      <c r="AI196" s="144"/>
      <c r="AJ196" s="144"/>
      <c r="AK196" s="45"/>
      <c r="AL196" s="45"/>
      <c r="AM196" s="144"/>
      <c r="AN196" s="144"/>
      <c r="AO196" s="144"/>
      <c r="AP196" s="22"/>
      <c r="AQ196" s="22"/>
      <c r="AR196" s="144"/>
      <c r="AS196" s="22"/>
      <c r="AT196" s="22"/>
      <c r="AU196" s="144"/>
      <c r="AV196" s="22"/>
      <c r="AW196" s="22"/>
      <c r="AX196" s="144"/>
      <c r="AY196" s="22"/>
      <c r="AZ196" s="22"/>
      <c r="BA196" s="144"/>
      <c r="BB196" s="22"/>
      <c r="BC196" s="22"/>
      <c r="BD196" s="144"/>
      <c r="BE196" s="144"/>
      <c r="BF196" s="22"/>
      <c r="BG196" s="144"/>
      <c r="BH196" s="144"/>
      <c r="BI196" s="144"/>
      <c r="BJ196" s="144"/>
      <c r="BK196" s="144"/>
      <c r="BL196" s="22"/>
      <c r="BM196" s="144"/>
      <c r="BN196" s="144"/>
      <c r="BO196" s="22"/>
      <c r="BP196" s="144"/>
      <c r="BQ196" s="22"/>
      <c r="BR196" s="144"/>
      <c r="BS196" s="144"/>
      <c r="BT196" s="22"/>
      <c r="BU196" s="144"/>
      <c r="BV196" s="144"/>
      <c r="BW196" s="22"/>
      <c r="BX196" s="22"/>
      <c r="BY196" s="144"/>
      <c r="BZ196" s="22"/>
      <c r="CA196" s="22"/>
      <c r="CB196" s="144"/>
      <c r="CC196" s="22"/>
      <c r="CD196" s="22"/>
      <c r="CE196" s="144"/>
      <c r="CF196" s="22"/>
      <c r="CG196" s="22"/>
      <c r="CH196" s="144"/>
      <c r="CI196" s="22"/>
      <c r="CJ196" s="22"/>
      <c r="CK196" s="144"/>
      <c r="CL196" s="22"/>
      <c r="CM196" s="22"/>
      <c r="CN196" s="144"/>
      <c r="CO196" s="22"/>
      <c r="CP196" s="22"/>
      <c r="CQ196" s="144"/>
    </row>
    <row r="197" spans="1:95" ht="15.75" customHeight="1" x14ac:dyDescent="0.45">
      <c r="A197" s="22"/>
      <c r="B197" s="22"/>
      <c r="C197" s="12"/>
      <c r="D197" s="12"/>
      <c r="E197" s="12"/>
      <c r="F197" s="155"/>
      <c r="G197" s="144"/>
      <c r="H197" s="144"/>
      <c r="I197" s="12"/>
      <c r="J197" s="22"/>
      <c r="K197" s="22"/>
      <c r="L197" s="22"/>
      <c r="M197" s="145"/>
      <c r="N197" s="144"/>
      <c r="O197" s="144"/>
      <c r="P197" s="152"/>
      <c r="Q197" s="22"/>
      <c r="R197" s="152"/>
      <c r="S197" s="22"/>
      <c r="T197" s="74"/>
      <c r="U197" s="45"/>
      <c r="V197" s="158"/>
      <c r="W197" s="45"/>
      <c r="X197" s="45"/>
      <c r="Y197" s="45"/>
      <c r="Z197" s="45"/>
      <c r="AA197" s="45"/>
      <c r="AB197" s="45"/>
      <c r="AC197" s="44"/>
      <c r="AD197" s="45"/>
      <c r="AE197" s="45"/>
      <c r="AF197" s="45"/>
      <c r="AG197" s="45"/>
      <c r="AH197" s="45"/>
      <c r="AI197" s="144"/>
      <c r="AJ197" s="144"/>
      <c r="AK197" s="45"/>
      <c r="AL197" s="45"/>
      <c r="AM197" s="144"/>
      <c r="AN197" s="144"/>
      <c r="AO197" s="144"/>
      <c r="AP197" s="22"/>
      <c r="AQ197" s="22"/>
      <c r="AR197" s="144"/>
      <c r="AS197" s="22"/>
      <c r="AT197" s="22"/>
      <c r="AU197" s="144"/>
      <c r="AV197" s="22"/>
      <c r="AW197" s="22"/>
      <c r="AX197" s="144"/>
      <c r="AY197" s="22"/>
      <c r="AZ197" s="22"/>
      <c r="BA197" s="144"/>
      <c r="BB197" s="22"/>
      <c r="BC197" s="22"/>
      <c r="BD197" s="144"/>
      <c r="BE197" s="144"/>
      <c r="BF197" s="22"/>
      <c r="BG197" s="144"/>
      <c r="BH197" s="144"/>
      <c r="BI197" s="144"/>
      <c r="BJ197" s="144"/>
      <c r="BK197" s="144"/>
      <c r="BL197" s="22"/>
      <c r="BM197" s="144"/>
      <c r="BN197" s="144"/>
      <c r="BO197" s="22"/>
      <c r="BP197" s="144"/>
      <c r="BQ197" s="22"/>
      <c r="BR197" s="144"/>
      <c r="BS197" s="144"/>
      <c r="BT197" s="22"/>
      <c r="BU197" s="144"/>
      <c r="BV197" s="144"/>
      <c r="BW197" s="22"/>
      <c r="BX197" s="22"/>
      <c r="BY197" s="144"/>
      <c r="BZ197" s="22"/>
      <c r="CA197" s="22"/>
      <c r="CB197" s="144"/>
      <c r="CC197" s="22"/>
      <c r="CD197" s="22"/>
      <c r="CE197" s="144"/>
      <c r="CF197" s="22"/>
      <c r="CG197" s="22"/>
      <c r="CH197" s="144"/>
      <c r="CI197" s="22"/>
      <c r="CJ197" s="22"/>
      <c r="CK197" s="144"/>
      <c r="CL197" s="22"/>
      <c r="CM197" s="22"/>
      <c r="CN197" s="144"/>
      <c r="CO197" s="22"/>
      <c r="CP197" s="22"/>
      <c r="CQ197" s="144"/>
    </row>
    <row r="198" spans="1:95" ht="15.75" customHeight="1" x14ac:dyDescent="0.45">
      <c r="A198" s="22"/>
      <c r="B198" s="22"/>
      <c r="C198" s="12"/>
      <c r="D198" s="12"/>
      <c r="E198" s="12"/>
      <c r="F198" s="155"/>
      <c r="G198" s="144"/>
      <c r="H198" s="144"/>
      <c r="I198" s="12"/>
      <c r="J198" s="22"/>
      <c r="K198" s="22"/>
      <c r="L198" s="22"/>
      <c r="M198" s="145"/>
      <c r="N198" s="144"/>
      <c r="O198" s="144"/>
      <c r="P198" s="152"/>
      <c r="Q198" s="22"/>
      <c r="R198" s="152"/>
      <c r="S198" s="22"/>
      <c r="T198" s="74"/>
      <c r="U198" s="45"/>
      <c r="V198" s="158"/>
      <c r="W198" s="45"/>
      <c r="X198" s="45"/>
      <c r="Y198" s="45"/>
      <c r="Z198" s="45"/>
      <c r="AA198" s="45"/>
      <c r="AB198" s="45"/>
      <c r="AC198" s="44"/>
      <c r="AD198" s="45"/>
      <c r="AE198" s="45"/>
      <c r="AF198" s="45"/>
      <c r="AG198" s="45"/>
      <c r="AH198" s="45"/>
      <c r="AI198" s="144"/>
      <c r="AJ198" s="144"/>
      <c r="AK198" s="45"/>
      <c r="AL198" s="45"/>
      <c r="AM198" s="144"/>
      <c r="AN198" s="144"/>
      <c r="AO198" s="144"/>
      <c r="AP198" s="22"/>
      <c r="AQ198" s="22"/>
      <c r="AR198" s="144"/>
      <c r="AS198" s="22"/>
      <c r="AT198" s="22"/>
      <c r="AU198" s="144"/>
      <c r="AV198" s="22"/>
      <c r="AW198" s="22"/>
      <c r="AX198" s="144"/>
      <c r="AY198" s="22"/>
      <c r="AZ198" s="22"/>
      <c r="BA198" s="144"/>
      <c r="BB198" s="22"/>
      <c r="BC198" s="22"/>
      <c r="BD198" s="144"/>
      <c r="BE198" s="144"/>
      <c r="BF198" s="22"/>
      <c r="BG198" s="144"/>
      <c r="BH198" s="144"/>
      <c r="BI198" s="144"/>
      <c r="BJ198" s="144"/>
      <c r="BK198" s="144"/>
      <c r="BL198" s="22"/>
      <c r="BM198" s="144"/>
      <c r="BN198" s="144"/>
      <c r="BO198" s="22"/>
      <c r="BP198" s="144"/>
      <c r="BQ198" s="22"/>
      <c r="BR198" s="144"/>
      <c r="BS198" s="144"/>
      <c r="BT198" s="22"/>
      <c r="BU198" s="144"/>
      <c r="BV198" s="144"/>
      <c r="BW198" s="22"/>
      <c r="BX198" s="22"/>
      <c r="BY198" s="144"/>
      <c r="BZ198" s="22"/>
      <c r="CA198" s="22"/>
      <c r="CB198" s="144"/>
      <c r="CC198" s="22"/>
      <c r="CD198" s="22"/>
      <c r="CE198" s="144"/>
      <c r="CF198" s="22"/>
      <c r="CG198" s="22"/>
      <c r="CH198" s="144"/>
      <c r="CI198" s="22"/>
      <c r="CJ198" s="22"/>
      <c r="CK198" s="144"/>
      <c r="CL198" s="22"/>
      <c r="CM198" s="22"/>
      <c r="CN198" s="144"/>
      <c r="CO198" s="22"/>
      <c r="CP198" s="22"/>
      <c r="CQ198" s="144"/>
    </row>
    <row r="199" spans="1:95" ht="15.75" customHeight="1" x14ac:dyDescent="0.45">
      <c r="A199" s="22"/>
      <c r="B199" s="22"/>
      <c r="C199" s="12"/>
      <c r="D199" s="12"/>
      <c r="E199" s="12"/>
      <c r="F199" s="155"/>
      <c r="G199" s="144"/>
      <c r="H199" s="144"/>
      <c r="I199" s="12"/>
      <c r="J199" s="22"/>
      <c r="K199" s="22"/>
      <c r="L199" s="22"/>
      <c r="M199" s="145"/>
      <c r="N199" s="144"/>
      <c r="O199" s="144"/>
      <c r="P199" s="152"/>
      <c r="Q199" s="22"/>
      <c r="R199" s="152"/>
      <c r="S199" s="22"/>
      <c r="T199" s="74"/>
      <c r="U199" s="45"/>
      <c r="V199" s="158"/>
      <c r="W199" s="45"/>
      <c r="X199" s="45"/>
      <c r="Y199" s="45"/>
      <c r="Z199" s="45"/>
      <c r="AA199" s="45"/>
      <c r="AB199" s="45"/>
      <c r="AC199" s="44"/>
      <c r="AD199" s="45"/>
      <c r="AE199" s="45"/>
      <c r="AF199" s="45"/>
      <c r="AG199" s="45"/>
      <c r="AH199" s="45"/>
      <c r="AI199" s="144"/>
      <c r="AJ199" s="144"/>
      <c r="AK199" s="45"/>
      <c r="AL199" s="45"/>
      <c r="AM199" s="144"/>
      <c r="AN199" s="144"/>
      <c r="AO199" s="144"/>
      <c r="AP199" s="22"/>
      <c r="AQ199" s="22"/>
      <c r="AR199" s="144"/>
      <c r="AS199" s="22"/>
      <c r="AT199" s="22"/>
      <c r="AU199" s="144"/>
      <c r="AV199" s="22"/>
      <c r="AW199" s="22"/>
      <c r="AX199" s="144"/>
      <c r="AY199" s="22"/>
      <c r="AZ199" s="22"/>
      <c r="BA199" s="144"/>
      <c r="BB199" s="22"/>
      <c r="BC199" s="22"/>
      <c r="BD199" s="144"/>
      <c r="BE199" s="144"/>
      <c r="BF199" s="22"/>
      <c r="BG199" s="144"/>
      <c r="BH199" s="144"/>
      <c r="BI199" s="144"/>
      <c r="BJ199" s="144"/>
      <c r="BK199" s="144"/>
      <c r="BL199" s="22"/>
      <c r="BM199" s="144"/>
      <c r="BN199" s="144"/>
      <c r="BO199" s="22"/>
      <c r="BP199" s="144"/>
      <c r="BQ199" s="22"/>
      <c r="BR199" s="144"/>
      <c r="BS199" s="144"/>
      <c r="BT199" s="22"/>
      <c r="BU199" s="144"/>
      <c r="BV199" s="144"/>
      <c r="BW199" s="22"/>
      <c r="BX199" s="22"/>
      <c r="BY199" s="144"/>
      <c r="BZ199" s="22"/>
      <c r="CA199" s="22"/>
      <c r="CB199" s="144"/>
      <c r="CC199" s="22"/>
      <c r="CD199" s="22"/>
      <c r="CE199" s="144"/>
      <c r="CF199" s="22"/>
      <c r="CG199" s="22"/>
      <c r="CH199" s="144"/>
      <c r="CI199" s="22"/>
      <c r="CJ199" s="22"/>
      <c r="CK199" s="144"/>
      <c r="CL199" s="22"/>
      <c r="CM199" s="22"/>
      <c r="CN199" s="144"/>
      <c r="CO199" s="22"/>
      <c r="CP199" s="22"/>
      <c r="CQ199" s="144"/>
    </row>
    <row r="200" spans="1:95" ht="15.75" customHeight="1" x14ac:dyDescent="0.45">
      <c r="A200" s="22"/>
      <c r="B200" s="22"/>
      <c r="C200" s="12"/>
      <c r="D200" s="12"/>
      <c r="E200" s="12"/>
      <c r="F200" s="155"/>
      <c r="G200" s="144"/>
      <c r="H200" s="144"/>
      <c r="I200" s="12"/>
      <c r="J200" s="22"/>
      <c r="K200" s="22"/>
      <c r="L200" s="22"/>
      <c r="M200" s="145"/>
      <c r="N200" s="144"/>
      <c r="O200" s="144"/>
      <c r="P200" s="152"/>
      <c r="Q200" s="22"/>
      <c r="R200" s="152"/>
      <c r="S200" s="22"/>
      <c r="T200" s="74"/>
      <c r="U200" s="45"/>
      <c r="V200" s="158"/>
      <c r="W200" s="45"/>
      <c r="X200" s="45"/>
      <c r="Y200" s="45"/>
      <c r="Z200" s="45"/>
      <c r="AA200" s="45"/>
      <c r="AB200" s="45"/>
      <c r="AC200" s="44"/>
      <c r="AD200" s="45"/>
      <c r="AE200" s="45"/>
      <c r="AF200" s="45"/>
      <c r="AG200" s="45"/>
      <c r="AH200" s="45"/>
      <c r="AI200" s="144"/>
      <c r="AJ200" s="144"/>
      <c r="AK200" s="45"/>
      <c r="AL200" s="45"/>
      <c r="AM200" s="144"/>
      <c r="AN200" s="144"/>
      <c r="AO200" s="144"/>
      <c r="AP200" s="22"/>
      <c r="AQ200" s="22"/>
      <c r="AR200" s="144"/>
      <c r="AS200" s="22"/>
      <c r="AT200" s="22"/>
      <c r="AU200" s="144"/>
      <c r="AV200" s="22"/>
      <c r="AW200" s="22"/>
      <c r="AX200" s="144"/>
      <c r="AY200" s="22"/>
      <c r="AZ200" s="22"/>
      <c r="BA200" s="144"/>
      <c r="BB200" s="22"/>
      <c r="BC200" s="22"/>
      <c r="BD200" s="144"/>
      <c r="BE200" s="144"/>
      <c r="BF200" s="22"/>
      <c r="BG200" s="144"/>
      <c r="BH200" s="144"/>
      <c r="BI200" s="144"/>
      <c r="BJ200" s="144"/>
      <c r="BK200" s="144"/>
      <c r="BL200" s="22"/>
      <c r="BM200" s="144"/>
      <c r="BN200" s="144"/>
      <c r="BO200" s="22"/>
      <c r="BP200" s="144"/>
      <c r="BQ200" s="22"/>
      <c r="BR200" s="144"/>
      <c r="BS200" s="144"/>
      <c r="BT200" s="22"/>
      <c r="BU200" s="144"/>
      <c r="BV200" s="144"/>
      <c r="BW200" s="22"/>
      <c r="BX200" s="22"/>
      <c r="BY200" s="144"/>
      <c r="BZ200" s="22"/>
      <c r="CA200" s="22"/>
      <c r="CB200" s="144"/>
      <c r="CC200" s="22"/>
      <c r="CD200" s="22"/>
      <c r="CE200" s="144"/>
      <c r="CF200" s="22"/>
      <c r="CG200" s="22"/>
      <c r="CH200" s="144"/>
      <c r="CI200" s="22"/>
      <c r="CJ200" s="22"/>
      <c r="CK200" s="144"/>
      <c r="CL200" s="22"/>
      <c r="CM200" s="22"/>
      <c r="CN200" s="144"/>
      <c r="CO200" s="22"/>
      <c r="CP200" s="22"/>
      <c r="CQ200" s="144"/>
    </row>
    <row r="201" spans="1:95" ht="15.75" customHeight="1" x14ac:dyDescent="0.45">
      <c r="A201" s="22"/>
      <c r="B201" s="22"/>
      <c r="C201" s="12"/>
      <c r="D201" s="12"/>
      <c r="E201" s="12"/>
      <c r="F201" s="155"/>
      <c r="G201" s="144"/>
      <c r="H201" s="144"/>
      <c r="I201" s="12"/>
      <c r="J201" s="22"/>
      <c r="K201" s="22"/>
      <c r="L201" s="22"/>
      <c r="M201" s="145"/>
      <c r="N201" s="144"/>
      <c r="O201" s="144"/>
      <c r="P201" s="152"/>
      <c r="Q201" s="22"/>
      <c r="R201" s="152"/>
      <c r="S201" s="22"/>
      <c r="T201" s="74"/>
      <c r="U201" s="45"/>
      <c r="V201" s="158"/>
      <c r="W201" s="45"/>
      <c r="X201" s="45"/>
      <c r="Y201" s="45"/>
      <c r="Z201" s="45"/>
      <c r="AA201" s="45"/>
      <c r="AB201" s="45"/>
      <c r="AC201" s="44"/>
      <c r="AD201" s="45"/>
      <c r="AE201" s="45"/>
      <c r="AF201" s="45"/>
      <c r="AG201" s="45"/>
      <c r="AH201" s="45"/>
      <c r="AI201" s="144"/>
      <c r="AJ201" s="144"/>
      <c r="AK201" s="45"/>
      <c r="AL201" s="45"/>
      <c r="AM201" s="144"/>
      <c r="AN201" s="144"/>
      <c r="AO201" s="144"/>
      <c r="AP201" s="22"/>
      <c r="AQ201" s="22"/>
      <c r="AR201" s="144"/>
      <c r="AS201" s="22"/>
      <c r="AT201" s="22"/>
      <c r="AU201" s="144"/>
      <c r="AV201" s="22"/>
      <c r="AW201" s="22"/>
      <c r="AX201" s="144"/>
      <c r="AY201" s="22"/>
      <c r="AZ201" s="22"/>
      <c r="BA201" s="144"/>
      <c r="BB201" s="22"/>
      <c r="BC201" s="22"/>
      <c r="BD201" s="144"/>
      <c r="BE201" s="144"/>
      <c r="BF201" s="22"/>
      <c r="BG201" s="144"/>
      <c r="BH201" s="144"/>
      <c r="BI201" s="144"/>
      <c r="BJ201" s="144"/>
      <c r="BK201" s="144"/>
      <c r="BL201" s="22"/>
      <c r="BM201" s="144"/>
      <c r="BN201" s="144"/>
      <c r="BO201" s="22"/>
      <c r="BP201" s="144"/>
      <c r="BQ201" s="22"/>
      <c r="BR201" s="144"/>
      <c r="BS201" s="144"/>
      <c r="BT201" s="22"/>
      <c r="BU201" s="144"/>
      <c r="BV201" s="144"/>
      <c r="BW201" s="22"/>
      <c r="BX201" s="22"/>
      <c r="BY201" s="144"/>
      <c r="BZ201" s="22"/>
      <c r="CA201" s="22"/>
      <c r="CB201" s="144"/>
      <c r="CC201" s="22"/>
      <c r="CD201" s="22"/>
      <c r="CE201" s="144"/>
      <c r="CF201" s="22"/>
      <c r="CG201" s="22"/>
      <c r="CH201" s="144"/>
      <c r="CI201" s="22"/>
      <c r="CJ201" s="22"/>
      <c r="CK201" s="144"/>
      <c r="CL201" s="22"/>
      <c r="CM201" s="22"/>
      <c r="CN201" s="144"/>
      <c r="CO201" s="22"/>
      <c r="CP201" s="22"/>
      <c r="CQ201" s="144"/>
    </row>
    <row r="202" spans="1:95" ht="15.75" customHeight="1" x14ac:dyDescent="0.45">
      <c r="A202" s="22"/>
      <c r="B202" s="22"/>
      <c r="C202" s="12"/>
      <c r="D202" s="12"/>
      <c r="E202" s="12"/>
      <c r="F202" s="155"/>
      <c r="G202" s="144"/>
      <c r="H202" s="144"/>
      <c r="I202" s="12"/>
      <c r="J202" s="22"/>
      <c r="K202" s="22"/>
      <c r="L202" s="22"/>
      <c r="M202" s="145"/>
      <c r="N202" s="144"/>
      <c r="O202" s="144"/>
      <c r="P202" s="152"/>
      <c r="Q202" s="22"/>
      <c r="R202" s="152"/>
      <c r="S202" s="22"/>
      <c r="T202" s="74"/>
      <c r="U202" s="45"/>
      <c r="V202" s="158"/>
      <c r="W202" s="45"/>
      <c r="X202" s="45"/>
      <c r="Y202" s="45"/>
      <c r="Z202" s="45"/>
      <c r="AA202" s="45"/>
      <c r="AB202" s="45"/>
      <c r="AC202" s="44"/>
      <c r="AD202" s="45"/>
      <c r="AE202" s="45"/>
      <c r="AF202" s="45"/>
      <c r="AG202" s="45"/>
      <c r="AH202" s="45"/>
      <c r="AI202" s="144"/>
      <c r="AJ202" s="144"/>
      <c r="AK202" s="45"/>
      <c r="AL202" s="45"/>
      <c r="AM202" s="144"/>
      <c r="AN202" s="144"/>
      <c r="AO202" s="144"/>
      <c r="AP202" s="22"/>
      <c r="AQ202" s="22"/>
      <c r="AR202" s="144"/>
      <c r="AS202" s="22"/>
      <c r="AT202" s="22"/>
      <c r="AU202" s="144"/>
      <c r="AV202" s="22"/>
      <c r="AW202" s="22"/>
      <c r="AX202" s="144"/>
      <c r="AY202" s="22"/>
      <c r="AZ202" s="22"/>
      <c r="BA202" s="144"/>
      <c r="BB202" s="22"/>
      <c r="BC202" s="22"/>
      <c r="BD202" s="144"/>
      <c r="BE202" s="144"/>
      <c r="BF202" s="22"/>
      <c r="BG202" s="144"/>
      <c r="BH202" s="144"/>
      <c r="BI202" s="144"/>
      <c r="BJ202" s="144"/>
      <c r="BK202" s="144"/>
      <c r="BL202" s="22"/>
      <c r="BM202" s="144"/>
      <c r="BN202" s="144"/>
      <c r="BO202" s="22"/>
      <c r="BP202" s="144"/>
      <c r="BQ202" s="22"/>
      <c r="BR202" s="144"/>
      <c r="BS202" s="144"/>
      <c r="BT202" s="22"/>
      <c r="BU202" s="144"/>
      <c r="BV202" s="144"/>
      <c r="BW202" s="22"/>
      <c r="BX202" s="22"/>
      <c r="BY202" s="144"/>
      <c r="BZ202" s="22"/>
      <c r="CA202" s="22"/>
      <c r="CB202" s="144"/>
      <c r="CC202" s="22"/>
      <c r="CD202" s="22"/>
      <c r="CE202" s="144"/>
      <c r="CF202" s="22"/>
      <c r="CG202" s="22"/>
      <c r="CH202" s="144"/>
      <c r="CI202" s="22"/>
      <c r="CJ202" s="22"/>
      <c r="CK202" s="144"/>
      <c r="CL202" s="22"/>
      <c r="CM202" s="22"/>
      <c r="CN202" s="144"/>
      <c r="CO202" s="22"/>
      <c r="CP202" s="22"/>
      <c r="CQ202" s="144"/>
    </row>
    <row r="203" spans="1:95" ht="15.75" customHeight="1" x14ac:dyDescent="0.45">
      <c r="A203" s="22"/>
      <c r="B203" s="22"/>
      <c r="C203" s="12"/>
      <c r="D203" s="12"/>
      <c r="E203" s="12"/>
      <c r="F203" s="155"/>
      <c r="G203" s="144"/>
      <c r="H203" s="144"/>
      <c r="I203" s="12"/>
      <c r="J203" s="22"/>
      <c r="K203" s="22"/>
      <c r="L203" s="22"/>
      <c r="M203" s="145"/>
      <c r="N203" s="144"/>
      <c r="O203" s="144"/>
      <c r="P203" s="152"/>
      <c r="Q203" s="22"/>
      <c r="R203" s="152"/>
      <c r="S203" s="22"/>
      <c r="T203" s="74"/>
      <c r="U203" s="45"/>
      <c r="V203" s="158"/>
      <c r="W203" s="45"/>
      <c r="X203" s="45"/>
      <c r="Y203" s="45"/>
      <c r="Z203" s="45"/>
      <c r="AA203" s="45"/>
      <c r="AB203" s="45"/>
      <c r="AC203" s="44"/>
      <c r="AD203" s="45"/>
      <c r="AE203" s="45"/>
      <c r="AF203" s="45"/>
      <c r="AG203" s="45"/>
      <c r="AH203" s="45"/>
      <c r="AI203" s="144"/>
      <c r="AJ203" s="144"/>
      <c r="AK203" s="45"/>
      <c r="AL203" s="45"/>
      <c r="AM203" s="144"/>
      <c r="AN203" s="144"/>
      <c r="AO203" s="144"/>
      <c r="AP203" s="22"/>
      <c r="AQ203" s="22"/>
      <c r="AR203" s="144"/>
      <c r="AS203" s="22"/>
      <c r="AT203" s="22"/>
      <c r="AU203" s="144"/>
      <c r="AV203" s="22"/>
      <c r="AW203" s="22"/>
      <c r="AX203" s="144"/>
      <c r="AY203" s="22"/>
      <c r="AZ203" s="22"/>
      <c r="BA203" s="144"/>
      <c r="BB203" s="22"/>
      <c r="BC203" s="22"/>
      <c r="BD203" s="144"/>
      <c r="BE203" s="144"/>
      <c r="BF203" s="22"/>
      <c r="BG203" s="144"/>
      <c r="BH203" s="144"/>
      <c r="BI203" s="144"/>
      <c r="BJ203" s="144"/>
      <c r="BK203" s="144"/>
      <c r="BL203" s="22"/>
      <c r="BM203" s="144"/>
      <c r="BN203" s="144"/>
      <c r="BO203" s="22"/>
      <c r="BP203" s="144"/>
      <c r="BQ203" s="22"/>
      <c r="BR203" s="144"/>
      <c r="BS203" s="144"/>
      <c r="BT203" s="22"/>
      <c r="BU203" s="144"/>
      <c r="BV203" s="144"/>
      <c r="BW203" s="22"/>
      <c r="BX203" s="22"/>
      <c r="BY203" s="144"/>
      <c r="BZ203" s="22"/>
      <c r="CA203" s="22"/>
      <c r="CB203" s="144"/>
      <c r="CC203" s="22"/>
      <c r="CD203" s="22"/>
      <c r="CE203" s="144"/>
      <c r="CF203" s="22"/>
      <c r="CG203" s="22"/>
      <c r="CH203" s="144"/>
      <c r="CI203" s="22"/>
      <c r="CJ203" s="22"/>
      <c r="CK203" s="144"/>
      <c r="CL203" s="22"/>
      <c r="CM203" s="22"/>
      <c r="CN203" s="144"/>
      <c r="CO203" s="22"/>
      <c r="CP203" s="22"/>
      <c r="CQ203" s="144"/>
    </row>
    <row r="204" spans="1:95" ht="15.75" customHeight="1" x14ac:dyDescent="0.45">
      <c r="A204" s="22"/>
      <c r="B204" s="22"/>
      <c r="C204" s="12"/>
      <c r="D204" s="12"/>
      <c r="E204" s="12"/>
      <c r="F204" s="155"/>
      <c r="G204" s="144"/>
      <c r="H204" s="144"/>
      <c r="I204" s="12"/>
      <c r="J204" s="22"/>
      <c r="K204" s="22"/>
      <c r="L204" s="22"/>
      <c r="M204" s="145"/>
      <c r="N204" s="144"/>
      <c r="O204" s="144"/>
      <c r="P204" s="152"/>
      <c r="Q204" s="22"/>
      <c r="R204" s="152"/>
      <c r="S204" s="22"/>
      <c r="T204" s="74"/>
      <c r="U204" s="45"/>
      <c r="V204" s="158"/>
      <c r="W204" s="45"/>
      <c r="X204" s="45"/>
      <c r="Y204" s="45"/>
      <c r="Z204" s="45"/>
      <c r="AA204" s="45"/>
      <c r="AB204" s="45"/>
      <c r="AC204" s="44"/>
      <c r="AD204" s="45"/>
      <c r="AE204" s="45"/>
      <c r="AF204" s="45"/>
      <c r="AG204" s="45"/>
      <c r="AH204" s="45"/>
      <c r="AI204" s="144"/>
      <c r="AJ204" s="144"/>
      <c r="AK204" s="45"/>
      <c r="AL204" s="45"/>
      <c r="AM204" s="144"/>
      <c r="AN204" s="144"/>
      <c r="AO204" s="144"/>
      <c r="AP204" s="22"/>
      <c r="AQ204" s="22"/>
      <c r="AR204" s="144"/>
      <c r="AS204" s="22"/>
      <c r="AT204" s="22"/>
      <c r="AU204" s="144"/>
      <c r="AV204" s="22"/>
      <c r="AW204" s="22"/>
      <c r="AX204" s="144"/>
      <c r="AY204" s="22"/>
      <c r="AZ204" s="22"/>
      <c r="BA204" s="144"/>
      <c r="BB204" s="22"/>
      <c r="BC204" s="22"/>
      <c r="BD204" s="144"/>
      <c r="BE204" s="144"/>
      <c r="BF204" s="22"/>
      <c r="BG204" s="144"/>
      <c r="BH204" s="144"/>
      <c r="BI204" s="144"/>
      <c r="BJ204" s="144"/>
      <c r="BK204" s="144"/>
      <c r="BL204" s="22"/>
      <c r="BM204" s="144"/>
      <c r="BN204" s="144"/>
      <c r="BO204" s="22"/>
      <c r="BP204" s="144"/>
      <c r="BQ204" s="22"/>
      <c r="BR204" s="144"/>
      <c r="BS204" s="144"/>
      <c r="BT204" s="22"/>
      <c r="BU204" s="144"/>
      <c r="BV204" s="144"/>
      <c r="BW204" s="22"/>
      <c r="BX204" s="22"/>
      <c r="BY204" s="144"/>
      <c r="BZ204" s="22"/>
      <c r="CA204" s="22"/>
      <c r="CB204" s="144"/>
      <c r="CC204" s="22"/>
      <c r="CD204" s="22"/>
      <c r="CE204" s="144"/>
      <c r="CF204" s="22"/>
      <c r="CG204" s="22"/>
      <c r="CH204" s="144"/>
      <c r="CI204" s="22"/>
      <c r="CJ204" s="22"/>
      <c r="CK204" s="144"/>
      <c r="CL204" s="22"/>
      <c r="CM204" s="22"/>
      <c r="CN204" s="144"/>
      <c r="CO204" s="22"/>
      <c r="CP204" s="22"/>
      <c r="CQ204" s="144"/>
    </row>
    <row r="205" spans="1:95" ht="15.75" customHeight="1" x14ac:dyDescent="0.45">
      <c r="A205" s="22"/>
      <c r="B205" s="22"/>
      <c r="C205" s="12"/>
      <c r="D205" s="12"/>
      <c r="E205" s="12"/>
      <c r="F205" s="155"/>
      <c r="G205" s="144"/>
      <c r="H205" s="144"/>
      <c r="I205" s="12"/>
      <c r="J205" s="22"/>
      <c r="K205" s="22"/>
      <c r="L205" s="22"/>
      <c r="M205" s="145"/>
      <c r="N205" s="144"/>
      <c r="O205" s="144"/>
      <c r="P205" s="152"/>
      <c r="Q205" s="22"/>
      <c r="R205" s="152"/>
      <c r="S205" s="22"/>
      <c r="T205" s="74"/>
      <c r="U205" s="45"/>
      <c r="V205" s="158"/>
      <c r="W205" s="45"/>
      <c r="X205" s="45"/>
      <c r="Y205" s="45"/>
      <c r="Z205" s="45"/>
      <c r="AA205" s="45"/>
      <c r="AB205" s="45"/>
      <c r="AC205" s="44"/>
      <c r="AD205" s="45"/>
      <c r="AE205" s="45"/>
      <c r="AF205" s="45"/>
      <c r="AG205" s="45"/>
      <c r="AH205" s="45"/>
      <c r="AI205" s="144"/>
      <c r="AJ205" s="144"/>
      <c r="AK205" s="45"/>
      <c r="AL205" s="45"/>
      <c r="AM205" s="144"/>
      <c r="AN205" s="144"/>
      <c r="AO205" s="144"/>
      <c r="AP205" s="22"/>
      <c r="AQ205" s="22"/>
      <c r="AR205" s="144"/>
      <c r="AS205" s="22"/>
      <c r="AT205" s="22"/>
      <c r="AU205" s="144"/>
      <c r="AV205" s="22"/>
      <c r="AW205" s="22"/>
      <c r="AX205" s="144"/>
      <c r="AY205" s="22"/>
      <c r="AZ205" s="22"/>
      <c r="BA205" s="144"/>
      <c r="BB205" s="22"/>
      <c r="BC205" s="22"/>
      <c r="BD205" s="144"/>
      <c r="BE205" s="144"/>
      <c r="BF205" s="22"/>
      <c r="BG205" s="144"/>
      <c r="BH205" s="144"/>
      <c r="BI205" s="144"/>
      <c r="BJ205" s="144"/>
      <c r="BK205" s="144"/>
      <c r="BL205" s="22"/>
      <c r="BM205" s="144"/>
      <c r="BN205" s="144"/>
      <c r="BO205" s="22"/>
      <c r="BP205" s="144"/>
      <c r="BQ205" s="22"/>
      <c r="BR205" s="144"/>
      <c r="BS205" s="144"/>
      <c r="BT205" s="22"/>
      <c r="BU205" s="144"/>
      <c r="BV205" s="144"/>
      <c r="BW205" s="22"/>
      <c r="BX205" s="22"/>
      <c r="BY205" s="144"/>
      <c r="BZ205" s="22"/>
      <c r="CA205" s="22"/>
      <c r="CB205" s="144"/>
      <c r="CC205" s="22"/>
      <c r="CD205" s="22"/>
      <c r="CE205" s="144"/>
      <c r="CF205" s="22"/>
      <c r="CG205" s="22"/>
      <c r="CH205" s="144"/>
      <c r="CI205" s="22"/>
      <c r="CJ205" s="22"/>
      <c r="CK205" s="144"/>
      <c r="CL205" s="22"/>
      <c r="CM205" s="22"/>
      <c r="CN205" s="144"/>
      <c r="CO205" s="22"/>
      <c r="CP205" s="22"/>
      <c r="CQ205" s="144"/>
    </row>
    <row r="206" spans="1:95" ht="15.75" customHeight="1" x14ac:dyDescent="0.45">
      <c r="A206" s="22"/>
      <c r="B206" s="22"/>
      <c r="C206" s="12"/>
      <c r="D206" s="12"/>
      <c r="E206" s="12"/>
      <c r="F206" s="155"/>
      <c r="G206" s="144"/>
      <c r="H206" s="144"/>
      <c r="I206" s="12"/>
      <c r="J206" s="22"/>
      <c r="K206" s="22"/>
      <c r="L206" s="22"/>
      <c r="M206" s="145"/>
      <c r="N206" s="144"/>
      <c r="O206" s="144"/>
      <c r="P206" s="152"/>
      <c r="Q206" s="22"/>
      <c r="R206" s="152"/>
      <c r="S206" s="22"/>
      <c r="T206" s="74"/>
      <c r="U206" s="45"/>
      <c r="V206" s="158"/>
      <c r="W206" s="45"/>
      <c r="X206" s="45"/>
      <c r="Y206" s="45"/>
      <c r="Z206" s="45"/>
      <c r="AA206" s="45"/>
      <c r="AB206" s="45"/>
      <c r="AC206" s="44"/>
      <c r="AD206" s="45"/>
      <c r="AE206" s="45"/>
      <c r="AF206" s="45"/>
      <c r="AG206" s="45"/>
      <c r="AH206" s="45"/>
      <c r="AI206" s="144"/>
      <c r="AJ206" s="144"/>
      <c r="AK206" s="45"/>
      <c r="AL206" s="45"/>
      <c r="AM206" s="144"/>
      <c r="AN206" s="144"/>
      <c r="AO206" s="144"/>
      <c r="AP206" s="22"/>
      <c r="AQ206" s="22"/>
      <c r="AR206" s="144"/>
      <c r="AS206" s="22"/>
      <c r="AT206" s="22"/>
      <c r="AU206" s="144"/>
      <c r="AV206" s="22"/>
      <c r="AW206" s="22"/>
      <c r="AX206" s="144"/>
      <c r="AY206" s="22"/>
      <c r="AZ206" s="22"/>
      <c r="BA206" s="144"/>
      <c r="BB206" s="22"/>
      <c r="BC206" s="22"/>
      <c r="BD206" s="144"/>
      <c r="BE206" s="144"/>
      <c r="BF206" s="22"/>
      <c r="BG206" s="144"/>
      <c r="BH206" s="144"/>
      <c r="BI206" s="144"/>
      <c r="BJ206" s="144"/>
      <c r="BK206" s="144"/>
      <c r="BL206" s="22"/>
      <c r="BM206" s="144"/>
      <c r="BN206" s="144"/>
      <c r="BO206" s="22"/>
      <c r="BP206" s="144"/>
      <c r="BQ206" s="22"/>
      <c r="BR206" s="144"/>
      <c r="BS206" s="144"/>
      <c r="BT206" s="22"/>
      <c r="BU206" s="144"/>
      <c r="BV206" s="144"/>
      <c r="BW206" s="22"/>
      <c r="BX206" s="22"/>
      <c r="BY206" s="144"/>
      <c r="BZ206" s="22"/>
      <c r="CA206" s="22"/>
      <c r="CB206" s="144"/>
      <c r="CC206" s="22"/>
      <c r="CD206" s="22"/>
      <c r="CE206" s="144"/>
      <c r="CF206" s="22"/>
      <c r="CG206" s="22"/>
      <c r="CH206" s="144"/>
      <c r="CI206" s="22"/>
      <c r="CJ206" s="22"/>
      <c r="CK206" s="144"/>
      <c r="CL206" s="22"/>
      <c r="CM206" s="22"/>
      <c r="CN206" s="144"/>
      <c r="CO206" s="22"/>
      <c r="CP206" s="22"/>
      <c r="CQ206" s="144"/>
    </row>
    <row r="207" spans="1:95" ht="15.75" customHeight="1" x14ac:dyDescent="0.45">
      <c r="A207" s="22"/>
      <c r="B207" s="22"/>
      <c r="C207" s="12"/>
      <c r="D207" s="12"/>
      <c r="E207" s="12"/>
      <c r="F207" s="155"/>
      <c r="G207" s="144"/>
      <c r="H207" s="144"/>
      <c r="I207" s="12"/>
      <c r="J207" s="22"/>
      <c r="K207" s="22"/>
      <c r="L207" s="22"/>
      <c r="M207" s="145"/>
      <c r="N207" s="144"/>
      <c r="O207" s="144"/>
      <c r="P207" s="152"/>
      <c r="Q207" s="22"/>
      <c r="R207" s="152"/>
      <c r="S207" s="22"/>
      <c r="T207" s="74"/>
      <c r="U207" s="45"/>
      <c r="V207" s="158"/>
      <c r="W207" s="45"/>
      <c r="X207" s="45"/>
      <c r="Y207" s="45"/>
      <c r="Z207" s="45"/>
      <c r="AA207" s="45"/>
      <c r="AB207" s="45"/>
      <c r="AC207" s="44"/>
      <c r="AD207" s="45"/>
      <c r="AE207" s="45"/>
      <c r="AF207" s="45"/>
      <c r="AG207" s="45"/>
      <c r="AH207" s="45"/>
      <c r="AI207" s="144"/>
      <c r="AJ207" s="144"/>
      <c r="AK207" s="45"/>
      <c r="AL207" s="45"/>
      <c r="AM207" s="144"/>
      <c r="AN207" s="144"/>
      <c r="AO207" s="144"/>
      <c r="AP207" s="22"/>
      <c r="AQ207" s="22"/>
      <c r="AR207" s="144"/>
      <c r="AS207" s="22"/>
      <c r="AT207" s="22"/>
      <c r="AU207" s="144"/>
      <c r="AV207" s="22"/>
      <c r="AW207" s="22"/>
      <c r="AX207" s="144"/>
      <c r="AY207" s="22"/>
      <c r="AZ207" s="22"/>
      <c r="BA207" s="144"/>
      <c r="BB207" s="22"/>
      <c r="BC207" s="22"/>
      <c r="BD207" s="144"/>
      <c r="BE207" s="144"/>
      <c r="BF207" s="22"/>
      <c r="BG207" s="144"/>
      <c r="BH207" s="144"/>
      <c r="BI207" s="144"/>
      <c r="BJ207" s="144"/>
      <c r="BK207" s="144"/>
      <c r="BL207" s="22"/>
      <c r="BM207" s="144"/>
      <c r="BN207" s="144"/>
      <c r="BO207" s="22"/>
      <c r="BP207" s="144"/>
      <c r="BQ207" s="22"/>
      <c r="BR207" s="144"/>
      <c r="BS207" s="144"/>
      <c r="BT207" s="22"/>
      <c r="BU207" s="144"/>
      <c r="BV207" s="144"/>
      <c r="BW207" s="22"/>
      <c r="BX207" s="22"/>
      <c r="BY207" s="144"/>
      <c r="BZ207" s="22"/>
      <c r="CA207" s="22"/>
      <c r="CB207" s="144"/>
      <c r="CC207" s="22"/>
      <c r="CD207" s="22"/>
      <c r="CE207" s="144"/>
      <c r="CF207" s="22"/>
      <c r="CG207" s="22"/>
      <c r="CH207" s="144"/>
      <c r="CI207" s="22"/>
      <c r="CJ207" s="22"/>
      <c r="CK207" s="144"/>
      <c r="CL207" s="22"/>
      <c r="CM207" s="22"/>
      <c r="CN207" s="144"/>
      <c r="CO207" s="22"/>
      <c r="CP207" s="22"/>
      <c r="CQ207" s="144"/>
    </row>
    <row r="208" spans="1:95" ht="15.75" customHeight="1" x14ac:dyDescent="0.45">
      <c r="A208" s="22"/>
      <c r="B208" s="22"/>
      <c r="C208" s="12"/>
      <c r="D208" s="12"/>
      <c r="E208" s="12"/>
      <c r="F208" s="155"/>
      <c r="G208" s="144"/>
      <c r="H208" s="144"/>
      <c r="I208" s="12"/>
      <c r="J208" s="22"/>
      <c r="K208" s="22"/>
      <c r="L208" s="22"/>
      <c r="M208" s="145"/>
      <c r="N208" s="144"/>
      <c r="O208" s="144"/>
      <c r="P208" s="152"/>
      <c r="Q208" s="22"/>
      <c r="R208" s="152"/>
      <c r="S208" s="22"/>
      <c r="T208" s="74"/>
      <c r="U208" s="45"/>
      <c r="V208" s="158"/>
      <c r="W208" s="45"/>
      <c r="X208" s="45"/>
      <c r="Y208" s="45"/>
      <c r="Z208" s="45"/>
      <c r="AA208" s="45"/>
      <c r="AB208" s="45"/>
      <c r="AC208" s="44"/>
      <c r="AD208" s="45"/>
      <c r="AE208" s="45"/>
      <c r="AF208" s="45"/>
      <c r="AG208" s="45"/>
      <c r="AH208" s="45"/>
      <c r="AI208" s="144"/>
      <c r="AJ208" s="144"/>
      <c r="AK208" s="45"/>
      <c r="AL208" s="45"/>
      <c r="AM208" s="144"/>
      <c r="AN208" s="144"/>
      <c r="AO208" s="144"/>
      <c r="AP208" s="22"/>
      <c r="AQ208" s="22"/>
      <c r="AR208" s="144"/>
      <c r="AS208" s="22"/>
      <c r="AT208" s="22"/>
      <c r="AU208" s="144"/>
      <c r="AV208" s="22"/>
      <c r="AW208" s="22"/>
      <c r="AX208" s="144"/>
      <c r="AY208" s="22"/>
      <c r="AZ208" s="22"/>
      <c r="BA208" s="144"/>
      <c r="BB208" s="22"/>
      <c r="BC208" s="22"/>
      <c r="BD208" s="144"/>
      <c r="BE208" s="144"/>
      <c r="BF208" s="22"/>
      <c r="BG208" s="144"/>
      <c r="BH208" s="144"/>
      <c r="BI208" s="144"/>
      <c r="BJ208" s="144"/>
      <c r="BK208" s="144"/>
      <c r="BL208" s="22"/>
      <c r="BM208" s="144"/>
      <c r="BN208" s="144"/>
      <c r="BO208" s="22"/>
      <c r="BP208" s="144"/>
      <c r="BQ208" s="22"/>
      <c r="BR208" s="144"/>
      <c r="BS208" s="144"/>
      <c r="BT208" s="22"/>
      <c r="BU208" s="144"/>
      <c r="BV208" s="144"/>
      <c r="BW208" s="22"/>
      <c r="BX208" s="22"/>
      <c r="BY208" s="144"/>
      <c r="BZ208" s="22"/>
      <c r="CA208" s="22"/>
      <c r="CB208" s="144"/>
      <c r="CC208" s="22"/>
      <c r="CD208" s="22"/>
      <c r="CE208" s="144"/>
      <c r="CF208" s="22"/>
      <c r="CG208" s="22"/>
      <c r="CH208" s="144"/>
      <c r="CI208" s="22"/>
      <c r="CJ208" s="22"/>
      <c r="CK208" s="144"/>
      <c r="CL208" s="22"/>
      <c r="CM208" s="22"/>
      <c r="CN208" s="144"/>
      <c r="CO208" s="22"/>
      <c r="CP208" s="22"/>
      <c r="CQ208" s="144"/>
    </row>
    <row r="209" spans="1:95" ht="15.75" customHeight="1" x14ac:dyDescent="0.45">
      <c r="A209" s="22"/>
      <c r="B209" s="22"/>
      <c r="C209" s="12"/>
      <c r="D209" s="12"/>
      <c r="E209" s="12"/>
      <c r="F209" s="155"/>
      <c r="G209" s="144"/>
      <c r="H209" s="144"/>
      <c r="I209" s="12"/>
      <c r="J209" s="22"/>
      <c r="K209" s="22"/>
      <c r="L209" s="22"/>
      <c r="M209" s="145"/>
      <c r="N209" s="144"/>
      <c r="O209" s="144"/>
      <c r="P209" s="152"/>
      <c r="Q209" s="22"/>
      <c r="R209" s="152"/>
      <c r="S209" s="22"/>
      <c r="T209" s="74"/>
      <c r="U209" s="45"/>
      <c r="V209" s="158"/>
      <c r="W209" s="45"/>
      <c r="X209" s="45"/>
      <c r="Y209" s="45"/>
      <c r="Z209" s="45"/>
      <c r="AA209" s="45"/>
      <c r="AB209" s="45"/>
      <c r="AC209" s="44"/>
      <c r="AD209" s="45"/>
      <c r="AE209" s="45"/>
      <c r="AF209" s="45"/>
      <c r="AG209" s="45"/>
      <c r="AH209" s="45"/>
      <c r="AI209" s="144"/>
      <c r="AJ209" s="144"/>
      <c r="AK209" s="45"/>
      <c r="AL209" s="45"/>
      <c r="AM209" s="144"/>
      <c r="AN209" s="144"/>
      <c r="AO209" s="144"/>
      <c r="AP209" s="22"/>
      <c r="AQ209" s="22"/>
      <c r="AR209" s="144"/>
      <c r="AS209" s="22"/>
      <c r="AT209" s="22"/>
      <c r="AU209" s="144"/>
      <c r="AV209" s="22"/>
      <c r="AW209" s="22"/>
      <c r="AX209" s="144"/>
      <c r="AY209" s="22"/>
      <c r="AZ209" s="22"/>
      <c r="BA209" s="144"/>
      <c r="BB209" s="22"/>
      <c r="BC209" s="22"/>
      <c r="BD209" s="144"/>
      <c r="BE209" s="144"/>
      <c r="BF209" s="22"/>
      <c r="BG209" s="144"/>
      <c r="BH209" s="144"/>
      <c r="BI209" s="144"/>
      <c r="BJ209" s="144"/>
      <c r="BK209" s="144"/>
      <c r="BL209" s="22"/>
      <c r="BM209" s="144"/>
      <c r="BN209" s="144"/>
      <c r="BO209" s="22"/>
      <c r="BP209" s="144"/>
      <c r="BQ209" s="22"/>
      <c r="BR209" s="144"/>
      <c r="BS209" s="144"/>
      <c r="BT209" s="22"/>
      <c r="BU209" s="144"/>
      <c r="BV209" s="144"/>
      <c r="BW209" s="22"/>
      <c r="BX209" s="22"/>
      <c r="BY209" s="144"/>
      <c r="BZ209" s="22"/>
      <c r="CA209" s="22"/>
      <c r="CB209" s="144"/>
      <c r="CC209" s="22"/>
      <c r="CD209" s="22"/>
      <c r="CE209" s="144"/>
      <c r="CF209" s="22"/>
      <c r="CG209" s="22"/>
      <c r="CH209" s="144"/>
      <c r="CI209" s="22"/>
      <c r="CJ209" s="22"/>
      <c r="CK209" s="144"/>
      <c r="CL209" s="22"/>
      <c r="CM209" s="22"/>
      <c r="CN209" s="144"/>
      <c r="CO209" s="22"/>
      <c r="CP209" s="22"/>
      <c r="CQ209" s="144"/>
    </row>
    <row r="210" spans="1:95" ht="15.75" customHeight="1" x14ac:dyDescent="0.45">
      <c r="A210" s="22"/>
      <c r="B210" s="22"/>
      <c r="C210" s="12"/>
      <c r="D210" s="12"/>
      <c r="E210" s="12"/>
      <c r="F210" s="155"/>
      <c r="G210" s="144"/>
      <c r="H210" s="144"/>
      <c r="I210" s="12"/>
      <c r="J210" s="22"/>
      <c r="K210" s="22"/>
      <c r="L210" s="22"/>
      <c r="M210" s="145"/>
      <c r="N210" s="144"/>
      <c r="O210" s="144"/>
      <c r="P210" s="152"/>
      <c r="Q210" s="22"/>
      <c r="R210" s="152"/>
      <c r="S210" s="22"/>
      <c r="T210" s="74"/>
      <c r="U210" s="45"/>
      <c r="V210" s="158"/>
      <c r="W210" s="45"/>
      <c r="X210" s="45"/>
      <c r="Y210" s="45"/>
      <c r="Z210" s="45"/>
      <c r="AA210" s="45"/>
      <c r="AB210" s="45"/>
      <c r="AC210" s="44"/>
      <c r="AD210" s="45"/>
      <c r="AE210" s="45"/>
      <c r="AF210" s="45"/>
      <c r="AG210" s="45"/>
      <c r="AH210" s="45"/>
      <c r="AI210" s="144"/>
      <c r="AJ210" s="144"/>
      <c r="AK210" s="45"/>
      <c r="AL210" s="45"/>
      <c r="AM210" s="144"/>
      <c r="AN210" s="144"/>
      <c r="AO210" s="144"/>
      <c r="AP210" s="22"/>
      <c r="AQ210" s="22"/>
      <c r="AR210" s="144"/>
      <c r="AS210" s="22"/>
      <c r="AT210" s="22"/>
      <c r="AU210" s="144"/>
      <c r="AV210" s="22"/>
      <c r="AW210" s="22"/>
      <c r="AX210" s="144"/>
      <c r="AY210" s="22"/>
      <c r="AZ210" s="22"/>
      <c r="BA210" s="144"/>
      <c r="BB210" s="22"/>
      <c r="BC210" s="22"/>
      <c r="BD210" s="144"/>
      <c r="BE210" s="144"/>
      <c r="BF210" s="22"/>
      <c r="BG210" s="144"/>
      <c r="BH210" s="144"/>
      <c r="BI210" s="144"/>
      <c r="BJ210" s="144"/>
      <c r="BK210" s="144"/>
      <c r="BL210" s="22"/>
      <c r="BM210" s="144"/>
      <c r="BN210" s="144"/>
      <c r="BO210" s="22"/>
      <c r="BP210" s="144"/>
      <c r="BQ210" s="22"/>
      <c r="BR210" s="144"/>
      <c r="BS210" s="144"/>
      <c r="BT210" s="22"/>
      <c r="BU210" s="144"/>
      <c r="BV210" s="144"/>
      <c r="BW210" s="22"/>
      <c r="BX210" s="22"/>
      <c r="BY210" s="144"/>
      <c r="BZ210" s="22"/>
      <c r="CA210" s="22"/>
      <c r="CB210" s="144"/>
      <c r="CC210" s="22"/>
      <c r="CD210" s="22"/>
      <c r="CE210" s="144"/>
      <c r="CF210" s="22"/>
      <c r="CG210" s="22"/>
      <c r="CH210" s="144"/>
      <c r="CI210" s="22"/>
      <c r="CJ210" s="22"/>
      <c r="CK210" s="144"/>
      <c r="CL210" s="22"/>
      <c r="CM210" s="22"/>
      <c r="CN210" s="144"/>
      <c r="CO210" s="22"/>
      <c r="CP210" s="22"/>
      <c r="CQ210" s="144"/>
    </row>
    <row r="211" spans="1:95" ht="15.75" customHeight="1" x14ac:dyDescent="0.45">
      <c r="A211" s="22"/>
      <c r="B211" s="22"/>
      <c r="C211" s="12"/>
      <c r="D211" s="12"/>
      <c r="E211" s="12"/>
      <c r="F211" s="155"/>
      <c r="G211" s="144"/>
      <c r="H211" s="144"/>
      <c r="I211" s="12"/>
      <c r="J211" s="22"/>
      <c r="K211" s="22"/>
      <c r="L211" s="22"/>
      <c r="M211" s="145"/>
      <c r="N211" s="144"/>
      <c r="O211" s="144"/>
      <c r="P211" s="152"/>
      <c r="Q211" s="22"/>
      <c r="R211" s="152"/>
      <c r="S211" s="22"/>
      <c r="T211" s="74"/>
      <c r="U211" s="45"/>
      <c r="V211" s="158"/>
      <c r="W211" s="45"/>
      <c r="X211" s="45"/>
      <c r="Y211" s="45"/>
      <c r="Z211" s="45"/>
      <c r="AA211" s="45"/>
      <c r="AB211" s="45"/>
      <c r="AC211" s="44"/>
      <c r="AD211" s="45"/>
      <c r="AE211" s="45"/>
      <c r="AF211" s="45"/>
      <c r="AG211" s="45"/>
      <c r="AH211" s="45"/>
      <c r="AI211" s="144"/>
      <c r="AJ211" s="144"/>
      <c r="AK211" s="45"/>
      <c r="AL211" s="45"/>
      <c r="AM211" s="144"/>
      <c r="AN211" s="144"/>
      <c r="AO211" s="144"/>
      <c r="AP211" s="22"/>
      <c r="AQ211" s="22"/>
      <c r="AR211" s="144"/>
      <c r="AS211" s="22"/>
      <c r="AT211" s="22"/>
      <c r="AU211" s="144"/>
      <c r="AV211" s="22"/>
      <c r="AW211" s="22"/>
      <c r="AX211" s="144"/>
      <c r="AY211" s="22"/>
      <c r="AZ211" s="22"/>
      <c r="BA211" s="144"/>
      <c r="BB211" s="22"/>
      <c r="BC211" s="22"/>
      <c r="BD211" s="144"/>
      <c r="BE211" s="144"/>
      <c r="BF211" s="22"/>
      <c r="BG211" s="144"/>
      <c r="BH211" s="144"/>
      <c r="BI211" s="144"/>
      <c r="BJ211" s="144"/>
      <c r="BK211" s="144"/>
      <c r="BL211" s="22"/>
      <c r="BM211" s="144"/>
      <c r="BN211" s="144"/>
      <c r="BO211" s="22"/>
      <c r="BP211" s="144"/>
      <c r="BQ211" s="22"/>
      <c r="BR211" s="144"/>
      <c r="BS211" s="144"/>
      <c r="BT211" s="22"/>
      <c r="BU211" s="144"/>
      <c r="BV211" s="144"/>
      <c r="BW211" s="22"/>
      <c r="BX211" s="22"/>
      <c r="BY211" s="144"/>
      <c r="BZ211" s="22"/>
      <c r="CA211" s="22"/>
      <c r="CB211" s="144"/>
      <c r="CC211" s="22"/>
      <c r="CD211" s="22"/>
      <c r="CE211" s="144"/>
      <c r="CF211" s="22"/>
      <c r="CG211" s="22"/>
      <c r="CH211" s="144"/>
      <c r="CI211" s="22"/>
      <c r="CJ211" s="22"/>
      <c r="CK211" s="144"/>
      <c r="CL211" s="22"/>
      <c r="CM211" s="22"/>
      <c r="CN211" s="144"/>
      <c r="CO211" s="22"/>
      <c r="CP211" s="22"/>
      <c r="CQ211" s="144"/>
    </row>
    <row r="212" spans="1:95" ht="15.75" customHeight="1" x14ac:dyDescent="0.45">
      <c r="A212" s="22"/>
      <c r="B212" s="22"/>
      <c r="C212" s="12"/>
      <c r="D212" s="12"/>
      <c r="E212" s="12"/>
      <c r="F212" s="155"/>
      <c r="G212" s="144"/>
      <c r="H212" s="144"/>
      <c r="I212" s="12"/>
      <c r="J212" s="22"/>
      <c r="K212" s="22"/>
      <c r="L212" s="22"/>
      <c r="M212" s="145"/>
      <c r="N212" s="144"/>
      <c r="O212" s="144"/>
      <c r="P212" s="152"/>
      <c r="Q212" s="22"/>
      <c r="R212" s="152"/>
      <c r="S212" s="22"/>
      <c r="T212" s="74"/>
      <c r="U212" s="45"/>
      <c r="V212" s="158"/>
      <c r="W212" s="45"/>
      <c r="X212" s="45"/>
      <c r="Y212" s="45"/>
      <c r="Z212" s="45"/>
      <c r="AA212" s="45"/>
      <c r="AB212" s="45"/>
      <c r="AC212" s="44"/>
      <c r="AD212" s="45"/>
      <c r="AE212" s="45"/>
      <c r="AF212" s="45"/>
      <c r="AG212" s="45"/>
      <c r="AH212" s="45"/>
      <c r="AI212" s="144"/>
      <c r="AJ212" s="144"/>
      <c r="AK212" s="45"/>
      <c r="AL212" s="45"/>
      <c r="AM212" s="144"/>
      <c r="AN212" s="144"/>
      <c r="AO212" s="144"/>
      <c r="AP212" s="22"/>
      <c r="AQ212" s="22"/>
      <c r="AR212" s="144"/>
      <c r="AS212" s="22"/>
      <c r="AT212" s="22"/>
      <c r="AU212" s="144"/>
      <c r="AV212" s="22"/>
      <c r="AW212" s="22"/>
      <c r="AX212" s="144"/>
      <c r="AY212" s="22"/>
      <c r="AZ212" s="22"/>
      <c r="BA212" s="144"/>
      <c r="BB212" s="22"/>
      <c r="BC212" s="22"/>
      <c r="BD212" s="144"/>
      <c r="BE212" s="144"/>
      <c r="BF212" s="22"/>
      <c r="BG212" s="144"/>
      <c r="BH212" s="144"/>
      <c r="BI212" s="144"/>
      <c r="BJ212" s="144"/>
      <c r="BK212" s="144"/>
      <c r="BL212" s="22"/>
      <c r="BM212" s="144"/>
      <c r="BN212" s="144"/>
      <c r="BO212" s="22"/>
      <c r="BP212" s="144"/>
      <c r="BQ212" s="22"/>
      <c r="BR212" s="144"/>
      <c r="BS212" s="144"/>
      <c r="BT212" s="22"/>
      <c r="BU212" s="144"/>
      <c r="BV212" s="144"/>
      <c r="BW212" s="22"/>
      <c r="BX212" s="22"/>
      <c r="BY212" s="144"/>
      <c r="BZ212" s="22"/>
      <c r="CA212" s="22"/>
      <c r="CB212" s="144"/>
      <c r="CC212" s="22"/>
      <c r="CD212" s="22"/>
      <c r="CE212" s="144"/>
      <c r="CF212" s="22"/>
      <c r="CG212" s="22"/>
      <c r="CH212" s="144"/>
      <c r="CI212" s="22"/>
      <c r="CJ212" s="22"/>
      <c r="CK212" s="144"/>
      <c r="CL212" s="22"/>
      <c r="CM212" s="22"/>
      <c r="CN212" s="144"/>
      <c r="CO212" s="22"/>
      <c r="CP212" s="22"/>
      <c r="CQ212" s="144"/>
    </row>
    <row r="213" spans="1:95" ht="15.75" customHeight="1" x14ac:dyDescent="0.45">
      <c r="A213" s="22"/>
      <c r="B213" s="22"/>
      <c r="C213" s="12"/>
      <c r="D213" s="12"/>
      <c r="E213" s="12"/>
      <c r="F213" s="155"/>
      <c r="G213" s="144"/>
      <c r="H213" s="144"/>
      <c r="I213" s="12"/>
      <c r="J213" s="22"/>
      <c r="K213" s="22"/>
      <c r="L213" s="22"/>
      <c r="M213" s="145"/>
      <c r="N213" s="144"/>
      <c r="O213" s="144"/>
      <c r="P213" s="152"/>
      <c r="Q213" s="22"/>
      <c r="R213" s="152"/>
      <c r="S213" s="22"/>
      <c r="T213" s="74"/>
      <c r="U213" s="45"/>
      <c r="V213" s="158"/>
      <c r="W213" s="45"/>
      <c r="X213" s="45"/>
      <c r="Y213" s="45"/>
      <c r="Z213" s="45"/>
      <c r="AA213" s="45"/>
      <c r="AB213" s="45"/>
      <c r="AC213" s="44"/>
      <c r="AD213" s="45"/>
      <c r="AE213" s="45"/>
      <c r="AF213" s="45"/>
      <c r="AG213" s="45"/>
      <c r="AH213" s="45"/>
      <c r="AI213" s="144"/>
      <c r="AJ213" s="144"/>
      <c r="AK213" s="45"/>
      <c r="AL213" s="45"/>
      <c r="AM213" s="144"/>
      <c r="AN213" s="144"/>
      <c r="AO213" s="144"/>
      <c r="AP213" s="22"/>
      <c r="AQ213" s="22"/>
      <c r="AR213" s="144"/>
      <c r="AS213" s="22"/>
      <c r="AT213" s="22"/>
      <c r="AU213" s="144"/>
      <c r="AV213" s="22"/>
      <c r="AW213" s="22"/>
      <c r="AX213" s="144"/>
      <c r="AY213" s="22"/>
      <c r="AZ213" s="22"/>
      <c r="BA213" s="144"/>
      <c r="BB213" s="22"/>
      <c r="BC213" s="22"/>
      <c r="BD213" s="144"/>
      <c r="BE213" s="144"/>
      <c r="BF213" s="22"/>
      <c r="BG213" s="144"/>
      <c r="BH213" s="144"/>
      <c r="BI213" s="144"/>
      <c r="BJ213" s="144"/>
      <c r="BK213" s="144"/>
      <c r="BL213" s="22"/>
      <c r="BM213" s="144"/>
      <c r="BN213" s="144"/>
      <c r="BO213" s="22"/>
      <c r="BP213" s="144"/>
      <c r="BQ213" s="22"/>
      <c r="BR213" s="144"/>
      <c r="BS213" s="144"/>
      <c r="BT213" s="22"/>
      <c r="BU213" s="144"/>
      <c r="BV213" s="144"/>
      <c r="BW213" s="22"/>
      <c r="BX213" s="22"/>
      <c r="BY213" s="144"/>
      <c r="BZ213" s="22"/>
      <c r="CA213" s="22"/>
      <c r="CB213" s="144"/>
      <c r="CC213" s="22"/>
      <c r="CD213" s="22"/>
      <c r="CE213" s="144"/>
      <c r="CF213" s="22"/>
      <c r="CG213" s="22"/>
      <c r="CH213" s="144"/>
      <c r="CI213" s="22"/>
      <c r="CJ213" s="22"/>
      <c r="CK213" s="144"/>
      <c r="CL213" s="22"/>
      <c r="CM213" s="22"/>
      <c r="CN213" s="144"/>
      <c r="CO213" s="22"/>
      <c r="CP213" s="22"/>
      <c r="CQ213" s="144"/>
    </row>
    <row r="214" spans="1:95" ht="15.75" customHeight="1" x14ac:dyDescent="0.45">
      <c r="A214" s="22"/>
      <c r="B214" s="22"/>
      <c r="C214" s="12"/>
      <c r="D214" s="12"/>
      <c r="E214" s="12"/>
      <c r="F214" s="155"/>
      <c r="G214" s="144"/>
      <c r="H214" s="144"/>
      <c r="I214" s="12"/>
      <c r="J214" s="22"/>
      <c r="K214" s="22"/>
      <c r="L214" s="22"/>
      <c r="M214" s="145"/>
      <c r="N214" s="144"/>
      <c r="O214" s="144"/>
      <c r="P214" s="152"/>
      <c r="Q214" s="22"/>
      <c r="R214" s="152"/>
      <c r="S214" s="22"/>
      <c r="T214" s="74"/>
      <c r="U214" s="45"/>
      <c r="V214" s="158"/>
      <c r="W214" s="45"/>
      <c r="X214" s="45"/>
      <c r="Y214" s="45"/>
      <c r="Z214" s="45"/>
      <c r="AA214" s="45"/>
      <c r="AB214" s="45"/>
      <c r="AC214" s="44"/>
      <c r="AD214" s="45"/>
      <c r="AE214" s="45"/>
      <c r="AF214" s="45"/>
      <c r="AG214" s="45"/>
      <c r="AH214" s="45"/>
      <c r="AI214" s="144"/>
      <c r="AJ214" s="144"/>
      <c r="AK214" s="45"/>
      <c r="AL214" s="45"/>
      <c r="AM214" s="144"/>
      <c r="AN214" s="144"/>
      <c r="AO214" s="144"/>
      <c r="AP214" s="22"/>
      <c r="AQ214" s="22"/>
      <c r="AR214" s="144"/>
      <c r="AS214" s="22"/>
      <c r="AT214" s="22"/>
      <c r="AU214" s="144"/>
      <c r="AV214" s="22"/>
      <c r="AW214" s="22"/>
      <c r="AX214" s="144"/>
      <c r="AY214" s="22"/>
      <c r="AZ214" s="22"/>
      <c r="BA214" s="144"/>
      <c r="BB214" s="22"/>
      <c r="BC214" s="22"/>
      <c r="BD214" s="144"/>
      <c r="BE214" s="144"/>
      <c r="BF214" s="22"/>
      <c r="BG214" s="144"/>
      <c r="BH214" s="144"/>
      <c r="BI214" s="144"/>
      <c r="BJ214" s="144"/>
      <c r="BK214" s="144"/>
      <c r="BL214" s="22"/>
      <c r="BM214" s="144"/>
      <c r="BN214" s="144"/>
      <c r="BO214" s="22"/>
      <c r="BP214" s="144"/>
      <c r="BQ214" s="22"/>
      <c r="BR214" s="144"/>
      <c r="BS214" s="144"/>
      <c r="BT214" s="22"/>
      <c r="BU214" s="144"/>
      <c r="BV214" s="144"/>
      <c r="BW214" s="22"/>
      <c r="BX214" s="22"/>
      <c r="BY214" s="144"/>
      <c r="BZ214" s="22"/>
      <c r="CA214" s="22"/>
      <c r="CB214" s="144"/>
      <c r="CC214" s="22"/>
      <c r="CD214" s="22"/>
      <c r="CE214" s="144"/>
      <c r="CF214" s="22"/>
      <c r="CG214" s="22"/>
      <c r="CH214" s="144"/>
      <c r="CI214" s="22"/>
      <c r="CJ214" s="22"/>
      <c r="CK214" s="144"/>
      <c r="CL214" s="22"/>
      <c r="CM214" s="22"/>
      <c r="CN214" s="144"/>
      <c r="CO214" s="22"/>
      <c r="CP214" s="22"/>
      <c r="CQ214" s="144"/>
    </row>
    <row r="215" spans="1:95" ht="15.75" customHeight="1" x14ac:dyDescent="0.45">
      <c r="A215" s="22"/>
      <c r="B215" s="22"/>
      <c r="C215" s="12"/>
      <c r="D215" s="12"/>
      <c r="E215" s="12"/>
      <c r="F215" s="155"/>
      <c r="G215" s="144"/>
      <c r="H215" s="144"/>
      <c r="I215" s="12"/>
      <c r="J215" s="22"/>
      <c r="K215" s="22"/>
      <c r="L215" s="22"/>
      <c r="M215" s="145"/>
      <c r="N215" s="144"/>
      <c r="O215" s="144"/>
      <c r="P215" s="152"/>
      <c r="Q215" s="22"/>
      <c r="R215" s="152"/>
      <c r="S215" s="22"/>
      <c r="T215" s="74"/>
      <c r="U215" s="45"/>
      <c r="V215" s="158"/>
      <c r="W215" s="45"/>
      <c r="X215" s="45"/>
      <c r="Y215" s="45"/>
      <c r="Z215" s="45"/>
      <c r="AA215" s="45"/>
      <c r="AB215" s="45"/>
      <c r="AC215" s="44"/>
      <c r="AD215" s="45"/>
      <c r="AE215" s="45"/>
      <c r="AF215" s="45"/>
      <c r="AG215" s="45"/>
      <c r="AH215" s="45"/>
      <c r="AI215" s="144"/>
      <c r="AJ215" s="144"/>
      <c r="AK215" s="45"/>
      <c r="AL215" s="45"/>
      <c r="AM215" s="144"/>
      <c r="AN215" s="144"/>
      <c r="AO215" s="144"/>
      <c r="AP215" s="22"/>
      <c r="AQ215" s="22"/>
      <c r="AR215" s="144"/>
      <c r="AS215" s="22"/>
      <c r="AT215" s="22"/>
      <c r="AU215" s="144"/>
      <c r="AV215" s="22"/>
      <c r="AW215" s="22"/>
      <c r="AX215" s="144"/>
      <c r="AY215" s="22"/>
      <c r="AZ215" s="22"/>
      <c r="BA215" s="144"/>
      <c r="BB215" s="22"/>
      <c r="BC215" s="22"/>
      <c r="BD215" s="144"/>
      <c r="BE215" s="144"/>
      <c r="BF215" s="22"/>
      <c r="BG215" s="144"/>
      <c r="BH215" s="144"/>
      <c r="BI215" s="144"/>
      <c r="BJ215" s="144"/>
      <c r="BK215" s="144"/>
      <c r="BL215" s="22"/>
      <c r="BM215" s="144"/>
      <c r="BN215" s="144"/>
      <c r="BO215" s="22"/>
      <c r="BP215" s="144"/>
      <c r="BQ215" s="22"/>
      <c r="BR215" s="144"/>
      <c r="BS215" s="144"/>
      <c r="BT215" s="22"/>
      <c r="BU215" s="144"/>
      <c r="BV215" s="144"/>
      <c r="BW215" s="22"/>
      <c r="BX215" s="22"/>
      <c r="BY215" s="144"/>
      <c r="BZ215" s="22"/>
      <c r="CA215" s="22"/>
      <c r="CB215" s="144"/>
      <c r="CC215" s="22"/>
      <c r="CD215" s="22"/>
      <c r="CE215" s="144"/>
      <c r="CF215" s="22"/>
      <c r="CG215" s="22"/>
      <c r="CH215" s="144"/>
      <c r="CI215" s="22"/>
      <c r="CJ215" s="22"/>
      <c r="CK215" s="144"/>
      <c r="CL215" s="22"/>
      <c r="CM215" s="22"/>
      <c r="CN215" s="144"/>
      <c r="CO215" s="22"/>
      <c r="CP215" s="22"/>
      <c r="CQ215" s="144"/>
    </row>
    <row r="216" spans="1:95" ht="15.75" customHeight="1" x14ac:dyDescent="0.45">
      <c r="A216" s="22"/>
      <c r="B216" s="22"/>
      <c r="C216" s="12"/>
      <c r="D216" s="12"/>
      <c r="E216" s="12"/>
      <c r="F216" s="155"/>
      <c r="G216" s="144"/>
      <c r="H216" s="144"/>
      <c r="I216" s="12"/>
      <c r="J216" s="22"/>
      <c r="K216" s="22"/>
      <c r="L216" s="22"/>
      <c r="M216" s="145"/>
      <c r="N216" s="144"/>
      <c r="O216" s="144"/>
      <c r="P216" s="152"/>
      <c r="Q216" s="22"/>
      <c r="R216" s="152"/>
      <c r="S216" s="22"/>
      <c r="T216" s="74"/>
      <c r="U216" s="45"/>
      <c r="V216" s="158"/>
      <c r="W216" s="45"/>
      <c r="X216" s="45"/>
      <c r="Y216" s="45"/>
      <c r="Z216" s="45"/>
      <c r="AA216" s="45"/>
      <c r="AB216" s="45"/>
      <c r="AC216" s="44"/>
      <c r="AD216" s="45"/>
      <c r="AE216" s="45"/>
      <c r="AF216" s="45"/>
      <c r="AG216" s="45"/>
      <c r="AH216" s="45"/>
      <c r="AI216" s="144"/>
      <c r="AJ216" s="144"/>
      <c r="AK216" s="45"/>
      <c r="AL216" s="45"/>
      <c r="AM216" s="144"/>
      <c r="AN216" s="144"/>
      <c r="AO216" s="144"/>
      <c r="AP216" s="22"/>
      <c r="AQ216" s="22"/>
      <c r="AR216" s="144"/>
      <c r="AS216" s="22"/>
      <c r="AT216" s="22"/>
      <c r="AU216" s="144"/>
      <c r="AV216" s="22"/>
      <c r="AW216" s="22"/>
      <c r="AX216" s="144"/>
      <c r="AY216" s="22"/>
      <c r="AZ216" s="22"/>
      <c r="BA216" s="144"/>
      <c r="BB216" s="22"/>
      <c r="BC216" s="22"/>
      <c r="BD216" s="144"/>
      <c r="BE216" s="144"/>
      <c r="BF216" s="22"/>
      <c r="BG216" s="144"/>
      <c r="BH216" s="144"/>
      <c r="BI216" s="144"/>
      <c r="BJ216" s="144"/>
      <c r="BK216" s="144"/>
      <c r="BL216" s="22"/>
      <c r="BM216" s="144"/>
      <c r="BN216" s="144"/>
      <c r="BO216" s="22"/>
      <c r="BP216" s="144"/>
      <c r="BQ216" s="22"/>
      <c r="BR216" s="144"/>
      <c r="BS216" s="144"/>
      <c r="BT216" s="22"/>
      <c r="BU216" s="144"/>
      <c r="BV216" s="144"/>
      <c r="BW216" s="22"/>
      <c r="BX216" s="22"/>
      <c r="BY216" s="144"/>
      <c r="BZ216" s="22"/>
      <c r="CA216" s="22"/>
      <c r="CB216" s="144"/>
      <c r="CC216" s="22"/>
      <c r="CD216" s="22"/>
      <c r="CE216" s="144"/>
      <c r="CF216" s="22"/>
      <c r="CG216" s="22"/>
      <c r="CH216" s="144"/>
      <c r="CI216" s="22"/>
      <c r="CJ216" s="22"/>
      <c r="CK216" s="144"/>
      <c r="CL216" s="22"/>
      <c r="CM216" s="22"/>
      <c r="CN216" s="144"/>
      <c r="CO216" s="22"/>
      <c r="CP216" s="22"/>
      <c r="CQ216" s="144"/>
    </row>
    <row r="217" spans="1:95" ht="15.75" customHeight="1" x14ac:dyDescent="0.45">
      <c r="A217" s="22"/>
      <c r="B217" s="22"/>
      <c r="C217" s="12"/>
      <c r="D217" s="12"/>
      <c r="E217" s="12"/>
      <c r="F217" s="155"/>
      <c r="G217" s="144"/>
      <c r="H217" s="144"/>
      <c r="I217" s="12"/>
      <c r="J217" s="22"/>
      <c r="K217" s="22"/>
      <c r="L217" s="22"/>
      <c r="M217" s="145"/>
      <c r="N217" s="144"/>
      <c r="O217" s="144"/>
      <c r="P217" s="152"/>
      <c r="Q217" s="22"/>
      <c r="R217" s="152"/>
      <c r="S217" s="22"/>
      <c r="T217" s="74"/>
      <c r="U217" s="45"/>
      <c r="V217" s="158"/>
      <c r="W217" s="45"/>
      <c r="X217" s="45"/>
      <c r="Y217" s="45"/>
      <c r="Z217" s="45"/>
      <c r="AA217" s="45"/>
      <c r="AB217" s="45"/>
      <c r="AC217" s="44"/>
      <c r="AD217" s="45"/>
      <c r="AE217" s="45"/>
      <c r="AF217" s="45"/>
      <c r="AG217" s="45"/>
      <c r="AH217" s="45"/>
      <c r="AI217" s="144"/>
      <c r="AJ217" s="144"/>
      <c r="AK217" s="45"/>
      <c r="AL217" s="45"/>
      <c r="AM217" s="144"/>
      <c r="AN217" s="144"/>
      <c r="AO217" s="144"/>
      <c r="AP217" s="22"/>
      <c r="AQ217" s="22"/>
      <c r="AR217" s="144"/>
      <c r="AS217" s="22"/>
      <c r="AT217" s="22"/>
      <c r="AU217" s="144"/>
      <c r="AV217" s="22"/>
      <c r="AW217" s="22"/>
      <c r="AX217" s="144"/>
      <c r="AY217" s="22"/>
      <c r="AZ217" s="22"/>
      <c r="BA217" s="144"/>
      <c r="BB217" s="22"/>
      <c r="BC217" s="22"/>
      <c r="BD217" s="144"/>
      <c r="BE217" s="144"/>
      <c r="BF217" s="22"/>
      <c r="BG217" s="144"/>
      <c r="BH217" s="144"/>
      <c r="BI217" s="144"/>
      <c r="BJ217" s="144"/>
      <c r="BK217" s="144"/>
      <c r="BL217" s="22"/>
      <c r="BM217" s="144"/>
      <c r="BN217" s="144"/>
      <c r="BO217" s="22"/>
      <c r="BP217" s="144"/>
      <c r="BQ217" s="22"/>
      <c r="BR217" s="144"/>
      <c r="BS217" s="144"/>
      <c r="BT217" s="22"/>
      <c r="BU217" s="144"/>
      <c r="BV217" s="144"/>
      <c r="BW217" s="22"/>
      <c r="BX217" s="22"/>
      <c r="BY217" s="144"/>
      <c r="BZ217" s="22"/>
      <c r="CA217" s="22"/>
      <c r="CB217" s="144"/>
      <c r="CC217" s="22"/>
      <c r="CD217" s="22"/>
      <c r="CE217" s="144"/>
      <c r="CF217" s="22"/>
      <c r="CG217" s="22"/>
      <c r="CH217" s="144"/>
      <c r="CI217" s="22"/>
      <c r="CJ217" s="22"/>
      <c r="CK217" s="144"/>
      <c r="CL217" s="22"/>
      <c r="CM217" s="22"/>
      <c r="CN217" s="144"/>
      <c r="CO217" s="22"/>
      <c r="CP217" s="22"/>
      <c r="CQ217" s="144"/>
    </row>
    <row r="218" spans="1:95" ht="15.75" customHeight="1" x14ac:dyDescent="0.45">
      <c r="A218" s="22"/>
      <c r="B218" s="22"/>
      <c r="C218" s="12"/>
      <c r="D218" s="12"/>
      <c r="E218" s="12"/>
      <c r="F218" s="155"/>
      <c r="G218" s="144"/>
      <c r="H218" s="144"/>
      <c r="I218" s="12"/>
      <c r="J218" s="22"/>
      <c r="K218" s="22"/>
      <c r="L218" s="22"/>
      <c r="M218" s="145"/>
      <c r="N218" s="144"/>
      <c r="O218" s="144"/>
      <c r="P218" s="152"/>
      <c r="Q218" s="22"/>
      <c r="R218" s="152"/>
      <c r="S218" s="22"/>
      <c r="T218" s="74"/>
      <c r="U218" s="45"/>
      <c r="V218" s="158"/>
      <c r="W218" s="45"/>
      <c r="X218" s="45"/>
      <c r="Y218" s="45"/>
      <c r="Z218" s="45"/>
      <c r="AA218" s="45"/>
      <c r="AB218" s="45"/>
      <c r="AC218" s="44"/>
      <c r="AD218" s="45"/>
      <c r="AE218" s="45"/>
      <c r="AF218" s="45"/>
      <c r="AG218" s="45"/>
      <c r="AH218" s="45"/>
      <c r="AI218" s="144"/>
      <c r="AJ218" s="144"/>
      <c r="AK218" s="45"/>
      <c r="AL218" s="45"/>
      <c r="AM218" s="144"/>
      <c r="AN218" s="144"/>
      <c r="AO218" s="144"/>
      <c r="AP218" s="22"/>
      <c r="AQ218" s="22"/>
      <c r="AR218" s="144"/>
      <c r="AS218" s="22"/>
      <c r="AT218" s="22"/>
      <c r="AU218" s="144"/>
      <c r="AV218" s="22"/>
      <c r="AW218" s="22"/>
      <c r="AX218" s="144"/>
      <c r="AY218" s="22"/>
      <c r="AZ218" s="22"/>
      <c r="BA218" s="144"/>
      <c r="BB218" s="22"/>
      <c r="BC218" s="22"/>
      <c r="BD218" s="144"/>
      <c r="BE218" s="144"/>
      <c r="BF218" s="22"/>
      <c r="BG218" s="144"/>
      <c r="BH218" s="144"/>
      <c r="BI218" s="144"/>
      <c r="BJ218" s="144"/>
      <c r="BK218" s="144"/>
      <c r="BL218" s="22"/>
      <c r="BM218" s="144"/>
      <c r="BN218" s="144"/>
      <c r="BO218" s="22"/>
      <c r="BP218" s="144"/>
      <c r="BQ218" s="22"/>
      <c r="BR218" s="144"/>
      <c r="BS218" s="144"/>
      <c r="BT218" s="22"/>
      <c r="BU218" s="144"/>
      <c r="BV218" s="144"/>
      <c r="BW218" s="22"/>
      <c r="BX218" s="22"/>
      <c r="BY218" s="144"/>
      <c r="BZ218" s="22"/>
      <c r="CA218" s="22"/>
      <c r="CB218" s="144"/>
      <c r="CC218" s="22"/>
      <c r="CD218" s="22"/>
      <c r="CE218" s="144"/>
      <c r="CF218" s="22"/>
      <c r="CG218" s="22"/>
      <c r="CH218" s="144"/>
      <c r="CI218" s="22"/>
      <c r="CJ218" s="22"/>
      <c r="CK218" s="144"/>
      <c r="CL218" s="22"/>
      <c r="CM218" s="22"/>
      <c r="CN218" s="144"/>
      <c r="CO218" s="22"/>
      <c r="CP218" s="22"/>
      <c r="CQ218" s="144"/>
    </row>
    <row r="219" spans="1:95" ht="15.75" customHeight="1" x14ac:dyDescent="0.45">
      <c r="A219" s="22"/>
      <c r="B219" s="22"/>
      <c r="C219" s="12"/>
      <c r="D219" s="12"/>
      <c r="E219" s="12"/>
      <c r="F219" s="155"/>
      <c r="G219" s="144"/>
      <c r="H219" s="144"/>
      <c r="I219" s="12"/>
      <c r="J219" s="22"/>
      <c r="K219" s="22"/>
      <c r="L219" s="22"/>
      <c r="M219" s="145"/>
      <c r="N219" s="144"/>
      <c r="O219" s="144"/>
      <c r="P219" s="152"/>
      <c r="Q219" s="22"/>
      <c r="R219" s="152"/>
      <c r="S219" s="22"/>
      <c r="T219" s="74"/>
      <c r="U219" s="45"/>
      <c r="V219" s="158"/>
      <c r="W219" s="45"/>
      <c r="X219" s="45"/>
      <c r="Y219" s="45"/>
      <c r="Z219" s="45"/>
      <c r="AA219" s="45"/>
      <c r="AB219" s="45"/>
      <c r="AC219" s="44"/>
      <c r="AD219" s="45"/>
      <c r="AE219" s="45"/>
      <c r="AF219" s="45"/>
      <c r="AG219" s="45"/>
      <c r="AH219" s="45"/>
      <c r="AI219" s="144"/>
      <c r="AJ219" s="144"/>
      <c r="AK219" s="45"/>
      <c r="AL219" s="45"/>
      <c r="AM219" s="144"/>
      <c r="AN219" s="144"/>
      <c r="AO219" s="144"/>
      <c r="AP219" s="22"/>
      <c r="AQ219" s="22"/>
      <c r="AR219" s="144"/>
      <c r="AS219" s="22"/>
      <c r="AT219" s="22"/>
      <c r="AU219" s="144"/>
      <c r="AV219" s="22"/>
      <c r="AW219" s="22"/>
      <c r="AX219" s="144"/>
      <c r="AY219" s="22"/>
      <c r="AZ219" s="22"/>
      <c r="BA219" s="144"/>
      <c r="BB219" s="22"/>
      <c r="BC219" s="22"/>
      <c r="BD219" s="144"/>
      <c r="BE219" s="144"/>
      <c r="BF219" s="22"/>
      <c r="BG219" s="144"/>
      <c r="BH219" s="144"/>
      <c r="BI219" s="144"/>
      <c r="BJ219" s="144"/>
      <c r="BK219" s="144"/>
      <c r="BL219" s="22"/>
      <c r="BM219" s="144"/>
      <c r="BN219" s="144"/>
      <c r="BO219" s="22"/>
      <c r="BP219" s="144"/>
      <c r="BQ219" s="22"/>
      <c r="BR219" s="144"/>
      <c r="BS219" s="144"/>
      <c r="BT219" s="22"/>
      <c r="BU219" s="144"/>
      <c r="BV219" s="144"/>
      <c r="BW219" s="22"/>
      <c r="BX219" s="22"/>
      <c r="BY219" s="144"/>
      <c r="BZ219" s="22"/>
      <c r="CA219" s="22"/>
      <c r="CB219" s="144"/>
      <c r="CC219" s="22"/>
      <c r="CD219" s="22"/>
      <c r="CE219" s="144"/>
      <c r="CF219" s="22"/>
      <c r="CG219" s="22"/>
      <c r="CH219" s="144"/>
      <c r="CI219" s="22"/>
      <c r="CJ219" s="22"/>
      <c r="CK219" s="144"/>
      <c r="CL219" s="22"/>
      <c r="CM219" s="22"/>
      <c r="CN219" s="144"/>
      <c r="CO219" s="22"/>
      <c r="CP219" s="22"/>
      <c r="CQ219" s="144"/>
    </row>
    <row r="220" spans="1:95" ht="15.75" customHeight="1" x14ac:dyDescent="0.45">
      <c r="A220" s="22"/>
      <c r="B220" s="22"/>
      <c r="C220" s="12"/>
      <c r="D220" s="12"/>
      <c r="E220" s="12"/>
      <c r="F220" s="155"/>
      <c r="G220" s="144"/>
      <c r="H220" s="144"/>
      <c r="I220" s="12"/>
      <c r="J220" s="22"/>
      <c r="K220" s="22"/>
      <c r="L220" s="22"/>
      <c r="M220" s="145"/>
      <c r="N220" s="144"/>
      <c r="O220" s="144"/>
      <c r="P220" s="152"/>
      <c r="Q220" s="22"/>
      <c r="R220" s="152"/>
      <c r="S220" s="22"/>
      <c r="T220" s="74"/>
      <c r="U220" s="45"/>
      <c r="V220" s="158"/>
      <c r="W220" s="45"/>
      <c r="X220" s="45"/>
      <c r="Y220" s="45"/>
      <c r="Z220" s="45"/>
      <c r="AA220" s="45"/>
      <c r="AB220" s="45"/>
      <c r="AC220" s="44"/>
      <c r="AD220" s="45"/>
      <c r="AE220" s="45"/>
      <c r="AF220" s="45"/>
      <c r="AG220" s="45"/>
      <c r="AH220" s="45"/>
      <c r="AI220" s="144"/>
      <c r="AJ220" s="144"/>
      <c r="AK220" s="45"/>
      <c r="AL220" s="45"/>
      <c r="AM220" s="144"/>
      <c r="AN220" s="144"/>
      <c r="AO220" s="144"/>
      <c r="AP220" s="22"/>
      <c r="AQ220" s="22"/>
      <c r="AR220" s="144"/>
      <c r="AS220" s="22"/>
      <c r="AT220" s="22"/>
      <c r="AU220" s="144"/>
      <c r="AV220" s="22"/>
      <c r="AW220" s="22"/>
      <c r="AX220" s="144"/>
      <c r="AY220" s="22"/>
      <c r="AZ220" s="22"/>
      <c r="BA220" s="144"/>
      <c r="BB220" s="22"/>
      <c r="BC220" s="22"/>
      <c r="BD220" s="144"/>
      <c r="BE220" s="144"/>
      <c r="BF220" s="22"/>
      <c r="BG220" s="144"/>
      <c r="BH220" s="144"/>
      <c r="BI220" s="144"/>
      <c r="BJ220" s="144"/>
      <c r="BK220" s="144"/>
      <c r="BL220" s="22"/>
      <c r="BM220" s="144"/>
      <c r="BN220" s="144"/>
      <c r="BO220" s="22"/>
      <c r="BP220" s="144"/>
      <c r="BQ220" s="22"/>
      <c r="BR220" s="144"/>
      <c r="BS220" s="144"/>
      <c r="BT220" s="22"/>
      <c r="BU220" s="144"/>
      <c r="BV220" s="144"/>
      <c r="BW220" s="22"/>
      <c r="BX220" s="22"/>
      <c r="BY220" s="144"/>
      <c r="BZ220" s="22"/>
      <c r="CA220" s="22"/>
      <c r="CB220" s="144"/>
      <c r="CC220" s="22"/>
      <c r="CD220" s="22"/>
      <c r="CE220" s="144"/>
      <c r="CF220" s="22"/>
      <c r="CG220" s="22"/>
      <c r="CH220" s="144"/>
      <c r="CI220" s="22"/>
      <c r="CJ220" s="22"/>
      <c r="CK220" s="144"/>
      <c r="CL220" s="22"/>
      <c r="CM220" s="22"/>
      <c r="CN220" s="144"/>
      <c r="CO220" s="22"/>
      <c r="CP220" s="22"/>
      <c r="CQ220" s="144"/>
    </row>
    <row r="221" spans="1:95" ht="15.75" customHeight="1" x14ac:dyDescent="0.45">
      <c r="A221" s="22"/>
      <c r="B221" s="22"/>
      <c r="C221" s="12"/>
      <c r="D221" s="12"/>
      <c r="E221" s="12"/>
      <c r="F221" s="155"/>
      <c r="G221" s="144"/>
      <c r="H221" s="144"/>
      <c r="I221" s="12"/>
      <c r="J221" s="22"/>
      <c r="K221" s="22"/>
      <c r="L221" s="22"/>
      <c r="M221" s="145"/>
      <c r="N221" s="144"/>
      <c r="O221" s="144"/>
      <c r="P221" s="152"/>
      <c r="Q221" s="22"/>
      <c r="R221" s="152"/>
      <c r="S221" s="22"/>
      <c r="T221" s="74"/>
      <c r="U221" s="45"/>
      <c r="V221" s="158"/>
      <c r="W221" s="45"/>
      <c r="X221" s="45"/>
      <c r="Y221" s="45"/>
      <c r="Z221" s="45"/>
      <c r="AA221" s="45"/>
      <c r="AB221" s="45"/>
      <c r="AC221" s="44"/>
      <c r="AD221" s="45"/>
      <c r="AE221" s="45"/>
      <c r="AF221" s="45"/>
      <c r="AG221" s="45"/>
      <c r="AH221" s="45"/>
      <c r="AI221" s="144"/>
      <c r="AJ221" s="144"/>
      <c r="AK221" s="45"/>
      <c r="AL221" s="45"/>
      <c r="AM221" s="144"/>
      <c r="AN221" s="144"/>
      <c r="AO221" s="144"/>
      <c r="AP221" s="22"/>
      <c r="AQ221" s="22"/>
      <c r="AR221" s="144"/>
      <c r="AS221" s="22"/>
      <c r="AT221" s="22"/>
      <c r="AU221" s="144"/>
      <c r="AV221" s="22"/>
      <c r="AW221" s="22"/>
      <c r="AX221" s="144"/>
      <c r="AY221" s="22"/>
      <c r="AZ221" s="22"/>
      <c r="BA221" s="144"/>
      <c r="BB221" s="22"/>
      <c r="BC221" s="22"/>
      <c r="BD221" s="144"/>
      <c r="BE221" s="144"/>
      <c r="BF221" s="22"/>
      <c r="BG221" s="144"/>
      <c r="BH221" s="144"/>
      <c r="BI221" s="144"/>
      <c r="BJ221" s="144"/>
      <c r="BK221" s="144"/>
      <c r="BL221" s="22"/>
      <c r="BM221" s="144"/>
      <c r="BN221" s="144"/>
      <c r="BO221" s="22"/>
      <c r="BP221" s="144"/>
      <c r="BQ221" s="22"/>
      <c r="BR221" s="144"/>
      <c r="BS221" s="144"/>
      <c r="BT221" s="22"/>
      <c r="BU221" s="144"/>
      <c r="BV221" s="144"/>
      <c r="BW221" s="22"/>
      <c r="BX221" s="22"/>
      <c r="BY221" s="144"/>
      <c r="BZ221" s="22"/>
      <c r="CA221" s="22"/>
      <c r="CB221" s="144"/>
      <c r="CC221" s="22"/>
      <c r="CD221" s="22"/>
      <c r="CE221" s="144"/>
      <c r="CF221" s="22"/>
      <c r="CG221" s="22"/>
      <c r="CH221" s="144"/>
      <c r="CI221" s="22"/>
      <c r="CJ221" s="22"/>
      <c r="CK221" s="144"/>
      <c r="CL221" s="22"/>
      <c r="CM221" s="22"/>
      <c r="CN221" s="144"/>
      <c r="CO221" s="22"/>
      <c r="CP221" s="22"/>
      <c r="CQ221" s="144"/>
    </row>
    <row r="222" spans="1:95" ht="15.75" customHeight="1" x14ac:dyDescent="0.45">
      <c r="A222" s="22"/>
      <c r="B222" s="22"/>
      <c r="C222" s="12"/>
      <c r="D222" s="12"/>
      <c r="E222" s="12"/>
      <c r="F222" s="155"/>
      <c r="G222" s="144"/>
      <c r="H222" s="144"/>
      <c r="I222" s="12"/>
      <c r="J222" s="22"/>
      <c r="K222" s="22"/>
      <c r="L222" s="22"/>
      <c r="M222" s="145"/>
      <c r="N222" s="144"/>
      <c r="O222" s="144"/>
      <c r="P222" s="152"/>
      <c r="Q222" s="22"/>
      <c r="R222" s="152"/>
      <c r="S222" s="22"/>
      <c r="T222" s="74"/>
      <c r="U222" s="45"/>
      <c r="V222" s="158"/>
      <c r="W222" s="45"/>
      <c r="X222" s="45"/>
      <c r="Y222" s="45"/>
      <c r="Z222" s="45"/>
      <c r="AA222" s="45"/>
      <c r="AB222" s="45"/>
      <c r="AC222" s="44"/>
      <c r="AD222" s="45"/>
      <c r="AE222" s="45"/>
      <c r="AF222" s="45"/>
      <c r="AG222" s="45"/>
      <c r="AH222" s="45"/>
      <c r="AI222" s="144"/>
      <c r="AJ222" s="144"/>
      <c r="AK222" s="45"/>
      <c r="AL222" s="45"/>
      <c r="AM222" s="144"/>
      <c r="AN222" s="144"/>
      <c r="AO222" s="144"/>
      <c r="AP222" s="22"/>
      <c r="AQ222" s="22"/>
      <c r="AR222" s="144"/>
      <c r="AS222" s="22"/>
      <c r="AT222" s="22"/>
      <c r="AU222" s="144"/>
      <c r="AV222" s="22"/>
      <c r="AW222" s="22"/>
      <c r="AX222" s="144"/>
      <c r="AY222" s="22"/>
      <c r="AZ222" s="22"/>
      <c r="BA222" s="144"/>
      <c r="BB222" s="22"/>
      <c r="BC222" s="22"/>
      <c r="BD222" s="144"/>
      <c r="BE222" s="144"/>
      <c r="BF222" s="22"/>
      <c r="BG222" s="144"/>
      <c r="BH222" s="144"/>
      <c r="BI222" s="144"/>
      <c r="BJ222" s="144"/>
      <c r="BK222" s="144"/>
      <c r="BL222" s="22"/>
      <c r="BM222" s="144"/>
      <c r="BN222" s="144"/>
      <c r="BO222" s="22"/>
      <c r="BP222" s="144"/>
      <c r="BQ222" s="22"/>
      <c r="BR222" s="144"/>
      <c r="BS222" s="144"/>
      <c r="BT222" s="22"/>
      <c r="BU222" s="144"/>
      <c r="BV222" s="144"/>
      <c r="BW222" s="22"/>
      <c r="BX222" s="22"/>
      <c r="BY222" s="144"/>
      <c r="BZ222" s="22"/>
      <c r="CA222" s="22"/>
      <c r="CB222" s="144"/>
      <c r="CC222" s="22"/>
      <c r="CD222" s="22"/>
      <c r="CE222" s="144"/>
      <c r="CF222" s="22"/>
      <c r="CG222" s="22"/>
      <c r="CH222" s="144"/>
      <c r="CI222" s="22"/>
      <c r="CJ222" s="22"/>
      <c r="CK222" s="144"/>
      <c r="CL222" s="22"/>
      <c r="CM222" s="22"/>
      <c r="CN222" s="144"/>
      <c r="CO222" s="22"/>
      <c r="CP222" s="22"/>
      <c r="CQ222" s="144"/>
    </row>
    <row r="223" spans="1:95" ht="15.75" customHeight="1" x14ac:dyDescent="0.45">
      <c r="A223" s="22"/>
      <c r="B223" s="22"/>
      <c r="C223" s="12"/>
      <c r="D223" s="12"/>
      <c r="E223" s="12"/>
      <c r="F223" s="155"/>
      <c r="G223" s="144"/>
      <c r="H223" s="144"/>
      <c r="I223" s="12"/>
      <c r="J223" s="22"/>
      <c r="K223" s="22"/>
      <c r="L223" s="22"/>
      <c r="M223" s="145"/>
      <c r="N223" s="144"/>
      <c r="O223" s="144"/>
      <c r="P223" s="152"/>
      <c r="Q223" s="22"/>
      <c r="R223" s="152"/>
      <c r="S223" s="22"/>
      <c r="T223" s="74"/>
      <c r="U223" s="45"/>
      <c r="V223" s="158"/>
      <c r="W223" s="45"/>
      <c r="X223" s="45"/>
      <c r="Y223" s="45"/>
      <c r="Z223" s="45"/>
      <c r="AA223" s="45"/>
      <c r="AB223" s="45"/>
      <c r="AC223" s="44"/>
      <c r="AD223" s="45"/>
      <c r="AE223" s="45"/>
      <c r="AF223" s="45"/>
      <c r="AG223" s="45"/>
      <c r="AH223" s="45"/>
      <c r="AI223" s="144"/>
      <c r="AJ223" s="144"/>
      <c r="AK223" s="45"/>
      <c r="AL223" s="45"/>
      <c r="AM223" s="144"/>
      <c r="AN223" s="144"/>
      <c r="AO223" s="144"/>
      <c r="AP223" s="22"/>
      <c r="AQ223" s="22"/>
      <c r="AR223" s="144"/>
      <c r="AS223" s="22"/>
      <c r="AT223" s="22"/>
      <c r="AU223" s="144"/>
      <c r="AV223" s="22"/>
      <c r="AW223" s="22"/>
      <c r="AX223" s="144"/>
      <c r="AY223" s="22"/>
      <c r="AZ223" s="22"/>
      <c r="BA223" s="144"/>
      <c r="BB223" s="22"/>
      <c r="BC223" s="22"/>
      <c r="BD223" s="144"/>
      <c r="BE223" s="144"/>
      <c r="BF223" s="22"/>
      <c r="BG223" s="144"/>
      <c r="BH223" s="144"/>
      <c r="BI223" s="144"/>
      <c r="BJ223" s="144"/>
      <c r="BK223" s="144"/>
      <c r="BL223" s="22"/>
      <c r="BM223" s="144"/>
      <c r="BN223" s="144"/>
      <c r="BO223" s="22"/>
      <c r="BP223" s="144"/>
      <c r="BQ223" s="22"/>
      <c r="BR223" s="144"/>
      <c r="BS223" s="144"/>
      <c r="BT223" s="22"/>
      <c r="BU223" s="144"/>
      <c r="BV223" s="144"/>
      <c r="BW223" s="22"/>
      <c r="BX223" s="22"/>
      <c r="BY223" s="144"/>
      <c r="BZ223" s="22"/>
      <c r="CA223" s="22"/>
      <c r="CB223" s="144"/>
      <c r="CC223" s="22"/>
      <c r="CD223" s="22"/>
      <c r="CE223" s="144"/>
      <c r="CF223" s="22"/>
      <c r="CG223" s="22"/>
      <c r="CH223" s="144"/>
      <c r="CI223" s="22"/>
      <c r="CJ223" s="22"/>
      <c r="CK223" s="144"/>
      <c r="CL223" s="22"/>
      <c r="CM223" s="22"/>
      <c r="CN223" s="144"/>
      <c r="CO223" s="22"/>
      <c r="CP223" s="22"/>
      <c r="CQ223" s="144"/>
    </row>
    <row r="224" spans="1:95" ht="15.75" customHeight="1" x14ac:dyDescent="0.45">
      <c r="A224" s="22"/>
      <c r="B224" s="22"/>
      <c r="C224" s="12"/>
      <c r="D224" s="12"/>
      <c r="E224" s="12"/>
      <c r="F224" s="155"/>
      <c r="G224" s="144"/>
      <c r="H224" s="144"/>
      <c r="I224" s="12"/>
      <c r="J224" s="22"/>
      <c r="K224" s="22"/>
      <c r="L224" s="22"/>
      <c r="M224" s="145"/>
      <c r="N224" s="144"/>
      <c r="O224" s="144"/>
      <c r="P224" s="152"/>
      <c r="Q224" s="22"/>
      <c r="R224" s="152"/>
      <c r="S224" s="22"/>
      <c r="T224" s="74"/>
      <c r="U224" s="45"/>
      <c r="V224" s="158"/>
      <c r="W224" s="45"/>
      <c r="X224" s="45"/>
      <c r="Y224" s="45"/>
      <c r="Z224" s="45"/>
      <c r="AA224" s="45"/>
      <c r="AB224" s="45"/>
      <c r="AC224" s="44"/>
      <c r="AD224" s="45"/>
      <c r="AE224" s="45"/>
      <c r="AF224" s="45"/>
      <c r="AG224" s="45"/>
      <c r="AH224" s="45"/>
      <c r="AI224" s="144"/>
      <c r="AJ224" s="144"/>
      <c r="AK224" s="45"/>
      <c r="AL224" s="45"/>
      <c r="AM224" s="144"/>
      <c r="AN224" s="144"/>
      <c r="AO224" s="144"/>
      <c r="AP224" s="22"/>
      <c r="AQ224" s="22"/>
      <c r="AR224" s="144"/>
      <c r="AS224" s="22"/>
      <c r="AT224" s="22"/>
      <c r="AU224" s="144"/>
      <c r="AV224" s="22"/>
      <c r="AW224" s="22"/>
      <c r="AX224" s="144"/>
      <c r="AY224" s="22"/>
      <c r="AZ224" s="22"/>
      <c r="BA224" s="144"/>
      <c r="BB224" s="22"/>
      <c r="BC224" s="22"/>
      <c r="BD224" s="144"/>
      <c r="BE224" s="144"/>
      <c r="BF224" s="22"/>
      <c r="BG224" s="144"/>
      <c r="BH224" s="144"/>
      <c r="BI224" s="144"/>
      <c r="BJ224" s="144"/>
      <c r="BK224" s="144"/>
      <c r="BL224" s="22"/>
      <c r="BM224" s="144"/>
      <c r="BN224" s="144"/>
      <c r="BO224" s="22"/>
      <c r="BP224" s="144"/>
      <c r="BQ224" s="22"/>
      <c r="BR224" s="144"/>
      <c r="BS224" s="144"/>
      <c r="BT224" s="22"/>
      <c r="BU224" s="144"/>
      <c r="BV224" s="144"/>
      <c r="BW224" s="22"/>
      <c r="BX224" s="22"/>
      <c r="BY224" s="144"/>
      <c r="BZ224" s="22"/>
      <c r="CA224" s="22"/>
      <c r="CB224" s="144"/>
      <c r="CC224" s="22"/>
      <c r="CD224" s="22"/>
      <c r="CE224" s="144"/>
      <c r="CF224" s="22"/>
      <c r="CG224" s="22"/>
      <c r="CH224" s="144"/>
      <c r="CI224" s="22"/>
      <c r="CJ224" s="22"/>
      <c r="CK224" s="144"/>
      <c r="CL224" s="22"/>
      <c r="CM224" s="22"/>
      <c r="CN224" s="144"/>
      <c r="CO224" s="22"/>
      <c r="CP224" s="22"/>
      <c r="CQ224" s="144"/>
    </row>
    <row r="225" spans="1:95" ht="15.75" customHeight="1" x14ac:dyDescent="0.45">
      <c r="A225" s="22"/>
      <c r="B225" s="22"/>
      <c r="C225" s="12"/>
      <c r="D225" s="12"/>
      <c r="E225" s="12"/>
      <c r="F225" s="155"/>
      <c r="G225" s="144"/>
      <c r="H225" s="144"/>
      <c r="I225" s="12"/>
      <c r="J225" s="22"/>
      <c r="K225" s="22"/>
      <c r="L225" s="22"/>
      <c r="M225" s="145"/>
      <c r="N225" s="144"/>
      <c r="O225" s="144"/>
      <c r="P225" s="152"/>
      <c r="Q225" s="22"/>
      <c r="R225" s="152"/>
      <c r="S225" s="22"/>
      <c r="T225" s="74"/>
      <c r="U225" s="45"/>
      <c r="V225" s="158"/>
      <c r="W225" s="45"/>
      <c r="X225" s="45"/>
      <c r="Y225" s="45"/>
      <c r="Z225" s="45"/>
      <c r="AA225" s="45"/>
      <c r="AB225" s="45"/>
      <c r="AC225" s="44"/>
      <c r="AD225" s="45"/>
      <c r="AE225" s="45"/>
      <c r="AF225" s="45"/>
      <c r="AG225" s="45"/>
      <c r="AH225" s="45"/>
      <c r="AI225" s="144"/>
      <c r="AJ225" s="144"/>
      <c r="AK225" s="45"/>
      <c r="AL225" s="45"/>
      <c r="AM225" s="144"/>
      <c r="AN225" s="144"/>
      <c r="AO225" s="144"/>
      <c r="AP225" s="22"/>
      <c r="AQ225" s="22"/>
      <c r="AR225" s="144"/>
      <c r="AS225" s="22"/>
      <c r="AT225" s="22"/>
      <c r="AU225" s="144"/>
      <c r="AV225" s="22"/>
      <c r="AW225" s="22"/>
      <c r="AX225" s="144"/>
      <c r="AY225" s="22"/>
      <c r="AZ225" s="22"/>
      <c r="BA225" s="144"/>
      <c r="BB225" s="22"/>
      <c r="BC225" s="22"/>
      <c r="BD225" s="144"/>
      <c r="BE225" s="144"/>
      <c r="BF225" s="22"/>
      <c r="BG225" s="144"/>
      <c r="BH225" s="144"/>
      <c r="BI225" s="144"/>
      <c r="BJ225" s="144"/>
      <c r="BK225" s="144"/>
      <c r="BL225" s="22"/>
      <c r="BM225" s="144"/>
      <c r="BN225" s="144"/>
      <c r="BO225" s="22"/>
      <c r="BP225" s="144"/>
      <c r="BQ225" s="22"/>
      <c r="BR225" s="144"/>
      <c r="BS225" s="144"/>
      <c r="BT225" s="22"/>
      <c r="BU225" s="144"/>
      <c r="BV225" s="144"/>
      <c r="BW225" s="22"/>
      <c r="BX225" s="22"/>
      <c r="BY225" s="144"/>
      <c r="BZ225" s="22"/>
      <c r="CA225" s="22"/>
      <c r="CB225" s="144"/>
      <c r="CC225" s="22"/>
      <c r="CD225" s="22"/>
      <c r="CE225" s="144"/>
      <c r="CF225" s="22"/>
      <c r="CG225" s="22"/>
      <c r="CH225" s="144"/>
      <c r="CI225" s="22"/>
      <c r="CJ225" s="22"/>
      <c r="CK225" s="144"/>
      <c r="CL225" s="22"/>
      <c r="CM225" s="22"/>
      <c r="CN225" s="144"/>
      <c r="CO225" s="22"/>
      <c r="CP225" s="22"/>
      <c r="CQ225" s="144"/>
    </row>
    <row r="226" spans="1:95" ht="15.75" customHeight="1" x14ac:dyDescent="0.45">
      <c r="A226" s="22"/>
      <c r="B226" s="22"/>
      <c r="C226" s="12"/>
      <c r="D226" s="12"/>
      <c r="E226" s="12"/>
      <c r="F226" s="155"/>
      <c r="G226" s="144"/>
      <c r="H226" s="144"/>
      <c r="I226" s="12"/>
      <c r="J226" s="22"/>
      <c r="K226" s="22"/>
      <c r="L226" s="22"/>
      <c r="M226" s="145"/>
      <c r="N226" s="144"/>
      <c r="O226" s="144"/>
      <c r="P226" s="152"/>
      <c r="Q226" s="22"/>
      <c r="R226" s="152"/>
      <c r="S226" s="22"/>
      <c r="T226" s="74"/>
      <c r="U226" s="45"/>
      <c r="V226" s="158"/>
      <c r="W226" s="45"/>
      <c r="X226" s="45"/>
      <c r="Y226" s="45"/>
      <c r="Z226" s="45"/>
      <c r="AA226" s="45"/>
      <c r="AB226" s="45"/>
      <c r="AC226" s="44"/>
      <c r="AD226" s="45"/>
      <c r="AE226" s="45"/>
      <c r="AF226" s="45"/>
      <c r="AG226" s="45"/>
      <c r="AH226" s="45"/>
      <c r="AI226" s="144"/>
      <c r="AJ226" s="144"/>
      <c r="AK226" s="45"/>
      <c r="AL226" s="45"/>
      <c r="AM226" s="144"/>
      <c r="AN226" s="144"/>
      <c r="AO226" s="144"/>
      <c r="AP226" s="22"/>
      <c r="AQ226" s="22"/>
      <c r="AR226" s="144"/>
      <c r="AS226" s="22"/>
      <c r="AT226" s="22"/>
      <c r="AU226" s="144"/>
      <c r="AV226" s="22"/>
      <c r="AW226" s="22"/>
      <c r="AX226" s="144"/>
      <c r="AY226" s="22"/>
      <c r="AZ226" s="22"/>
      <c r="BA226" s="144"/>
      <c r="BB226" s="22"/>
      <c r="BC226" s="22"/>
      <c r="BD226" s="144"/>
      <c r="BE226" s="144"/>
      <c r="BF226" s="22"/>
      <c r="BG226" s="144"/>
      <c r="BH226" s="144"/>
      <c r="BI226" s="144"/>
      <c r="BJ226" s="144"/>
      <c r="BK226" s="144"/>
      <c r="BL226" s="22"/>
      <c r="BM226" s="144"/>
      <c r="BN226" s="144"/>
      <c r="BO226" s="22"/>
      <c r="BP226" s="144"/>
      <c r="BQ226" s="22"/>
      <c r="BR226" s="144"/>
      <c r="BS226" s="144"/>
      <c r="BT226" s="22"/>
      <c r="BU226" s="144"/>
      <c r="BV226" s="144"/>
      <c r="BW226" s="22"/>
      <c r="BX226" s="22"/>
      <c r="BY226" s="144"/>
      <c r="BZ226" s="22"/>
      <c r="CA226" s="22"/>
      <c r="CB226" s="144"/>
      <c r="CC226" s="22"/>
      <c r="CD226" s="22"/>
      <c r="CE226" s="144"/>
      <c r="CF226" s="22"/>
      <c r="CG226" s="22"/>
      <c r="CH226" s="144"/>
      <c r="CI226" s="22"/>
      <c r="CJ226" s="22"/>
      <c r="CK226" s="144"/>
      <c r="CL226" s="22"/>
      <c r="CM226" s="22"/>
      <c r="CN226" s="144"/>
      <c r="CO226" s="22"/>
      <c r="CP226" s="22"/>
      <c r="CQ226" s="144"/>
    </row>
    <row r="227" spans="1:95" ht="15.75" customHeight="1" x14ac:dyDescent="0.45">
      <c r="A227" s="22"/>
      <c r="B227" s="22"/>
      <c r="C227" s="12"/>
      <c r="D227" s="12"/>
      <c r="E227" s="12"/>
      <c r="F227" s="155"/>
      <c r="G227" s="144"/>
      <c r="H227" s="144"/>
      <c r="I227" s="12"/>
      <c r="J227" s="22"/>
      <c r="K227" s="22"/>
      <c r="L227" s="22"/>
      <c r="M227" s="145"/>
      <c r="N227" s="144"/>
      <c r="O227" s="144"/>
      <c r="P227" s="152"/>
      <c r="Q227" s="22"/>
      <c r="R227" s="152"/>
      <c r="S227" s="22"/>
      <c r="T227" s="74"/>
      <c r="U227" s="45"/>
      <c r="V227" s="158"/>
      <c r="W227" s="45"/>
      <c r="X227" s="45"/>
      <c r="Y227" s="45"/>
      <c r="Z227" s="45"/>
      <c r="AA227" s="45"/>
      <c r="AB227" s="45"/>
      <c r="AC227" s="44"/>
      <c r="AD227" s="45"/>
      <c r="AE227" s="45"/>
      <c r="AF227" s="45"/>
      <c r="AG227" s="45"/>
      <c r="AH227" s="45"/>
      <c r="AI227" s="144"/>
      <c r="AJ227" s="144"/>
      <c r="AK227" s="45"/>
      <c r="AL227" s="45"/>
      <c r="AM227" s="144"/>
      <c r="AN227" s="144"/>
      <c r="AO227" s="144"/>
      <c r="AP227" s="22"/>
      <c r="AQ227" s="22"/>
      <c r="AR227" s="144"/>
      <c r="AS227" s="22"/>
      <c r="AT227" s="22"/>
      <c r="AU227" s="144"/>
      <c r="AV227" s="22"/>
      <c r="AW227" s="22"/>
      <c r="AX227" s="144"/>
      <c r="AY227" s="22"/>
      <c r="AZ227" s="22"/>
      <c r="BA227" s="144"/>
      <c r="BB227" s="22"/>
      <c r="BC227" s="22"/>
      <c r="BD227" s="144"/>
      <c r="BE227" s="144"/>
      <c r="BF227" s="22"/>
      <c r="BG227" s="144"/>
      <c r="BH227" s="144"/>
      <c r="BI227" s="144"/>
      <c r="BJ227" s="144"/>
      <c r="BK227" s="144"/>
      <c r="BL227" s="22"/>
      <c r="BM227" s="144"/>
      <c r="BN227" s="144"/>
      <c r="BO227" s="22"/>
      <c r="BP227" s="144"/>
      <c r="BQ227" s="22"/>
      <c r="BR227" s="144"/>
      <c r="BS227" s="144"/>
      <c r="BT227" s="22"/>
      <c r="BU227" s="144"/>
      <c r="BV227" s="144"/>
      <c r="BW227" s="22"/>
      <c r="BX227" s="22"/>
      <c r="BY227" s="144"/>
      <c r="BZ227" s="22"/>
      <c r="CA227" s="22"/>
      <c r="CB227" s="144"/>
      <c r="CC227" s="22"/>
      <c r="CD227" s="22"/>
      <c r="CE227" s="144"/>
      <c r="CF227" s="22"/>
      <c r="CG227" s="22"/>
      <c r="CH227" s="144"/>
      <c r="CI227" s="22"/>
      <c r="CJ227" s="22"/>
      <c r="CK227" s="144"/>
      <c r="CL227" s="22"/>
      <c r="CM227" s="22"/>
      <c r="CN227" s="144"/>
      <c r="CO227" s="22"/>
      <c r="CP227" s="22"/>
      <c r="CQ227" s="144"/>
    </row>
    <row r="228" spans="1:95" ht="15.75" customHeight="1" x14ac:dyDescent="0.45">
      <c r="A228" s="22"/>
      <c r="B228" s="22"/>
      <c r="C228" s="12"/>
      <c r="D228" s="12"/>
      <c r="E228" s="12"/>
      <c r="F228" s="155"/>
      <c r="G228" s="144"/>
      <c r="H228" s="144"/>
      <c r="I228" s="12"/>
      <c r="J228" s="22"/>
      <c r="K228" s="22"/>
      <c r="L228" s="22"/>
      <c r="M228" s="145"/>
      <c r="N228" s="144"/>
      <c r="O228" s="144"/>
      <c r="P228" s="152"/>
      <c r="Q228" s="22"/>
      <c r="R228" s="152"/>
      <c r="S228" s="22"/>
      <c r="T228" s="74"/>
      <c r="U228" s="45"/>
      <c r="V228" s="158"/>
      <c r="W228" s="45"/>
      <c r="X228" s="45"/>
      <c r="Y228" s="45"/>
      <c r="Z228" s="45"/>
      <c r="AA228" s="45"/>
      <c r="AB228" s="45"/>
      <c r="AC228" s="44"/>
      <c r="AD228" s="45"/>
      <c r="AE228" s="45"/>
      <c r="AF228" s="45"/>
      <c r="AG228" s="45"/>
      <c r="AH228" s="45"/>
      <c r="AI228" s="144"/>
      <c r="AJ228" s="144"/>
      <c r="AK228" s="45"/>
      <c r="AL228" s="45"/>
      <c r="AM228" s="144"/>
      <c r="AN228" s="144"/>
      <c r="AO228" s="144"/>
      <c r="AP228" s="22"/>
      <c r="AQ228" s="22"/>
      <c r="AR228" s="144"/>
      <c r="AS228" s="22"/>
      <c r="AT228" s="22"/>
      <c r="AU228" s="144"/>
      <c r="AV228" s="22"/>
      <c r="AW228" s="22"/>
      <c r="AX228" s="144"/>
      <c r="AY228" s="22"/>
      <c r="AZ228" s="22"/>
      <c r="BA228" s="144"/>
      <c r="BB228" s="22"/>
      <c r="BC228" s="22"/>
      <c r="BD228" s="144"/>
      <c r="BE228" s="144"/>
      <c r="BF228" s="22"/>
      <c r="BG228" s="144"/>
      <c r="BH228" s="144"/>
      <c r="BI228" s="144"/>
      <c r="BJ228" s="144"/>
      <c r="BK228" s="144"/>
      <c r="BL228" s="22"/>
      <c r="BM228" s="144"/>
      <c r="BN228" s="144"/>
      <c r="BO228" s="22"/>
      <c r="BP228" s="144"/>
      <c r="BQ228" s="22"/>
      <c r="BR228" s="144"/>
      <c r="BS228" s="144"/>
      <c r="BT228" s="22"/>
      <c r="BU228" s="144"/>
      <c r="BV228" s="144"/>
      <c r="BW228" s="22"/>
      <c r="BX228" s="22"/>
      <c r="BY228" s="144"/>
      <c r="BZ228" s="22"/>
      <c r="CA228" s="22"/>
      <c r="CB228" s="144"/>
      <c r="CC228" s="22"/>
      <c r="CD228" s="22"/>
      <c r="CE228" s="144"/>
      <c r="CF228" s="22"/>
      <c r="CG228" s="22"/>
      <c r="CH228" s="144"/>
      <c r="CI228" s="22"/>
      <c r="CJ228" s="22"/>
      <c r="CK228" s="144"/>
      <c r="CL228" s="22"/>
      <c r="CM228" s="22"/>
      <c r="CN228" s="144"/>
      <c r="CO228" s="22"/>
      <c r="CP228" s="22"/>
      <c r="CQ228" s="144"/>
    </row>
    <row r="229" spans="1:95" ht="15.75" customHeight="1" x14ac:dyDescent="0.45">
      <c r="A229" s="22"/>
      <c r="B229" s="22"/>
      <c r="C229" s="12"/>
      <c r="D229" s="12"/>
      <c r="E229" s="12"/>
      <c r="F229" s="155"/>
      <c r="G229" s="144"/>
      <c r="H229" s="144"/>
      <c r="I229" s="12"/>
      <c r="J229" s="22"/>
      <c r="K229" s="22"/>
      <c r="L229" s="22"/>
      <c r="M229" s="145"/>
      <c r="N229" s="144"/>
      <c r="O229" s="144"/>
      <c r="P229" s="152"/>
      <c r="Q229" s="22"/>
      <c r="R229" s="152"/>
      <c r="S229" s="22"/>
      <c r="T229" s="74"/>
      <c r="U229" s="45"/>
      <c r="V229" s="158"/>
      <c r="W229" s="45"/>
      <c r="X229" s="45"/>
      <c r="Y229" s="45"/>
      <c r="Z229" s="45"/>
      <c r="AA229" s="45"/>
      <c r="AB229" s="45"/>
      <c r="AC229" s="44"/>
      <c r="AD229" s="45"/>
      <c r="AE229" s="45"/>
      <c r="AF229" s="45"/>
      <c r="AG229" s="45"/>
      <c r="AH229" s="45"/>
      <c r="AI229" s="144"/>
      <c r="AJ229" s="144"/>
      <c r="AK229" s="45"/>
      <c r="AL229" s="45"/>
      <c r="AM229" s="144"/>
      <c r="AN229" s="144"/>
      <c r="AO229" s="144"/>
      <c r="AP229" s="22"/>
      <c r="AQ229" s="22"/>
      <c r="AR229" s="144"/>
      <c r="AS229" s="22"/>
      <c r="AT229" s="22"/>
      <c r="AU229" s="144"/>
      <c r="AV229" s="22"/>
      <c r="AW229" s="22"/>
      <c r="AX229" s="144"/>
      <c r="AY229" s="22"/>
      <c r="AZ229" s="22"/>
      <c r="BA229" s="144"/>
      <c r="BB229" s="22"/>
      <c r="BC229" s="22"/>
      <c r="BD229" s="144"/>
      <c r="BE229" s="144"/>
      <c r="BF229" s="22"/>
      <c r="BG229" s="144"/>
      <c r="BH229" s="144"/>
      <c r="BI229" s="144"/>
      <c r="BJ229" s="144"/>
      <c r="BK229" s="144"/>
      <c r="BL229" s="22"/>
      <c r="BM229" s="144"/>
      <c r="BN229" s="144"/>
      <c r="BO229" s="22"/>
      <c r="BP229" s="144"/>
      <c r="BQ229" s="22"/>
      <c r="BR229" s="144"/>
      <c r="BS229" s="144"/>
      <c r="BT229" s="22"/>
      <c r="BU229" s="144"/>
      <c r="BV229" s="144"/>
      <c r="BW229" s="22"/>
      <c r="BX229" s="22"/>
      <c r="BY229" s="144"/>
      <c r="BZ229" s="22"/>
      <c r="CA229" s="22"/>
      <c r="CB229" s="144"/>
      <c r="CC229" s="22"/>
      <c r="CD229" s="22"/>
      <c r="CE229" s="144"/>
      <c r="CF229" s="22"/>
      <c r="CG229" s="22"/>
      <c r="CH229" s="144"/>
      <c r="CI229" s="22"/>
      <c r="CJ229" s="22"/>
      <c r="CK229" s="144"/>
      <c r="CL229" s="22"/>
      <c r="CM229" s="22"/>
      <c r="CN229" s="144"/>
      <c r="CO229" s="22"/>
      <c r="CP229" s="22"/>
      <c r="CQ229" s="144"/>
    </row>
    <row r="230" spans="1:95" ht="15.75" customHeight="1" x14ac:dyDescent="0.45">
      <c r="A230" s="22"/>
      <c r="B230" s="22"/>
      <c r="C230" s="12"/>
      <c r="D230" s="12"/>
      <c r="E230" s="12"/>
      <c r="F230" s="155"/>
      <c r="G230" s="144"/>
      <c r="H230" s="144"/>
      <c r="I230" s="12"/>
      <c r="J230" s="22"/>
      <c r="K230" s="22"/>
      <c r="L230" s="22"/>
      <c r="M230" s="145"/>
      <c r="N230" s="144"/>
      <c r="O230" s="144"/>
      <c r="P230" s="152"/>
      <c r="Q230" s="22"/>
      <c r="R230" s="152"/>
      <c r="S230" s="22"/>
      <c r="T230" s="74"/>
      <c r="U230" s="45"/>
      <c r="V230" s="158"/>
      <c r="W230" s="45"/>
      <c r="X230" s="45"/>
      <c r="Y230" s="45"/>
      <c r="Z230" s="45"/>
      <c r="AA230" s="45"/>
      <c r="AB230" s="45"/>
      <c r="AC230" s="44"/>
      <c r="AD230" s="45"/>
      <c r="AE230" s="45"/>
      <c r="AF230" s="45"/>
      <c r="AG230" s="45"/>
      <c r="AH230" s="45"/>
      <c r="AI230" s="144"/>
      <c r="AJ230" s="144"/>
      <c r="AK230" s="45"/>
      <c r="AL230" s="45"/>
      <c r="AM230" s="144"/>
      <c r="AN230" s="144"/>
      <c r="AO230" s="144"/>
      <c r="AP230" s="22"/>
      <c r="AQ230" s="22"/>
      <c r="AR230" s="144"/>
      <c r="AS230" s="22"/>
      <c r="AT230" s="22"/>
      <c r="AU230" s="144"/>
      <c r="AV230" s="22"/>
      <c r="AW230" s="22"/>
      <c r="AX230" s="144"/>
      <c r="AY230" s="22"/>
      <c r="AZ230" s="22"/>
      <c r="BA230" s="144"/>
      <c r="BB230" s="22"/>
      <c r="BC230" s="22"/>
      <c r="BD230" s="144"/>
      <c r="BE230" s="144"/>
      <c r="BF230" s="22"/>
      <c r="BG230" s="144"/>
      <c r="BH230" s="144"/>
      <c r="BI230" s="144"/>
      <c r="BJ230" s="144"/>
      <c r="BK230" s="144"/>
      <c r="BL230" s="22"/>
      <c r="BM230" s="144"/>
      <c r="BN230" s="144"/>
      <c r="BO230" s="22"/>
      <c r="BP230" s="144"/>
      <c r="BQ230" s="22"/>
      <c r="BR230" s="144"/>
      <c r="BS230" s="144"/>
      <c r="BT230" s="22"/>
      <c r="BU230" s="144"/>
      <c r="BV230" s="144"/>
      <c r="BW230" s="22"/>
      <c r="BX230" s="22"/>
      <c r="BY230" s="144"/>
      <c r="BZ230" s="22"/>
      <c r="CA230" s="22"/>
      <c r="CB230" s="144"/>
      <c r="CC230" s="22"/>
      <c r="CD230" s="22"/>
      <c r="CE230" s="144"/>
      <c r="CF230" s="22"/>
      <c r="CG230" s="22"/>
      <c r="CH230" s="144"/>
      <c r="CI230" s="22"/>
      <c r="CJ230" s="22"/>
      <c r="CK230" s="144"/>
      <c r="CL230" s="22"/>
      <c r="CM230" s="22"/>
      <c r="CN230" s="144"/>
      <c r="CO230" s="22"/>
      <c r="CP230" s="22"/>
      <c r="CQ230" s="144"/>
    </row>
    <row r="231" spans="1:95" ht="15.75" customHeight="1" x14ac:dyDescent="0.45">
      <c r="A231" s="22"/>
      <c r="B231" s="22"/>
      <c r="C231" s="12"/>
      <c r="D231" s="12"/>
      <c r="E231" s="12"/>
      <c r="F231" s="155"/>
      <c r="G231" s="144"/>
      <c r="H231" s="144"/>
      <c r="I231" s="12"/>
      <c r="J231" s="22"/>
      <c r="K231" s="22"/>
      <c r="L231" s="22"/>
      <c r="M231" s="145"/>
      <c r="N231" s="144"/>
      <c r="O231" s="144"/>
      <c r="P231" s="152"/>
      <c r="Q231" s="22"/>
      <c r="R231" s="152"/>
      <c r="S231" s="22"/>
      <c r="T231" s="74"/>
      <c r="U231" s="45"/>
      <c r="V231" s="158"/>
      <c r="W231" s="45"/>
      <c r="X231" s="45"/>
      <c r="Y231" s="45"/>
      <c r="Z231" s="45"/>
      <c r="AA231" s="45"/>
      <c r="AB231" s="45"/>
      <c r="AC231" s="44"/>
      <c r="AD231" s="45"/>
      <c r="AE231" s="45"/>
      <c r="AF231" s="45"/>
      <c r="AG231" s="45"/>
      <c r="AH231" s="45"/>
      <c r="AI231" s="144"/>
      <c r="AJ231" s="144"/>
      <c r="AK231" s="45"/>
      <c r="AL231" s="45"/>
      <c r="AM231" s="144"/>
      <c r="AN231" s="144"/>
      <c r="AO231" s="144"/>
      <c r="AP231" s="22"/>
      <c r="AQ231" s="22"/>
      <c r="AR231" s="144"/>
      <c r="AS231" s="22"/>
      <c r="AT231" s="22"/>
      <c r="AU231" s="144"/>
      <c r="AV231" s="22"/>
      <c r="AW231" s="22"/>
      <c r="AX231" s="144"/>
      <c r="AY231" s="22"/>
      <c r="AZ231" s="22"/>
      <c r="BA231" s="144"/>
      <c r="BB231" s="22"/>
      <c r="BC231" s="22"/>
      <c r="BD231" s="144"/>
      <c r="BE231" s="144"/>
      <c r="BF231" s="22"/>
      <c r="BG231" s="144"/>
      <c r="BH231" s="144"/>
      <c r="BI231" s="144"/>
      <c r="BJ231" s="144"/>
      <c r="BK231" s="144"/>
      <c r="BL231" s="22"/>
      <c r="BM231" s="144"/>
      <c r="BN231" s="144"/>
      <c r="BO231" s="22"/>
      <c r="BP231" s="144"/>
      <c r="BQ231" s="22"/>
      <c r="BR231" s="144"/>
      <c r="BS231" s="144"/>
      <c r="BT231" s="22"/>
      <c r="BU231" s="144"/>
      <c r="BV231" s="144"/>
      <c r="BW231" s="22"/>
      <c r="BX231" s="22"/>
      <c r="BY231" s="144"/>
      <c r="BZ231" s="22"/>
      <c r="CA231" s="22"/>
      <c r="CB231" s="144"/>
      <c r="CC231" s="22"/>
      <c r="CD231" s="22"/>
      <c r="CE231" s="144"/>
      <c r="CF231" s="22"/>
      <c r="CG231" s="22"/>
      <c r="CH231" s="144"/>
      <c r="CI231" s="22"/>
      <c r="CJ231" s="22"/>
      <c r="CK231" s="144"/>
      <c r="CL231" s="22"/>
      <c r="CM231" s="22"/>
      <c r="CN231" s="144"/>
      <c r="CO231" s="22"/>
      <c r="CP231" s="22"/>
      <c r="CQ231" s="144"/>
    </row>
    <row r="232" spans="1:95" ht="15.75" customHeight="1" x14ac:dyDescent="0.45">
      <c r="A232" s="22"/>
      <c r="B232" s="22"/>
      <c r="C232" s="12"/>
      <c r="D232" s="12"/>
      <c r="E232" s="12"/>
      <c r="F232" s="155"/>
      <c r="G232" s="144"/>
      <c r="H232" s="144"/>
      <c r="I232" s="12"/>
      <c r="J232" s="22"/>
      <c r="K232" s="22"/>
      <c r="L232" s="22"/>
      <c r="M232" s="145"/>
      <c r="N232" s="144"/>
      <c r="O232" s="144"/>
      <c r="P232" s="152"/>
      <c r="Q232" s="22"/>
      <c r="R232" s="152"/>
      <c r="S232" s="22"/>
      <c r="T232" s="74"/>
      <c r="U232" s="45"/>
      <c r="V232" s="158"/>
      <c r="W232" s="45"/>
      <c r="X232" s="45"/>
      <c r="Y232" s="45"/>
      <c r="Z232" s="45"/>
      <c r="AA232" s="45"/>
      <c r="AB232" s="45"/>
      <c r="AC232" s="44"/>
      <c r="AD232" s="45"/>
      <c r="AE232" s="45"/>
      <c r="AF232" s="45"/>
      <c r="AG232" s="45"/>
      <c r="AH232" s="45"/>
      <c r="AI232" s="144"/>
      <c r="AJ232" s="144"/>
      <c r="AK232" s="45"/>
      <c r="AL232" s="45"/>
      <c r="AM232" s="144"/>
      <c r="AN232" s="144"/>
      <c r="AO232" s="144"/>
      <c r="AP232" s="22"/>
      <c r="AQ232" s="22"/>
      <c r="AR232" s="144"/>
      <c r="AS232" s="22"/>
      <c r="AT232" s="22"/>
      <c r="AU232" s="144"/>
      <c r="AV232" s="22"/>
      <c r="AW232" s="22"/>
      <c r="AX232" s="144"/>
      <c r="AY232" s="22"/>
      <c r="AZ232" s="22"/>
      <c r="BA232" s="144"/>
      <c r="BB232" s="22"/>
      <c r="BC232" s="22"/>
      <c r="BD232" s="144"/>
      <c r="BE232" s="144"/>
      <c r="BF232" s="22"/>
      <c r="BG232" s="144"/>
      <c r="BH232" s="144"/>
      <c r="BI232" s="144"/>
      <c r="BJ232" s="144"/>
      <c r="BK232" s="144"/>
      <c r="BL232" s="22"/>
      <c r="BM232" s="144"/>
      <c r="BN232" s="144"/>
      <c r="BO232" s="22"/>
      <c r="BP232" s="144"/>
      <c r="BQ232" s="22"/>
      <c r="BR232" s="144"/>
      <c r="BS232" s="144"/>
      <c r="BT232" s="22"/>
      <c r="BU232" s="144"/>
      <c r="BV232" s="144"/>
      <c r="BW232" s="22"/>
      <c r="BX232" s="22"/>
      <c r="BY232" s="144"/>
      <c r="BZ232" s="22"/>
      <c r="CA232" s="22"/>
      <c r="CB232" s="144"/>
      <c r="CC232" s="22"/>
      <c r="CD232" s="22"/>
      <c r="CE232" s="144"/>
      <c r="CF232" s="22"/>
      <c r="CG232" s="22"/>
      <c r="CH232" s="144"/>
      <c r="CI232" s="22"/>
      <c r="CJ232" s="22"/>
      <c r="CK232" s="144"/>
      <c r="CL232" s="22"/>
      <c r="CM232" s="22"/>
      <c r="CN232" s="144"/>
      <c r="CO232" s="22"/>
      <c r="CP232" s="22"/>
      <c r="CQ232" s="144"/>
    </row>
    <row r="233" spans="1:95" ht="15.75" customHeight="1" x14ac:dyDescent="0.45">
      <c r="A233" s="22"/>
      <c r="B233" s="22"/>
      <c r="C233" s="12"/>
      <c r="D233" s="12"/>
      <c r="E233" s="12"/>
      <c r="F233" s="155"/>
      <c r="G233" s="144"/>
      <c r="H233" s="144"/>
      <c r="I233" s="12"/>
      <c r="J233" s="22"/>
      <c r="K233" s="22"/>
      <c r="L233" s="22"/>
      <c r="M233" s="145"/>
      <c r="N233" s="144"/>
      <c r="O233" s="144"/>
      <c r="P233" s="152"/>
      <c r="Q233" s="22"/>
      <c r="R233" s="152"/>
      <c r="S233" s="22"/>
      <c r="T233" s="74"/>
      <c r="U233" s="45"/>
      <c r="V233" s="158"/>
      <c r="W233" s="45"/>
      <c r="X233" s="45"/>
      <c r="Y233" s="45"/>
      <c r="Z233" s="45"/>
      <c r="AA233" s="45"/>
      <c r="AB233" s="45"/>
      <c r="AC233" s="44"/>
      <c r="AD233" s="45"/>
      <c r="AE233" s="45"/>
      <c r="AF233" s="45"/>
      <c r="AG233" s="45"/>
      <c r="AH233" s="45"/>
      <c r="AI233" s="144"/>
      <c r="AJ233" s="144"/>
      <c r="AK233" s="45"/>
      <c r="AL233" s="45"/>
      <c r="AM233" s="144"/>
      <c r="AN233" s="144"/>
      <c r="AO233" s="144"/>
      <c r="AP233" s="22"/>
      <c r="AQ233" s="22"/>
      <c r="AR233" s="144"/>
      <c r="AS233" s="22"/>
      <c r="AT233" s="22"/>
      <c r="AU233" s="144"/>
      <c r="AV233" s="22"/>
      <c r="AW233" s="22"/>
      <c r="AX233" s="144"/>
      <c r="AY233" s="22"/>
      <c r="AZ233" s="22"/>
      <c r="BA233" s="144"/>
      <c r="BB233" s="22"/>
      <c r="BC233" s="22"/>
      <c r="BD233" s="144"/>
      <c r="BE233" s="144"/>
      <c r="BF233" s="22"/>
      <c r="BG233" s="144"/>
      <c r="BH233" s="144"/>
      <c r="BI233" s="144"/>
      <c r="BJ233" s="144"/>
      <c r="BK233" s="144"/>
      <c r="BL233" s="22"/>
      <c r="BM233" s="144"/>
      <c r="BN233" s="144"/>
      <c r="BO233" s="22"/>
      <c r="BP233" s="144"/>
      <c r="BQ233" s="22"/>
      <c r="BR233" s="144"/>
      <c r="BS233" s="144"/>
      <c r="BT233" s="22"/>
      <c r="BU233" s="144"/>
      <c r="BV233" s="144"/>
      <c r="BW233" s="22"/>
      <c r="BX233" s="22"/>
      <c r="BY233" s="144"/>
      <c r="BZ233" s="22"/>
      <c r="CA233" s="22"/>
      <c r="CB233" s="144"/>
      <c r="CC233" s="22"/>
      <c r="CD233" s="22"/>
      <c r="CE233" s="144"/>
      <c r="CF233" s="22"/>
      <c r="CG233" s="22"/>
      <c r="CH233" s="144"/>
      <c r="CI233" s="22"/>
      <c r="CJ233" s="22"/>
      <c r="CK233" s="144"/>
      <c r="CL233" s="22"/>
      <c r="CM233" s="22"/>
      <c r="CN233" s="144"/>
      <c r="CO233" s="22"/>
      <c r="CP233" s="22"/>
      <c r="CQ233" s="144"/>
    </row>
    <row r="234" spans="1:95" ht="15.75" customHeight="1" x14ac:dyDescent="0.45">
      <c r="A234" s="22"/>
      <c r="B234" s="22"/>
      <c r="C234" s="12"/>
      <c r="D234" s="12"/>
      <c r="E234" s="12"/>
      <c r="F234" s="155"/>
      <c r="G234" s="144"/>
      <c r="H234" s="144"/>
      <c r="I234" s="12"/>
      <c r="J234" s="22"/>
      <c r="K234" s="22"/>
      <c r="L234" s="22"/>
      <c r="M234" s="145"/>
      <c r="N234" s="144"/>
      <c r="O234" s="144"/>
      <c r="P234" s="152"/>
      <c r="Q234" s="22"/>
      <c r="R234" s="152"/>
      <c r="S234" s="22"/>
      <c r="T234" s="74"/>
      <c r="U234" s="45"/>
      <c r="V234" s="158"/>
      <c r="W234" s="45"/>
      <c r="X234" s="45"/>
      <c r="Y234" s="45"/>
      <c r="Z234" s="45"/>
      <c r="AA234" s="45"/>
      <c r="AB234" s="45"/>
      <c r="AC234" s="44"/>
      <c r="AD234" s="45"/>
      <c r="AE234" s="45"/>
      <c r="AF234" s="45"/>
      <c r="AG234" s="45"/>
      <c r="AH234" s="45"/>
      <c r="AI234" s="144"/>
      <c r="AJ234" s="144"/>
      <c r="AK234" s="45"/>
      <c r="AL234" s="45"/>
      <c r="AM234" s="144"/>
      <c r="AN234" s="144"/>
      <c r="AO234" s="144"/>
      <c r="AP234" s="22"/>
      <c r="AQ234" s="22"/>
      <c r="AR234" s="144"/>
      <c r="AS234" s="22"/>
      <c r="AT234" s="22"/>
      <c r="AU234" s="144"/>
      <c r="AV234" s="22"/>
      <c r="AW234" s="22"/>
      <c r="AX234" s="144"/>
      <c r="AY234" s="22"/>
      <c r="AZ234" s="22"/>
      <c r="BA234" s="144"/>
      <c r="BB234" s="22"/>
      <c r="BC234" s="22"/>
      <c r="BD234" s="144"/>
      <c r="BE234" s="144"/>
      <c r="BF234" s="22"/>
      <c r="BG234" s="144"/>
      <c r="BH234" s="144"/>
      <c r="BI234" s="144"/>
      <c r="BJ234" s="144"/>
      <c r="BK234" s="144"/>
      <c r="BL234" s="22"/>
      <c r="BM234" s="144"/>
      <c r="BN234" s="144"/>
      <c r="BO234" s="22"/>
      <c r="BP234" s="144"/>
      <c r="BQ234" s="22"/>
      <c r="BR234" s="144"/>
      <c r="BS234" s="144"/>
      <c r="BT234" s="22"/>
      <c r="BU234" s="144"/>
      <c r="BV234" s="144"/>
      <c r="BW234" s="22"/>
      <c r="BX234" s="22"/>
      <c r="BY234" s="144"/>
      <c r="BZ234" s="22"/>
      <c r="CA234" s="22"/>
      <c r="CB234" s="144"/>
      <c r="CC234" s="22"/>
      <c r="CD234" s="22"/>
      <c r="CE234" s="144"/>
      <c r="CF234" s="22"/>
      <c r="CG234" s="22"/>
      <c r="CH234" s="144"/>
      <c r="CI234" s="22"/>
      <c r="CJ234" s="22"/>
      <c r="CK234" s="144"/>
      <c r="CL234" s="22"/>
      <c r="CM234" s="22"/>
      <c r="CN234" s="144"/>
      <c r="CO234" s="22"/>
      <c r="CP234" s="22"/>
      <c r="CQ234" s="144"/>
    </row>
    <row r="235" spans="1:95" ht="15.75" customHeight="1" x14ac:dyDescent="0.45">
      <c r="A235" s="22"/>
      <c r="B235" s="22"/>
      <c r="C235" s="12"/>
      <c r="D235" s="12"/>
      <c r="E235" s="12"/>
      <c r="F235" s="155"/>
      <c r="G235" s="144"/>
      <c r="H235" s="144"/>
      <c r="I235" s="12"/>
      <c r="J235" s="22"/>
      <c r="K235" s="22"/>
      <c r="L235" s="22"/>
      <c r="M235" s="145"/>
      <c r="N235" s="144"/>
      <c r="O235" s="144"/>
      <c r="P235" s="152"/>
      <c r="Q235" s="22"/>
      <c r="R235" s="152"/>
      <c r="S235" s="22"/>
      <c r="T235" s="74"/>
      <c r="U235" s="45"/>
      <c r="V235" s="158"/>
      <c r="W235" s="45"/>
      <c r="X235" s="45"/>
      <c r="Y235" s="45"/>
      <c r="Z235" s="45"/>
      <c r="AA235" s="45"/>
      <c r="AB235" s="45"/>
      <c r="AC235" s="44"/>
      <c r="AD235" s="45"/>
      <c r="AE235" s="45"/>
      <c r="AF235" s="45"/>
      <c r="AG235" s="45"/>
      <c r="AH235" s="45"/>
      <c r="AI235" s="144"/>
      <c r="AJ235" s="144"/>
      <c r="AK235" s="45"/>
      <c r="AL235" s="45"/>
      <c r="AM235" s="144"/>
      <c r="AN235" s="144"/>
      <c r="AO235" s="144"/>
      <c r="AP235" s="22"/>
      <c r="AQ235" s="22"/>
      <c r="AR235" s="144"/>
      <c r="AS235" s="22"/>
      <c r="AT235" s="22"/>
      <c r="AU235" s="144"/>
      <c r="AV235" s="22"/>
      <c r="AW235" s="22"/>
      <c r="AX235" s="144"/>
      <c r="AY235" s="22"/>
      <c r="AZ235" s="22"/>
      <c r="BA235" s="144"/>
      <c r="BB235" s="22"/>
      <c r="BC235" s="22"/>
      <c r="BD235" s="144"/>
      <c r="BE235" s="144"/>
      <c r="BF235" s="22"/>
      <c r="BG235" s="144"/>
      <c r="BH235" s="144"/>
      <c r="BI235" s="144"/>
      <c r="BJ235" s="144"/>
      <c r="BK235" s="144"/>
      <c r="BL235" s="22"/>
      <c r="BM235" s="144"/>
      <c r="BN235" s="144"/>
      <c r="BO235" s="22"/>
      <c r="BP235" s="144"/>
      <c r="BQ235" s="22"/>
      <c r="BR235" s="144"/>
      <c r="BS235" s="144"/>
      <c r="BT235" s="22"/>
      <c r="BU235" s="144"/>
      <c r="BV235" s="144"/>
      <c r="BW235" s="22"/>
      <c r="BX235" s="22"/>
      <c r="BY235" s="144"/>
      <c r="BZ235" s="22"/>
      <c r="CA235" s="22"/>
      <c r="CB235" s="144"/>
      <c r="CC235" s="22"/>
      <c r="CD235" s="22"/>
      <c r="CE235" s="144"/>
      <c r="CF235" s="22"/>
      <c r="CG235" s="22"/>
      <c r="CH235" s="144"/>
      <c r="CI235" s="22"/>
      <c r="CJ235" s="22"/>
      <c r="CK235" s="144"/>
      <c r="CL235" s="22"/>
      <c r="CM235" s="22"/>
      <c r="CN235" s="144"/>
      <c r="CO235" s="22"/>
      <c r="CP235" s="22"/>
      <c r="CQ235" s="144"/>
    </row>
    <row r="236" spans="1:95" ht="15.75" customHeight="1" x14ac:dyDescent="0.45">
      <c r="A236" s="22"/>
      <c r="B236" s="22"/>
      <c r="C236" s="12"/>
      <c r="D236" s="12"/>
      <c r="E236" s="12"/>
      <c r="F236" s="155"/>
      <c r="G236" s="144"/>
      <c r="H236" s="144"/>
      <c r="I236" s="12"/>
      <c r="J236" s="22"/>
      <c r="K236" s="22"/>
      <c r="L236" s="22"/>
      <c r="M236" s="145"/>
      <c r="N236" s="144"/>
      <c r="O236" s="144"/>
      <c r="P236" s="152"/>
      <c r="Q236" s="22"/>
      <c r="R236" s="152"/>
      <c r="S236" s="22"/>
      <c r="T236" s="74"/>
      <c r="U236" s="45"/>
      <c r="V236" s="158"/>
      <c r="W236" s="45"/>
      <c r="X236" s="45"/>
      <c r="Y236" s="45"/>
      <c r="Z236" s="45"/>
      <c r="AA236" s="45"/>
      <c r="AB236" s="45"/>
      <c r="AC236" s="44"/>
      <c r="AD236" s="45"/>
      <c r="AE236" s="45"/>
      <c r="AF236" s="45"/>
      <c r="AG236" s="45"/>
      <c r="AH236" s="45"/>
      <c r="AI236" s="144"/>
      <c r="AJ236" s="144"/>
      <c r="AK236" s="45"/>
      <c r="AL236" s="45"/>
      <c r="AM236" s="144"/>
      <c r="AN236" s="144"/>
      <c r="AO236" s="144"/>
      <c r="AP236" s="22"/>
      <c r="AQ236" s="22"/>
      <c r="AR236" s="144"/>
      <c r="AS236" s="22"/>
      <c r="AT236" s="22"/>
      <c r="AU236" s="144"/>
      <c r="AV236" s="22"/>
      <c r="AW236" s="22"/>
      <c r="AX236" s="144"/>
      <c r="AY236" s="22"/>
      <c r="AZ236" s="22"/>
      <c r="BA236" s="144"/>
      <c r="BB236" s="22"/>
      <c r="BC236" s="22"/>
      <c r="BD236" s="144"/>
      <c r="BE236" s="144"/>
      <c r="BF236" s="22"/>
      <c r="BG236" s="144"/>
      <c r="BH236" s="144"/>
      <c r="BI236" s="144"/>
      <c r="BJ236" s="144"/>
      <c r="BK236" s="144"/>
      <c r="BL236" s="22"/>
      <c r="BM236" s="144"/>
      <c r="BN236" s="144"/>
      <c r="BO236" s="22"/>
      <c r="BP236" s="144"/>
      <c r="BQ236" s="22"/>
      <c r="BR236" s="144"/>
      <c r="BS236" s="144"/>
      <c r="BT236" s="22"/>
      <c r="BU236" s="144"/>
      <c r="BV236" s="144"/>
      <c r="BW236" s="22"/>
      <c r="BX236" s="22"/>
      <c r="BY236" s="144"/>
      <c r="BZ236" s="22"/>
      <c r="CA236" s="22"/>
      <c r="CB236" s="144"/>
      <c r="CC236" s="22"/>
      <c r="CD236" s="22"/>
      <c r="CE236" s="144"/>
      <c r="CF236" s="22"/>
      <c r="CG236" s="22"/>
      <c r="CH236" s="144"/>
      <c r="CI236" s="22"/>
      <c r="CJ236" s="22"/>
      <c r="CK236" s="144"/>
      <c r="CL236" s="22"/>
      <c r="CM236" s="22"/>
      <c r="CN236" s="144"/>
      <c r="CO236" s="22"/>
      <c r="CP236" s="22"/>
      <c r="CQ236" s="144"/>
    </row>
    <row r="237" spans="1:95" ht="15.75" customHeight="1" x14ac:dyDescent="0.45">
      <c r="A237" s="22"/>
      <c r="B237" s="22"/>
      <c r="C237" s="12"/>
      <c r="D237" s="12"/>
      <c r="E237" s="12"/>
      <c r="F237" s="155"/>
      <c r="G237" s="144"/>
      <c r="H237" s="144"/>
      <c r="I237" s="12"/>
      <c r="J237" s="22"/>
      <c r="K237" s="22"/>
      <c r="L237" s="22"/>
      <c r="M237" s="145"/>
      <c r="N237" s="144"/>
      <c r="O237" s="144"/>
      <c r="P237" s="152"/>
      <c r="Q237" s="22"/>
      <c r="R237" s="152"/>
      <c r="S237" s="22"/>
      <c r="T237" s="74"/>
      <c r="U237" s="45"/>
      <c r="V237" s="158"/>
      <c r="W237" s="45"/>
      <c r="X237" s="45"/>
      <c r="Y237" s="45"/>
      <c r="Z237" s="45"/>
      <c r="AA237" s="45"/>
      <c r="AB237" s="45"/>
      <c r="AC237" s="44"/>
      <c r="AD237" s="45"/>
      <c r="AE237" s="45"/>
      <c r="AF237" s="45"/>
      <c r="AG237" s="45"/>
      <c r="AH237" s="45"/>
      <c r="AI237" s="144"/>
      <c r="AJ237" s="144"/>
      <c r="AK237" s="45"/>
      <c r="AL237" s="45"/>
      <c r="AM237" s="144"/>
      <c r="AN237" s="144"/>
      <c r="AO237" s="144"/>
      <c r="AP237" s="22"/>
      <c r="AQ237" s="22"/>
      <c r="AR237" s="144"/>
      <c r="AS237" s="22"/>
      <c r="AT237" s="22"/>
      <c r="AU237" s="144"/>
      <c r="AV237" s="22"/>
      <c r="AW237" s="22"/>
      <c r="AX237" s="144"/>
      <c r="AY237" s="22"/>
      <c r="AZ237" s="22"/>
      <c r="BA237" s="144"/>
      <c r="BB237" s="22"/>
      <c r="BC237" s="22"/>
      <c r="BD237" s="144"/>
      <c r="BE237" s="144"/>
      <c r="BF237" s="22"/>
      <c r="BG237" s="144"/>
      <c r="BH237" s="144"/>
      <c r="BI237" s="144"/>
      <c r="BJ237" s="144"/>
      <c r="BK237" s="144"/>
      <c r="BL237" s="22"/>
      <c r="BM237" s="144"/>
      <c r="BN237" s="144"/>
      <c r="BO237" s="22"/>
      <c r="BP237" s="144"/>
      <c r="BQ237" s="22"/>
      <c r="BR237" s="144"/>
      <c r="BS237" s="144"/>
      <c r="BT237" s="22"/>
      <c r="BU237" s="144"/>
      <c r="BV237" s="144"/>
      <c r="BW237" s="22"/>
      <c r="BX237" s="22"/>
      <c r="BY237" s="144"/>
      <c r="BZ237" s="22"/>
      <c r="CA237" s="22"/>
      <c r="CB237" s="144"/>
      <c r="CC237" s="22"/>
      <c r="CD237" s="22"/>
      <c r="CE237" s="144"/>
      <c r="CF237" s="22"/>
      <c r="CG237" s="22"/>
      <c r="CH237" s="144"/>
      <c r="CI237" s="22"/>
      <c r="CJ237" s="22"/>
      <c r="CK237" s="144"/>
      <c r="CL237" s="22"/>
      <c r="CM237" s="22"/>
      <c r="CN237" s="144"/>
      <c r="CO237" s="22"/>
      <c r="CP237" s="22"/>
      <c r="CQ237" s="144"/>
    </row>
    <row r="238" spans="1:95" ht="15.75" customHeight="1" x14ac:dyDescent="0.45">
      <c r="A238" s="22"/>
      <c r="B238" s="22"/>
      <c r="C238" s="12"/>
      <c r="D238" s="12"/>
      <c r="E238" s="12"/>
      <c r="F238" s="155"/>
      <c r="G238" s="144"/>
      <c r="H238" s="144"/>
      <c r="I238" s="12"/>
      <c r="J238" s="22"/>
      <c r="K238" s="22"/>
      <c r="L238" s="22"/>
      <c r="M238" s="145"/>
      <c r="N238" s="144"/>
      <c r="O238" s="144"/>
      <c r="P238" s="152"/>
      <c r="Q238" s="22"/>
      <c r="R238" s="152"/>
      <c r="S238" s="22"/>
      <c r="T238" s="74"/>
      <c r="U238" s="45"/>
      <c r="V238" s="158"/>
      <c r="W238" s="45"/>
      <c r="X238" s="45"/>
      <c r="Y238" s="45"/>
      <c r="Z238" s="45"/>
      <c r="AA238" s="45"/>
      <c r="AB238" s="45"/>
      <c r="AC238" s="44"/>
      <c r="AD238" s="45"/>
      <c r="AE238" s="45"/>
      <c r="AF238" s="45"/>
      <c r="AG238" s="45"/>
      <c r="AH238" s="45"/>
      <c r="AI238" s="144"/>
      <c r="AJ238" s="144"/>
      <c r="AK238" s="45"/>
      <c r="AL238" s="45"/>
      <c r="AM238" s="144"/>
      <c r="AN238" s="144"/>
      <c r="AO238" s="144"/>
      <c r="AP238" s="22"/>
      <c r="AQ238" s="22"/>
      <c r="AR238" s="144"/>
      <c r="AS238" s="22"/>
      <c r="AT238" s="22"/>
      <c r="AU238" s="144"/>
      <c r="AV238" s="22"/>
      <c r="AW238" s="22"/>
      <c r="AX238" s="144"/>
      <c r="AY238" s="22"/>
      <c r="AZ238" s="22"/>
      <c r="BA238" s="144"/>
      <c r="BB238" s="22"/>
      <c r="BC238" s="22"/>
      <c r="BD238" s="144"/>
      <c r="BE238" s="144"/>
      <c r="BF238" s="22"/>
      <c r="BG238" s="144"/>
      <c r="BH238" s="144"/>
      <c r="BI238" s="144"/>
      <c r="BJ238" s="144"/>
      <c r="BK238" s="144"/>
      <c r="BL238" s="22"/>
      <c r="BM238" s="144"/>
      <c r="BN238" s="144"/>
      <c r="BO238" s="22"/>
      <c r="BP238" s="144"/>
      <c r="BQ238" s="22"/>
      <c r="BR238" s="144"/>
      <c r="BS238" s="144"/>
      <c r="BT238" s="22"/>
      <c r="BU238" s="144"/>
      <c r="BV238" s="144"/>
      <c r="BW238" s="22"/>
      <c r="BX238" s="22"/>
      <c r="BY238" s="144"/>
      <c r="BZ238" s="22"/>
      <c r="CA238" s="22"/>
      <c r="CB238" s="144"/>
      <c r="CC238" s="22"/>
      <c r="CD238" s="22"/>
      <c r="CE238" s="144"/>
      <c r="CF238" s="22"/>
      <c r="CG238" s="22"/>
      <c r="CH238" s="144"/>
      <c r="CI238" s="22"/>
      <c r="CJ238" s="22"/>
      <c r="CK238" s="144"/>
      <c r="CL238" s="22"/>
      <c r="CM238" s="22"/>
      <c r="CN238" s="144"/>
      <c r="CO238" s="22"/>
      <c r="CP238" s="22"/>
      <c r="CQ238" s="144"/>
    </row>
    <row r="239" spans="1:95" ht="15.75" customHeight="1" x14ac:dyDescent="0.45">
      <c r="A239" s="22"/>
      <c r="B239" s="22"/>
      <c r="C239" s="12"/>
      <c r="D239" s="12"/>
      <c r="E239" s="12"/>
      <c r="F239" s="155"/>
      <c r="G239" s="144"/>
      <c r="H239" s="144"/>
      <c r="I239" s="12"/>
      <c r="J239" s="22"/>
      <c r="K239" s="22"/>
      <c r="L239" s="22"/>
      <c r="M239" s="145"/>
      <c r="N239" s="144"/>
      <c r="O239" s="144"/>
      <c r="P239" s="152"/>
      <c r="Q239" s="22"/>
      <c r="R239" s="152"/>
      <c r="S239" s="22"/>
      <c r="T239" s="74"/>
      <c r="U239" s="45"/>
      <c r="V239" s="158"/>
      <c r="W239" s="45"/>
      <c r="X239" s="45"/>
      <c r="Y239" s="45"/>
      <c r="Z239" s="45"/>
      <c r="AA239" s="45"/>
      <c r="AB239" s="45"/>
      <c r="AC239" s="44"/>
      <c r="AD239" s="45"/>
      <c r="AE239" s="45"/>
      <c r="AF239" s="45"/>
      <c r="AG239" s="45"/>
      <c r="AH239" s="45"/>
      <c r="AI239" s="144"/>
      <c r="AJ239" s="144"/>
      <c r="AK239" s="45"/>
      <c r="AL239" s="45"/>
      <c r="AM239" s="144"/>
      <c r="AN239" s="144"/>
      <c r="AO239" s="144"/>
      <c r="AP239" s="22"/>
      <c r="AQ239" s="22"/>
      <c r="AR239" s="144"/>
      <c r="AS239" s="22"/>
      <c r="AT239" s="22"/>
      <c r="AU239" s="144"/>
      <c r="AV239" s="22"/>
      <c r="AW239" s="22"/>
      <c r="AX239" s="144"/>
      <c r="AY239" s="22"/>
      <c r="AZ239" s="22"/>
      <c r="BA239" s="144"/>
      <c r="BB239" s="22"/>
      <c r="BC239" s="22"/>
      <c r="BD239" s="144"/>
      <c r="BE239" s="144"/>
      <c r="BF239" s="22"/>
      <c r="BG239" s="144"/>
      <c r="BH239" s="144"/>
      <c r="BI239" s="144"/>
      <c r="BJ239" s="144"/>
      <c r="BK239" s="144"/>
      <c r="BL239" s="22"/>
      <c r="BM239" s="144"/>
      <c r="BN239" s="144"/>
      <c r="BO239" s="22"/>
      <c r="BP239" s="144"/>
      <c r="BQ239" s="22"/>
      <c r="BR239" s="144"/>
      <c r="BS239" s="144"/>
      <c r="BT239" s="22"/>
      <c r="BU239" s="144"/>
      <c r="BV239" s="144"/>
      <c r="BW239" s="22"/>
      <c r="BX239" s="22"/>
      <c r="BY239" s="144"/>
      <c r="BZ239" s="22"/>
      <c r="CA239" s="22"/>
      <c r="CB239" s="144"/>
      <c r="CC239" s="22"/>
      <c r="CD239" s="22"/>
      <c r="CE239" s="144"/>
      <c r="CF239" s="22"/>
      <c r="CG239" s="22"/>
      <c r="CH239" s="144"/>
      <c r="CI239" s="22"/>
      <c r="CJ239" s="22"/>
      <c r="CK239" s="144"/>
      <c r="CL239" s="22"/>
      <c r="CM239" s="22"/>
      <c r="CN239" s="144"/>
      <c r="CO239" s="22"/>
      <c r="CP239" s="22"/>
      <c r="CQ239" s="144"/>
    </row>
    <row r="240" spans="1:95" ht="15.75" customHeight="1" x14ac:dyDescent="0.45">
      <c r="A240" s="22"/>
      <c r="B240" s="22"/>
      <c r="C240" s="12"/>
      <c r="D240" s="12"/>
      <c r="E240" s="12"/>
      <c r="F240" s="155"/>
      <c r="G240" s="144"/>
      <c r="H240" s="144"/>
      <c r="I240" s="12"/>
      <c r="J240" s="22"/>
      <c r="K240" s="22"/>
      <c r="L240" s="22"/>
      <c r="M240" s="145"/>
      <c r="N240" s="144"/>
      <c r="O240" s="144"/>
      <c r="P240" s="152"/>
      <c r="Q240" s="22"/>
      <c r="R240" s="152"/>
      <c r="S240" s="22"/>
      <c r="T240" s="74"/>
      <c r="U240" s="45"/>
      <c r="V240" s="158"/>
      <c r="W240" s="45"/>
      <c r="X240" s="45"/>
      <c r="Y240" s="45"/>
      <c r="Z240" s="45"/>
      <c r="AA240" s="45"/>
      <c r="AB240" s="45"/>
      <c r="AC240" s="44"/>
      <c r="AD240" s="45"/>
      <c r="AE240" s="45"/>
      <c r="AF240" s="45"/>
      <c r="AG240" s="45"/>
      <c r="AH240" s="45"/>
      <c r="AI240" s="144"/>
      <c r="AJ240" s="144"/>
      <c r="AK240" s="45"/>
      <c r="AL240" s="45"/>
      <c r="AM240" s="144"/>
      <c r="AN240" s="144"/>
      <c r="AO240" s="144"/>
      <c r="AP240" s="22"/>
      <c r="AQ240" s="22"/>
      <c r="AR240" s="144"/>
      <c r="AS240" s="22"/>
      <c r="AT240" s="22"/>
      <c r="AU240" s="144"/>
      <c r="AV240" s="22"/>
      <c r="AW240" s="22"/>
      <c r="AX240" s="144"/>
      <c r="AY240" s="22"/>
      <c r="AZ240" s="22"/>
      <c r="BA240" s="144"/>
      <c r="BB240" s="22"/>
      <c r="BC240" s="22"/>
      <c r="BD240" s="144"/>
      <c r="BE240" s="144"/>
      <c r="BF240" s="22"/>
      <c r="BG240" s="144"/>
      <c r="BH240" s="144"/>
      <c r="BI240" s="144"/>
      <c r="BJ240" s="144"/>
      <c r="BK240" s="144"/>
      <c r="BL240" s="22"/>
      <c r="BM240" s="144"/>
      <c r="BN240" s="144"/>
      <c r="BO240" s="22"/>
      <c r="BP240" s="144"/>
      <c r="BQ240" s="22"/>
      <c r="BR240" s="144"/>
      <c r="BS240" s="144"/>
      <c r="BT240" s="22"/>
      <c r="BU240" s="144"/>
      <c r="BV240" s="144"/>
      <c r="BW240" s="22"/>
      <c r="BX240" s="22"/>
      <c r="BY240" s="144"/>
      <c r="BZ240" s="22"/>
      <c r="CA240" s="22"/>
      <c r="CB240" s="144"/>
      <c r="CC240" s="22"/>
      <c r="CD240" s="22"/>
      <c r="CE240" s="144"/>
      <c r="CF240" s="22"/>
      <c r="CG240" s="22"/>
      <c r="CH240" s="144"/>
      <c r="CI240" s="22"/>
      <c r="CJ240" s="22"/>
      <c r="CK240" s="144"/>
      <c r="CL240" s="22"/>
      <c r="CM240" s="22"/>
      <c r="CN240" s="144"/>
      <c r="CO240" s="22"/>
      <c r="CP240" s="22"/>
      <c r="CQ240" s="144"/>
    </row>
    <row r="241" spans="1:95" ht="15.75" customHeight="1" x14ac:dyDescent="0.45">
      <c r="A241" s="22"/>
      <c r="B241" s="22"/>
      <c r="C241" s="12"/>
      <c r="D241" s="12"/>
      <c r="E241" s="12"/>
      <c r="F241" s="155"/>
      <c r="G241" s="144"/>
      <c r="H241" s="144"/>
      <c r="I241" s="12"/>
      <c r="J241" s="22"/>
      <c r="K241" s="22"/>
      <c r="L241" s="22"/>
      <c r="M241" s="145"/>
      <c r="N241" s="144"/>
      <c r="O241" s="144"/>
      <c r="P241" s="152"/>
      <c r="Q241" s="22"/>
      <c r="R241" s="152"/>
      <c r="S241" s="22"/>
      <c r="T241" s="74"/>
      <c r="U241" s="45"/>
      <c r="V241" s="158"/>
      <c r="W241" s="45"/>
      <c r="X241" s="45"/>
      <c r="Y241" s="45"/>
      <c r="Z241" s="45"/>
      <c r="AA241" s="45"/>
      <c r="AB241" s="45"/>
      <c r="AC241" s="44"/>
      <c r="AD241" s="45"/>
      <c r="AE241" s="45"/>
      <c r="AF241" s="45"/>
      <c r="AG241" s="45"/>
      <c r="AH241" s="45"/>
      <c r="AI241" s="144"/>
      <c r="AJ241" s="144"/>
      <c r="AK241" s="45"/>
      <c r="AL241" s="45"/>
      <c r="AM241" s="144"/>
      <c r="AN241" s="144"/>
      <c r="AO241" s="144"/>
      <c r="AP241" s="22"/>
      <c r="AQ241" s="22"/>
      <c r="AR241" s="144"/>
      <c r="AS241" s="22"/>
      <c r="AT241" s="22"/>
      <c r="AU241" s="144"/>
      <c r="AV241" s="22"/>
      <c r="AW241" s="22"/>
      <c r="AX241" s="144"/>
      <c r="AY241" s="22"/>
      <c r="AZ241" s="22"/>
      <c r="BA241" s="144"/>
      <c r="BB241" s="22"/>
      <c r="BC241" s="22"/>
      <c r="BD241" s="144"/>
      <c r="BE241" s="144"/>
      <c r="BF241" s="22"/>
      <c r="BG241" s="144"/>
      <c r="BH241" s="144"/>
      <c r="BI241" s="144"/>
      <c r="BJ241" s="144"/>
      <c r="BK241" s="144"/>
      <c r="BL241" s="22"/>
      <c r="BM241" s="144"/>
      <c r="BN241" s="144"/>
      <c r="BO241" s="22"/>
      <c r="BP241" s="144"/>
      <c r="BQ241" s="22"/>
      <c r="BR241" s="144"/>
      <c r="BS241" s="144"/>
      <c r="BT241" s="22"/>
      <c r="BU241" s="144"/>
      <c r="BV241" s="144"/>
      <c r="BW241" s="22"/>
      <c r="BX241" s="22"/>
      <c r="BY241" s="144"/>
      <c r="BZ241" s="22"/>
      <c r="CA241" s="22"/>
      <c r="CB241" s="144"/>
      <c r="CC241" s="22"/>
      <c r="CD241" s="22"/>
      <c r="CE241" s="144"/>
      <c r="CF241" s="22"/>
      <c r="CG241" s="22"/>
      <c r="CH241" s="144"/>
      <c r="CI241" s="22"/>
      <c r="CJ241" s="22"/>
      <c r="CK241" s="144"/>
      <c r="CL241" s="22"/>
      <c r="CM241" s="22"/>
      <c r="CN241" s="144"/>
      <c r="CO241" s="22"/>
      <c r="CP241" s="22"/>
      <c r="CQ241" s="144"/>
    </row>
    <row r="242" spans="1:95" ht="15.75" customHeight="1" x14ac:dyDescent="0.45">
      <c r="A242" s="22"/>
      <c r="B242" s="22"/>
      <c r="C242" s="12"/>
      <c r="D242" s="12"/>
      <c r="E242" s="12"/>
      <c r="F242" s="155"/>
      <c r="G242" s="144"/>
      <c r="H242" s="144"/>
      <c r="I242" s="12"/>
      <c r="J242" s="22"/>
      <c r="K242" s="22"/>
      <c r="L242" s="22"/>
      <c r="M242" s="145"/>
      <c r="N242" s="144"/>
      <c r="O242" s="144"/>
      <c r="P242" s="152"/>
      <c r="Q242" s="22"/>
      <c r="R242" s="152"/>
      <c r="S242" s="22"/>
      <c r="T242" s="74"/>
      <c r="U242" s="45"/>
      <c r="V242" s="158"/>
      <c r="W242" s="45"/>
      <c r="X242" s="45"/>
      <c r="Y242" s="45"/>
      <c r="Z242" s="45"/>
      <c r="AA242" s="45"/>
      <c r="AB242" s="45"/>
      <c r="AC242" s="44"/>
      <c r="AD242" s="45"/>
      <c r="AE242" s="45"/>
      <c r="AF242" s="45"/>
      <c r="AG242" s="45"/>
      <c r="AH242" s="45"/>
      <c r="AI242" s="144"/>
      <c r="AJ242" s="144"/>
      <c r="AK242" s="45"/>
      <c r="AL242" s="45"/>
      <c r="AM242" s="144"/>
      <c r="AN242" s="144"/>
      <c r="AO242" s="144"/>
      <c r="AP242" s="22"/>
      <c r="AQ242" s="22"/>
      <c r="AR242" s="144"/>
      <c r="AS242" s="22"/>
      <c r="AT242" s="22"/>
      <c r="AU242" s="144"/>
      <c r="AV242" s="22"/>
      <c r="AW242" s="22"/>
      <c r="AX242" s="144"/>
      <c r="AY242" s="22"/>
      <c r="AZ242" s="22"/>
      <c r="BA242" s="144"/>
      <c r="BB242" s="22"/>
      <c r="BC242" s="22"/>
      <c r="BD242" s="144"/>
      <c r="BE242" s="144"/>
      <c r="BF242" s="22"/>
      <c r="BG242" s="144"/>
      <c r="BH242" s="144"/>
      <c r="BI242" s="144"/>
      <c r="BJ242" s="144"/>
      <c r="BK242" s="144"/>
      <c r="BL242" s="22"/>
      <c r="BM242" s="144"/>
      <c r="BN242" s="144"/>
      <c r="BO242" s="22"/>
      <c r="BP242" s="144"/>
      <c r="BQ242" s="22"/>
      <c r="BR242" s="144"/>
      <c r="BS242" s="144"/>
      <c r="BT242" s="22"/>
      <c r="BU242" s="144"/>
      <c r="BV242" s="144"/>
      <c r="BW242" s="22"/>
      <c r="BX242" s="22"/>
      <c r="BY242" s="144"/>
      <c r="BZ242" s="22"/>
      <c r="CA242" s="22"/>
      <c r="CB242" s="144"/>
      <c r="CC242" s="22"/>
      <c r="CD242" s="22"/>
      <c r="CE242" s="144"/>
      <c r="CF242" s="22"/>
      <c r="CG242" s="22"/>
      <c r="CH242" s="144"/>
      <c r="CI242" s="22"/>
      <c r="CJ242" s="22"/>
      <c r="CK242" s="144"/>
      <c r="CL242" s="22"/>
      <c r="CM242" s="22"/>
      <c r="CN242" s="144"/>
      <c r="CO242" s="22"/>
      <c r="CP242" s="22"/>
      <c r="CQ242" s="144"/>
    </row>
    <row r="243" spans="1:95" ht="15.75" customHeight="1" x14ac:dyDescent="0.45">
      <c r="A243" s="22"/>
      <c r="B243" s="22"/>
      <c r="C243" s="12"/>
      <c r="D243" s="12"/>
      <c r="E243" s="12"/>
      <c r="F243" s="155"/>
      <c r="G243" s="144"/>
      <c r="H243" s="144"/>
      <c r="I243" s="12"/>
      <c r="J243" s="22"/>
      <c r="K243" s="22"/>
      <c r="L243" s="22"/>
      <c r="M243" s="145"/>
      <c r="N243" s="144"/>
      <c r="O243" s="144"/>
      <c r="P243" s="152"/>
      <c r="Q243" s="22"/>
      <c r="R243" s="152"/>
      <c r="S243" s="22"/>
      <c r="T243" s="74"/>
      <c r="U243" s="45"/>
      <c r="V243" s="158"/>
      <c r="W243" s="45"/>
      <c r="X243" s="45"/>
      <c r="Y243" s="45"/>
      <c r="Z243" s="45"/>
      <c r="AA243" s="45"/>
      <c r="AB243" s="45"/>
      <c r="AC243" s="44"/>
      <c r="AD243" s="45"/>
      <c r="AE243" s="45"/>
      <c r="AF243" s="45"/>
      <c r="AG243" s="45"/>
      <c r="AH243" s="45"/>
      <c r="AI243" s="144"/>
      <c r="AJ243" s="144"/>
      <c r="AK243" s="45"/>
      <c r="AL243" s="45"/>
      <c r="AM243" s="144"/>
      <c r="AN243" s="144"/>
      <c r="AO243" s="144"/>
      <c r="AP243" s="22"/>
      <c r="AQ243" s="22"/>
      <c r="AR243" s="144"/>
      <c r="AS243" s="22"/>
      <c r="AT243" s="22"/>
      <c r="AU243" s="144"/>
      <c r="AV243" s="22"/>
      <c r="AW243" s="22"/>
      <c r="AX243" s="144"/>
      <c r="AY243" s="22"/>
      <c r="AZ243" s="22"/>
      <c r="BA243" s="144"/>
      <c r="BB243" s="22"/>
      <c r="BC243" s="22"/>
      <c r="BD243" s="144"/>
      <c r="BE243" s="144"/>
      <c r="BF243" s="22"/>
      <c r="BG243" s="144"/>
      <c r="BH243" s="144"/>
      <c r="BI243" s="144"/>
      <c r="BJ243" s="144"/>
      <c r="BK243" s="144"/>
      <c r="BL243" s="22"/>
      <c r="BM243" s="144"/>
      <c r="BN243" s="144"/>
      <c r="BO243" s="22"/>
      <c r="BP243" s="144"/>
      <c r="BQ243" s="22"/>
      <c r="BR243" s="144"/>
      <c r="BS243" s="144"/>
      <c r="BT243" s="22"/>
      <c r="BU243" s="144"/>
      <c r="BV243" s="144"/>
      <c r="BW243" s="22"/>
      <c r="BX243" s="22"/>
      <c r="BY243" s="144"/>
      <c r="BZ243" s="22"/>
      <c r="CA243" s="22"/>
      <c r="CB243" s="144"/>
      <c r="CC243" s="22"/>
      <c r="CD243" s="22"/>
      <c r="CE243" s="144"/>
      <c r="CF243" s="22"/>
      <c r="CG243" s="22"/>
      <c r="CH243" s="144"/>
      <c r="CI243" s="22"/>
      <c r="CJ243" s="22"/>
      <c r="CK243" s="144"/>
      <c r="CL243" s="22"/>
      <c r="CM243" s="22"/>
      <c r="CN243" s="144"/>
      <c r="CO243" s="22"/>
      <c r="CP243" s="22"/>
      <c r="CQ243" s="144"/>
    </row>
    <row r="244" spans="1:95" ht="15.75" customHeight="1" x14ac:dyDescent="0.45">
      <c r="A244" s="22"/>
      <c r="B244" s="22"/>
      <c r="C244" s="12"/>
      <c r="D244" s="12"/>
      <c r="E244" s="12"/>
      <c r="F244" s="155"/>
      <c r="G244" s="144"/>
      <c r="H244" s="144"/>
      <c r="I244" s="12"/>
      <c r="J244" s="22"/>
      <c r="K244" s="22"/>
      <c r="L244" s="22"/>
      <c r="M244" s="145"/>
      <c r="N244" s="144"/>
      <c r="O244" s="144"/>
      <c r="P244" s="152"/>
      <c r="Q244" s="22"/>
      <c r="R244" s="152"/>
      <c r="S244" s="22"/>
      <c r="T244" s="74"/>
      <c r="U244" s="45"/>
      <c r="V244" s="158"/>
      <c r="W244" s="45"/>
      <c r="X244" s="45"/>
      <c r="Y244" s="45"/>
      <c r="Z244" s="45"/>
      <c r="AA244" s="45"/>
      <c r="AB244" s="45"/>
      <c r="AC244" s="44"/>
      <c r="AD244" s="45"/>
      <c r="AE244" s="45"/>
      <c r="AF244" s="45"/>
      <c r="AG244" s="45"/>
      <c r="AH244" s="45"/>
      <c r="AI244" s="144"/>
      <c r="AJ244" s="144"/>
      <c r="AK244" s="45"/>
      <c r="AL244" s="45"/>
      <c r="AM244" s="144"/>
      <c r="AN244" s="144"/>
      <c r="AO244" s="144"/>
      <c r="AP244" s="22"/>
      <c r="AQ244" s="22"/>
      <c r="AR244" s="144"/>
      <c r="AS244" s="22"/>
      <c r="AT244" s="22"/>
      <c r="AU244" s="144"/>
      <c r="AV244" s="22"/>
      <c r="AW244" s="22"/>
      <c r="AX244" s="144"/>
      <c r="AY244" s="22"/>
      <c r="AZ244" s="22"/>
      <c r="BA244" s="144"/>
      <c r="BB244" s="22"/>
      <c r="BC244" s="22"/>
      <c r="BD244" s="144"/>
      <c r="BE244" s="144"/>
      <c r="BF244" s="22"/>
      <c r="BG244" s="144"/>
      <c r="BH244" s="144"/>
      <c r="BI244" s="144"/>
      <c r="BJ244" s="144"/>
      <c r="BK244" s="144"/>
      <c r="BL244" s="22"/>
      <c r="BM244" s="144"/>
      <c r="BN244" s="144"/>
      <c r="BO244" s="22"/>
      <c r="BP244" s="144"/>
      <c r="BQ244" s="22"/>
      <c r="BR244" s="144"/>
      <c r="BS244" s="144"/>
      <c r="BT244" s="22"/>
      <c r="BU244" s="144"/>
      <c r="BV244" s="144"/>
      <c r="BW244" s="22"/>
      <c r="BX244" s="22"/>
      <c r="BY244" s="144"/>
      <c r="BZ244" s="22"/>
      <c r="CA244" s="22"/>
      <c r="CB244" s="144"/>
      <c r="CC244" s="22"/>
      <c r="CD244" s="22"/>
      <c r="CE244" s="144"/>
      <c r="CF244" s="22"/>
      <c r="CG244" s="22"/>
      <c r="CH244" s="144"/>
      <c r="CI244" s="22"/>
      <c r="CJ244" s="22"/>
      <c r="CK244" s="144"/>
      <c r="CL244" s="22"/>
      <c r="CM244" s="22"/>
      <c r="CN244" s="144"/>
      <c r="CO244" s="22"/>
      <c r="CP244" s="22"/>
      <c r="CQ244" s="144"/>
    </row>
    <row r="245" spans="1:95" ht="15.75" customHeight="1" x14ac:dyDescent="0.45">
      <c r="A245" s="22"/>
      <c r="B245" s="22"/>
      <c r="C245" s="12"/>
      <c r="D245" s="12"/>
      <c r="E245" s="12"/>
      <c r="F245" s="155"/>
      <c r="G245" s="144"/>
      <c r="H245" s="144"/>
      <c r="I245" s="12"/>
      <c r="J245" s="22"/>
      <c r="K245" s="22"/>
      <c r="L245" s="22"/>
      <c r="M245" s="145"/>
      <c r="N245" s="144"/>
      <c r="O245" s="144"/>
      <c r="P245" s="152"/>
      <c r="Q245" s="22"/>
      <c r="R245" s="152"/>
      <c r="S245" s="22"/>
      <c r="T245" s="74"/>
      <c r="U245" s="45"/>
      <c r="V245" s="158"/>
      <c r="W245" s="45"/>
      <c r="X245" s="45"/>
      <c r="Y245" s="45"/>
      <c r="Z245" s="45"/>
      <c r="AA245" s="45"/>
      <c r="AB245" s="45"/>
      <c r="AC245" s="44"/>
      <c r="AD245" s="45"/>
      <c r="AE245" s="45"/>
      <c r="AF245" s="45"/>
      <c r="AG245" s="45"/>
      <c r="AH245" s="45"/>
      <c r="AI245" s="144"/>
      <c r="AJ245" s="144"/>
      <c r="AK245" s="45"/>
      <c r="AL245" s="45"/>
      <c r="AM245" s="144"/>
      <c r="AN245" s="144"/>
      <c r="AO245" s="144"/>
      <c r="AP245" s="22"/>
      <c r="AQ245" s="22"/>
      <c r="AR245" s="144"/>
      <c r="AS245" s="22"/>
      <c r="AT245" s="22"/>
      <c r="AU245" s="144"/>
      <c r="AV245" s="22"/>
      <c r="AW245" s="22"/>
      <c r="AX245" s="144"/>
      <c r="AY245" s="22"/>
      <c r="AZ245" s="22"/>
      <c r="BA245" s="144"/>
      <c r="BB245" s="22"/>
      <c r="BC245" s="22"/>
      <c r="BD245" s="144"/>
      <c r="BE245" s="144"/>
      <c r="BF245" s="22"/>
      <c r="BG245" s="144"/>
      <c r="BH245" s="144"/>
      <c r="BI245" s="144"/>
      <c r="BJ245" s="144"/>
      <c r="BK245" s="144"/>
      <c r="BL245" s="22"/>
      <c r="BM245" s="144"/>
      <c r="BN245" s="144"/>
      <c r="BO245" s="22"/>
      <c r="BP245" s="144"/>
      <c r="BQ245" s="22"/>
      <c r="BR245" s="144"/>
      <c r="BS245" s="144"/>
      <c r="BT245" s="22"/>
      <c r="BU245" s="144"/>
      <c r="BV245" s="144"/>
      <c r="BW245" s="22"/>
      <c r="BX245" s="22"/>
      <c r="BY245" s="144"/>
      <c r="BZ245" s="22"/>
      <c r="CA245" s="22"/>
      <c r="CB245" s="144"/>
      <c r="CC245" s="22"/>
      <c r="CD245" s="22"/>
      <c r="CE245" s="144"/>
      <c r="CF245" s="22"/>
      <c r="CG245" s="22"/>
      <c r="CH245" s="144"/>
      <c r="CI245" s="22"/>
      <c r="CJ245" s="22"/>
      <c r="CK245" s="144"/>
      <c r="CL245" s="22"/>
      <c r="CM245" s="22"/>
      <c r="CN245" s="144"/>
      <c r="CO245" s="22"/>
      <c r="CP245" s="22"/>
      <c r="CQ245" s="144"/>
    </row>
    <row r="246" spans="1:95" ht="15.75" customHeight="1" x14ac:dyDescent="0.45">
      <c r="A246" s="22"/>
      <c r="B246" s="22"/>
      <c r="C246" s="12"/>
      <c r="D246" s="12"/>
      <c r="E246" s="12"/>
      <c r="F246" s="155"/>
      <c r="G246" s="144"/>
      <c r="H246" s="144"/>
      <c r="I246" s="12"/>
      <c r="J246" s="22"/>
      <c r="K246" s="22"/>
      <c r="L246" s="22"/>
      <c r="M246" s="145"/>
      <c r="N246" s="144"/>
      <c r="O246" s="144"/>
      <c r="P246" s="152"/>
      <c r="Q246" s="22"/>
      <c r="R246" s="152"/>
      <c r="S246" s="22"/>
      <c r="T246" s="74"/>
      <c r="U246" s="45"/>
      <c r="V246" s="158"/>
      <c r="W246" s="45"/>
      <c r="X246" s="45"/>
      <c r="Y246" s="45"/>
      <c r="Z246" s="45"/>
      <c r="AA246" s="45"/>
      <c r="AB246" s="45"/>
      <c r="AC246" s="44"/>
      <c r="AD246" s="45"/>
      <c r="AE246" s="45"/>
      <c r="AF246" s="45"/>
      <c r="AG246" s="45"/>
      <c r="AH246" s="45"/>
      <c r="AI246" s="144"/>
      <c r="AJ246" s="144"/>
      <c r="AK246" s="45"/>
      <c r="AL246" s="45"/>
      <c r="AM246" s="144"/>
      <c r="AN246" s="144"/>
      <c r="AO246" s="144"/>
      <c r="AP246" s="22"/>
      <c r="AQ246" s="22"/>
      <c r="AR246" s="144"/>
      <c r="AS246" s="22"/>
      <c r="AT246" s="22"/>
      <c r="AU246" s="144"/>
      <c r="AV246" s="22"/>
      <c r="AW246" s="22"/>
      <c r="AX246" s="144"/>
      <c r="AY246" s="22"/>
      <c r="AZ246" s="22"/>
      <c r="BA246" s="144"/>
      <c r="BB246" s="22"/>
      <c r="BC246" s="22"/>
      <c r="BD246" s="144"/>
      <c r="BE246" s="144"/>
      <c r="BF246" s="22"/>
      <c r="BG246" s="144"/>
      <c r="BH246" s="144"/>
      <c r="BI246" s="144"/>
      <c r="BJ246" s="144"/>
      <c r="BK246" s="144"/>
      <c r="BL246" s="22"/>
      <c r="BM246" s="144"/>
      <c r="BN246" s="144"/>
      <c r="BO246" s="22"/>
      <c r="BP246" s="144"/>
      <c r="BQ246" s="22"/>
      <c r="BR246" s="144"/>
      <c r="BS246" s="144"/>
      <c r="BT246" s="22"/>
      <c r="BU246" s="144"/>
      <c r="BV246" s="144"/>
      <c r="BW246" s="22"/>
      <c r="BX246" s="22"/>
      <c r="BY246" s="144"/>
      <c r="BZ246" s="22"/>
      <c r="CA246" s="22"/>
      <c r="CB246" s="144"/>
      <c r="CC246" s="22"/>
      <c r="CD246" s="22"/>
      <c r="CE246" s="144"/>
      <c r="CF246" s="22"/>
      <c r="CG246" s="22"/>
      <c r="CH246" s="144"/>
      <c r="CI246" s="22"/>
      <c r="CJ246" s="22"/>
      <c r="CK246" s="144"/>
      <c r="CL246" s="22"/>
      <c r="CM246" s="22"/>
      <c r="CN246" s="144"/>
      <c r="CO246" s="22"/>
      <c r="CP246" s="22"/>
      <c r="CQ246" s="144"/>
    </row>
    <row r="247" spans="1:95" ht="15.75" customHeight="1" x14ac:dyDescent="0.45">
      <c r="A247" s="22"/>
      <c r="B247" s="22"/>
      <c r="C247" s="12"/>
      <c r="D247" s="12"/>
      <c r="E247" s="12"/>
      <c r="F247" s="155"/>
      <c r="G247" s="144"/>
      <c r="H247" s="144"/>
      <c r="I247" s="12"/>
      <c r="J247" s="22"/>
      <c r="K247" s="22"/>
      <c r="L247" s="22"/>
      <c r="M247" s="145"/>
      <c r="N247" s="144"/>
      <c r="O247" s="144"/>
      <c r="P247" s="152"/>
      <c r="Q247" s="22"/>
      <c r="R247" s="152"/>
      <c r="S247" s="22"/>
      <c r="T247" s="74"/>
      <c r="U247" s="45"/>
      <c r="V247" s="158"/>
      <c r="W247" s="45"/>
      <c r="X247" s="45"/>
      <c r="Y247" s="45"/>
      <c r="Z247" s="45"/>
      <c r="AA247" s="45"/>
      <c r="AB247" s="45"/>
      <c r="AC247" s="44"/>
      <c r="AD247" s="45"/>
      <c r="AE247" s="45"/>
      <c r="AF247" s="45"/>
      <c r="AG247" s="45"/>
      <c r="AH247" s="45"/>
      <c r="AI247" s="144"/>
      <c r="AJ247" s="144"/>
      <c r="AK247" s="45"/>
      <c r="AL247" s="45"/>
      <c r="AM247" s="144"/>
      <c r="AN247" s="144"/>
      <c r="AO247" s="144"/>
      <c r="AP247" s="22"/>
      <c r="AQ247" s="22"/>
      <c r="AR247" s="144"/>
      <c r="AS247" s="22"/>
      <c r="AT247" s="22"/>
      <c r="AU247" s="144"/>
      <c r="AV247" s="22"/>
      <c r="AW247" s="22"/>
      <c r="AX247" s="144"/>
      <c r="AY247" s="22"/>
      <c r="AZ247" s="22"/>
      <c r="BA247" s="144"/>
      <c r="BB247" s="22"/>
      <c r="BC247" s="22"/>
      <c r="BD247" s="144"/>
      <c r="BE247" s="144"/>
      <c r="BF247" s="22"/>
      <c r="BG247" s="144"/>
      <c r="BH247" s="144"/>
      <c r="BI247" s="144"/>
      <c r="BJ247" s="144"/>
      <c r="BK247" s="144"/>
      <c r="BL247" s="22"/>
      <c r="BM247" s="144"/>
      <c r="BN247" s="144"/>
      <c r="BO247" s="22"/>
      <c r="BP247" s="144"/>
      <c r="BQ247" s="22"/>
      <c r="BR247" s="144"/>
      <c r="BS247" s="144"/>
      <c r="BT247" s="22"/>
      <c r="BU247" s="144"/>
      <c r="BV247" s="144"/>
      <c r="BW247" s="22"/>
      <c r="BX247" s="22"/>
      <c r="BY247" s="144"/>
      <c r="BZ247" s="22"/>
      <c r="CA247" s="22"/>
      <c r="CB247" s="144"/>
      <c r="CC247" s="22"/>
      <c r="CD247" s="22"/>
      <c r="CE247" s="144"/>
      <c r="CF247" s="22"/>
      <c r="CG247" s="22"/>
      <c r="CH247" s="144"/>
      <c r="CI247" s="22"/>
      <c r="CJ247" s="22"/>
      <c r="CK247" s="144"/>
      <c r="CL247" s="22"/>
      <c r="CM247" s="22"/>
      <c r="CN247" s="144"/>
      <c r="CO247" s="22"/>
      <c r="CP247" s="22"/>
      <c r="CQ247" s="144"/>
    </row>
    <row r="248" spans="1:95" ht="15.75" customHeight="1" x14ac:dyDescent="0.45">
      <c r="A248" s="22"/>
      <c r="B248" s="22"/>
      <c r="C248" s="12"/>
      <c r="D248" s="12"/>
      <c r="E248" s="12"/>
      <c r="F248" s="155"/>
      <c r="G248" s="144"/>
      <c r="H248" s="144"/>
      <c r="I248" s="12"/>
      <c r="J248" s="22"/>
      <c r="K248" s="22"/>
      <c r="L248" s="22"/>
      <c r="M248" s="145"/>
      <c r="N248" s="144"/>
      <c r="O248" s="144"/>
      <c r="P248" s="152"/>
      <c r="Q248" s="22"/>
      <c r="R248" s="152"/>
      <c r="S248" s="22"/>
      <c r="T248" s="74"/>
      <c r="U248" s="45"/>
      <c r="V248" s="158"/>
      <c r="W248" s="45"/>
      <c r="X248" s="45"/>
      <c r="Y248" s="45"/>
      <c r="Z248" s="45"/>
      <c r="AA248" s="45"/>
      <c r="AB248" s="45"/>
      <c r="AC248" s="44"/>
      <c r="AD248" s="45"/>
      <c r="AE248" s="45"/>
      <c r="AF248" s="45"/>
      <c r="AG248" s="45"/>
      <c r="AH248" s="45"/>
      <c r="AI248" s="144"/>
      <c r="AJ248" s="144"/>
      <c r="AK248" s="45"/>
      <c r="AL248" s="45"/>
      <c r="AM248" s="144"/>
      <c r="AN248" s="144"/>
      <c r="AO248" s="144"/>
      <c r="AP248" s="22"/>
      <c r="AQ248" s="22"/>
      <c r="AR248" s="144"/>
      <c r="AS248" s="22"/>
      <c r="AT248" s="22"/>
      <c r="AU248" s="144"/>
      <c r="AV248" s="22"/>
      <c r="AW248" s="22"/>
      <c r="AX248" s="144"/>
      <c r="AY248" s="22"/>
      <c r="AZ248" s="22"/>
      <c r="BA248" s="144"/>
      <c r="BB248" s="22"/>
      <c r="BC248" s="22"/>
      <c r="BD248" s="144"/>
      <c r="BE248" s="144"/>
      <c r="BF248" s="22"/>
      <c r="BG248" s="144"/>
      <c r="BH248" s="144"/>
      <c r="BI248" s="144"/>
      <c r="BJ248" s="144"/>
      <c r="BK248" s="144"/>
      <c r="BL248" s="22"/>
      <c r="BM248" s="144"/>
      <c r="BN248" s="144"/>
      <c r="BO248" s="22"/>
      <c r="BP248" s="144"/>
      <c r="BQ248" s="22"/>
      <c r="BR248" s="144"/>
      <c r="BS248" s="144"/>
      <c r="BT248" s="22"/>
      <c r="BU248" s="144"/>
      <c r="BV248" s="144"/>
      <c r="BW248" s="22"/>
      <c r="BX248" s="22"/>
      <c r="BY248" s="144"/>
      <c r="BZ248" s="22"/>
      <c r="CA248" s="22"/>
      <c r="CB248" s="144"/>
      <c r="CC248" s="22"/>
      <c r="CD248" s="22"/>
      <c r="CE248" s="144"/>
      <c r="CF248" s="22"/>
      <c r="CG248" s="22"/>
      <c r="CH248" s="144"/>
      <c r="CI248" s="22"/>
      <c r="CJ248" s="22"/>
      <c r="CK248" s="144"/>
      <c r="CL248" s="22"/>
      <c r="CM248" s="22"/>
      <c r="CN248" s="144"/>
      <c r="CO248" s="22"/>
      <c r="CP248" s="22"/>
      <c r="CQ248" s="144"/>
    </row>
    <row r="249" spans="1:95" ht="15.75" customHeight="1" x14ac:dyDescent="0.45">
      <c r="A249" s="22"/>
      <c r="B249" s="22"/>
      <c r="C249" s="12"/>
      <c r="D249" s="12"/>
      <c r="E249" s="12"/>
      <c r="F249" s="155"/>
      <c r="G249" s="144"/>
      <c r="H249" s="144"/>
      <c r="I249" s="12"/>
      <c r="J249" s="22"/>
      <c r="K249" s="22"/>
      <c r="L249" s="22"/>
      <c r="M249" s="145"/>
      <c r="N249" s="144"/>
      <c r="O249" s="144"/>
      <c r="P249" s="152"/>
      <c r="Q249" s="22"/>
      <c r="R249" s="152"/>
      <c r="S249" s="22"/>
      <c r="T249" s="74"/>
      <c r="U249" s="45"/>
      <c r="V249" s="158"/>
      <c r="W249" s="45"/>
      <c r="X249" s="45"/>
      <c r="Y249" s="45"/>
      <c r="Z249" s="45"/>
      <c r="AA249" s="45"/>
      <c r="AB249" s="45"/>
      <c r="AC249" s="44"/>
      <c r="AD249" s="45"/>
      <c r="AE249" s="45"/>
      <c r="AF249" s="45"/>
      <c r="AG249" s="45"/>
      <c r="AH249" s="45"/>
      <c r="AI249" s="144"/>
      <c r="AJ249" s="144"/>
      <c r="AK249" s="45"/>
      <c r="AL249" s="45"/>
      <c r="AM249" s="144"/>
      <c r="AN249" s="144"/>
      <c r="AO249" s="144"/>
      <c r="AP249" s="22"/>
      <c r="AQ249" s="22"/>
      <c r="AR249" s="144"/>
      <c r="AS249" s="22"/>
      <c r="AT249" s="22"/>
      <c r="AU249" s="144"/>
      <c r="AV249" s="22"/>
      <c r="AW249" s="22"/>
      <c r="AX249" s="144"/>
      <c r="AY249" s="22"/>
      <c r="AZ249" s="22"/>
      <c r="BA249" s="144"/>
      <c r="BB249" s="22"/>
      <c r="BC249" s="22"/>
      <c r="BD249" s="144"/>
      <c r="BE249" s="144"/>
      <c r="BF249" s="22"/>
      <c r="BG249" s="144"/>
      <c r="BH249" s="144"/>
      <c r="BI249" s="144"/>
      <c r="BJ249" s="144"/>
      <c r="BK249" s="144"/>
      <c r="BL249" s="22"/>
      <c r="BM249" s="144"/>
      <c r="BN249" s="144"/>
      <c r="BO249" s="22"/>
      <c r="BP249" s="144"/>
      <c r="BQ249" s="22"/>
      <c r="BR249" s="144"/>
      <c r="BS249" s="144"/>
      <c r="BT249" s="22"/>
      <c r="BU249" s="144"/>
      <c r="BV249" s="144"/>
      <c r="BW249" s="22"/>
      <c r="BX249" s="22"/>
      <c r="BY249" s="144"/>
      <c r="BZ249" s="22"/>
      <c r="CA249" s="22"/>
      <c r="CB249" s="144"/>
      <c r="CC249" s="22"/>
      <c r="CD249" s="22"/>
      <c r="CE249" s="144"/>
      <c r="CF249" s="22"/>
      <c r="CG249" s="22"/>
      <c r="CH249" s="144"/>
      <c r="CI249" s="22"/>
      <c r="CJ249" s="22"/>
      <c r="CK249" s="144"/>
      <c r="CL249" s="22"/>
      <c r="CM249" s="22"/>
      <c r="CN249" s="144"/>
      <c r="CO249" s="22"/>
      <c r="CP249" s="22"/>
      <c r="CQ249" s="144"/>
    </row>
    <row r="250" spans="1:95" ht="15.75" customHeight="1" x14ac:dyDescent="0.45">
      <c r="A250" s="22"/>
      <c r="B250" s="22"/>
      <c r="C250" s="12"/>
      <c r="D250" s="12"/>
      <c r="E250" s="12"/>
      <c r="F250" s="155"/>
      <c r="G250" s="144"/>
      <c r="H250" s="144"/>
      <c r="I250" s="12"/>
      <c r="J250" s="22"/>
      <c r="K250" s="22"/>
      <c r="L250" s="22"/>
      <c r="M250" s="145"/>
      <c r="N250" s="144"/>
      <c r="O250" s="144"/>
      <c r="P250" s="152"/>
      <c r="Q250" s="22"/>
      <c r="R250" s="152"/>
      <c r="S250" s="22"/>
      <c r="T250" s="74"/>
      <c r="U250" s="45"/>
      <c r="V250" s="158"/>
      <c r="W250" s="45"/>
      <c r="X250" s="45"/>
      <c r="Y250" s="45"/>
      <c r="Z250" s="45"/>
      <c r="AA250" s="45"/>
      <c r="AB250" s="45"/>
      <c r="AC250" s="44"/>
      <c r="AD250" s="45"/>
      <c r="AE250" s="45"/>
      <c r="AF250" s="45"/>
      <c r="AG250" s="45"/>
      <c r="AH250" s="45"/>
      <c r="AI250" s="144"/>
      <c r="AJ250" s="144"/>
      <c r="AK250" s="45"/>
      <c r="AL250" s="45"/>
      <c r="AM250" s="144"/>
      <c r="AN250" s="144"/>
      <c r="AO250" s="144"/>
      <c r="AP250" s="22"/>
      <c r="AQ250" s="22"/>
      <c r="AR250" s="144"/>
      <c r="AS250" s="22"/>
      <c r="AT250" s="22"/>
      <c r="AU250" s="144"/>
      <c r="AV250" s="22"/>
      <c r="AW250" s="22"/>
      <c r="AX250" s="144"/>
      <c r="AY250" s="22"/>
      <c r="AZ250" s="22"/>
      <c r="BA250" s="144"/>
      <c r="BB250" s="22"/>
      <c r="BC250" s="22"/>
      <c r="BD250" s="144"/>
      <c r="BE250" s="144"/>
      <c r="BF250" s="22"/>
      <c r="BG250" s="144"/>
      <c r="BH250" s="144"/>
      <c r="BI250" s="144"/>
      <c r="BJ250" s="144"/>
      <c r="BK250" s="144"/>
      <c r="BL250" s="22"/>
      <c r="BM250" s="144"/>
      <c r="BN250" s="144"/>
      <c r="BO250" s="22"/>
      <c r="BP250" s="144"/>
      <c r="BQ250" s="22"/>
      <c r="BR250" s="144"/>
      <c r="BS250" s="144"/>
      <c r="BT250" s="22"/>
      <c r="BU250" s="144"/>
      <c r="BV250" s="144"/>
      <c r="BW250" s="22"/>
      <c r="BX250" s="22"/>
      <c r="BY250" s="144"/>
      <c r="BZ250" s="22"/>
      <c r="CA250" s="22"/>
      <c r="CB250" s="144"/>
      <c r="CC250" s="22"/>
      <c r="CD250" s="22"/>
      <c r="CE250" s="144"/>
      <c r="CF250" s="22"/>
      <c r="CG250" s="22"/>
      <c r="CH250" s="144"/>
      <c r="CI250" s="22"/>
      <c r="CJ250" s="22"/>
      <c r="CK250" s="144"/>
      <c r="CL250" s="22"/>
      <c r="CM250" s="22"/>
      <c r="CN250" s="144"/>
      <c r="CO250" s="22"/>
      <c r="CP250" s="22"/>
      <c r="CQ250" s="144"/>
    </row>
    <row r="251" spans="1:95" ht="15.75" customHeight="1" x14ac:dyDescent="0.45">
      <c r="A251" s="22"/>
      <c r="B251" s="22"/>
      <c r="C251" s="12"/>
      <c r="D251" s="12"/>
      <c r="E251" s="12"/>
      <c r="F251" s="155"/>
      <c r="G251" s="144"/>
      <c r="H251" s="144"/>
      <c r="I251" s="12"/>
      <c r="J251" s="22"/>
      <c r="K251" s="22"/>
      <c r="L251" s="22"/>
      <c r="M251" s="145"/>
      <c r="N251" s="144"/>
      <c r="O251" s="144"/>
      <c r="P251" s="152"/>
      <c r="Q251" s="22"/>
      <c r="R251" s="152"/>
      <c r="S251" s="22"/>
      <c r="T251" s="74"/>
      <c r="U251" s="45"/>
      <c r="V251" s="158"/>
      <c r="W251" s="45"/>
      <c r="X251" s="45"/>
      <c r="Y251" s="45"/>
      <c r="Z251" s="45"/>
      <c r="AA251" s="45"/>
      <c r="AB251" s="45"/>
      <c r="AC251" s="44"/>
      <c r="AD251" s="45"/>
      <c r="AE251" s="45"/>
      <c r="AF251" s="45"/>
      <c r="AG251" s="45"/>
      <c r="AH251" s="45"/>
      <c r="AI251" s="144"/>
      <c r="AJ251" s="144"/>
      <c r="AK251" s="45"/>
      <c r="AL251" s="45"/>
      <c r="AM251" s="144"/>
      <c r="AN251" s="144"/>
      <c r="AO251" s="144"/>
      <c r="AP251" s="22"/>
      <c r="AQ251" s="22"/>
      <c r="AR251" s="144"/>
      <c r="AS251" s="22"/>
      <c r="AT251" s="22"/>
      <c r="AU251" s="144"/>
      <c r="AV251" s="22"/>
      <c r="AW251" s="22"/>
      <c r="AX251" s="144"/>
      <c r="AY251" s="22"/>
      <c r="AZ251" s="22"/>
      <c r="BA251" s="144"/>
      <c r="BB251" s="22"/>
      <c r="BC251" s="22"/>
      <c r="BD251" s="144"/>
      <c r="BE251" s="144"/>
      <c r="BF251" s="22"/>
      <c r="BG251" s="144"/>
      <c r="BH251" s="144"/>
      <c r="BI251" s="144"/>
      <c r="BJ251" s="144"/>
      <c r="BK251" s="144"/>
      <c r="BL251" s="22"/>
      <c r="BM251" s="144"/>
      <c r="BN251" s="144"/>
      <c r="BO251" s="22"/>
      <c r="BP251" s="144"/>
      <c r="BQ251" s="22"/>
      <c r="BR251" s="144"/>
      <c r="BS251" s="144"/>
      <c r="BT251" s="22"/>
      <c r="BU251" s="144"/>
      <c r="BV251" s="144"/>
      <c r="BW251" s="22"/>
      <c r="BX251" s="22"/>
      <c r="BY251" s="144"/>
      <c r="BZ251" s="22"/>
      <c r="CA251" s="22"/>
      <c r="CB251" s="144"/>
      <c r="CC251" s="22"/>
      <c r="CD251" s="22"/>
      <c r="CE251" s="144"/>
      <c r="CF251" s="22"/>
      <c r="CG251" s="22"/>
      <c r="CH251" s="144"/>
      <c r="CI251" s="22"/>
      <c r="CJ251" s="22"/>
      <c r="CK251" s="144"/>
      <c r="CL251" s="22"/>
      <c r="CM251" s="22"/>
      <c r="CN251" s="144"/>
      <c r="CO251" s="22"/>
      <c r="CP251" s="22"/>
      <c r="CQ251" s="144"/>
    </row>
    <row r="252" spans="1:95" ht="15.75" customHeight="1" x14ac:dyDescent="0.45">
      <c r="A252" s="22"/>
      <c r="B252" s="22"/>
      <c r="C252" s="12"/>
      <c r="D252" s="12"/>
      <c r="E252" s="12"/>
      <c r="F252" s="155"/>
      <c r="G252" s="144"/>
      <c r="H252" s="144"/>
      <c r="I252" s="12"/>
      <c r="J252" s="22"/>
      <c r="K252" s="22"/>
      <c r="L252" s="22"/>
      <c r="M252" s="145"/>
      <c r="N252" s="144"/>
      <c r="O252" s="144"/>
      <c r="P252" s="152"/>
      <c r="Q252" s="22"/>
      <c r="R252" s="152"/>
      <c r="S252" s="22"/>
      <c r="T252" s="74"/>
      <c r="U252" s="45"/>
      <c r="V252" s="158"/>
      <c r="W252" s="45"/>
      <c r="X252" s="45"/>
      <c r="Y252" s="45"/>
      <c r="Z252" s="45"/>
      <c r="AA252" s="45"/>
      <c r="AB252" s="45"/>
      <c r="AC252" s="44"/>
      <c r="AD252" s="45"/>
      <c r="AE252" s="45"/>
      <c r="AF252" s="45"/>
      <c r="AG252" s="45"/>
      <c r="AH252" s="45"/>
      <c r="AI252" s="144"/>
      <c r="AJ252" s="144"/>
      <c r="AK252" s="45"/>
      <c r="AL252" s="45"/>
      <c r="AM252" s="144"/>
      <c r="AN252" s="144"/>
      <c r="AO252" s="144"/>
      <c r="AP252" s="22"/>
      <c r="AQ252" s="22"/>
      <c r="AR252" s="144"/>
      <c r="AS252" s="22"/>
      <c r="AT252" s="22"/>
      <c r="AU252" s="144"/>
      <c r="AV252" s="22"/>
      <c r="AW252" s="22"/>
      <c r="AX252" s="144"/>
      <c r="AY252" s="22"/>
      <c r="AZ252" s="22"/>
      <c r="BA252" s="144"/>
      <c r="BB252" s="22"/>
      <c r="BC252" s="22"/>
      <c r="BD252" s="144"/>
      <c r="BE252" s="144"/>
      <c r="BF252" s="22"/>
      <c r="BG252" s="144"/>
      <c r="BH252" s="144"/>
      <c r="BI252" s="144"/>
      <c r="BJ252" s="144"/>
      <c r="BK252" s="144"/>
      <c r="BL252" s="22"/>
      <c r="BM252" s="144"/>
      <c r="BN252" s="144"/>
      <c r="BO252" s="22"/>
      <c r="BP252" s="144"/>
      <c r="BQ252" s="22"/>
      <c r="BR252" s="144"/>
      <c r="BS252" s="144"/>
      <c r="BT252" s="22"/>
      <c r="BU252" s="144"/>
      <c r="BV252" s="144"/>
      <c r="BW252" s="22"/>
      <c r="BX252" s="22"/>
      <c r="BY252" s="144"/>
      <c r="BZ252" s="22"/>
      <c r="CA252" s="22"/>
      <c r="CB252" s="144"/>
      <c r="CC252" s="22"/>
      <c r="CD252" s="22"/>
      <c r="CE252" s="144"/>
      <c r="CF252" s="22"/>
      <c r="CG252" s="22"/>
      <c r="CH252" s="144"/>
      <c r="CI252" s="22"/>
      <c r="CJ252" s="22"/>
      <c r="CK252" s="144"/>
      <c r="CL252" s="22"/>
      <c r="CM252" s="22"/>
      <c r="CN252" s="144"/>
      <c r="CO252" s="22"/>
      <c r="CP252" s="22"/>
      <c r="CQ252" s="144"/>
    </row>
    <row r="253" spans="1:95" ht="15.75" customHeight="1" x14ac:dyDescent="0.45">
      <c r="A253" s="22"/>
      <c r="B253" s="22"/>
      <c r="C253" s="12"/>
      <c r="D253" s="12"/>
      <c r="E253" s="12"/>
      <c r="F253" s="155"/>
      <c r="G253" s="144"/>
      <c r="H253" s="144"/>
      <c r="I253" s="12"/>
      <c r="J253" s="22"/>
      <c r="K253" s="22"/>
      <c r="L253" s="22"/>
      <c r="M253" s="145"/>
      <c r="N253" s="144"/>
      <c r="O253" s="144"/>
      <c r="P253" s="152"/>
      <c r="Q253" s="22"/>
      <c r="R253" s="152"/>
      <c r="S253" s="22"/>
      <c r="T253" s="74"/>
      <c r="U253" s="45"/>
      <c r="V253" s="158"/>
      <c r="W253" s="45"/>
      <c r="X253" s="45"/>
      <c r="Y253" s="45"/>
      <c r="Z253" s="45"/>
      <c r="AA253" s="45"/>
      <c r="AB253" s="45"/>
      <c r="AC253" s="44"/>
      <c r="AD253" s="45"/>
      <c r="AE253" s="45"/>
      <c r="AF253" s="45"/>
      <c r="AG253" s="45"/>
      <c r="AH253" s="45"/>
      <c r="AI253" s="144"/>
      <c r="AJ253" s="144"/>
      <c r="AK253" s="45"/>
      <c r="AL253" s="45"/>
      <c r="AM253" s="144"/>
      <c r="AN253" s="144"/>
      <c r="AO253" s="144"/>
      <c r="AP253" s="22"/>
      <c r="AQ253" s="22"/>
      <c r="AR253" s="144"/>
      <c r="AS253" s="22"/>
      <c r="AT253" s="22"/>
      <c r="AU253" s="144"/>
      <c r="AV253" s="22"/>
      <c r="AW253" s="22"/>
      <c r="AX253" s="144"/>
      <c r="AY253" s="22"/>
      <c r="AZ253" s="22"/>
      <c r="BA253" s="144"/>
      <c r="BB253" s="22"/>
      <c r="BC253" s="22"/>
      <c r="BD253" s="144"/>
      <c r="BE253" s="144"/>
      <c r="BF253" s="22"/>
      <c r="BG253" s="144"/>
      <c r="BH253" s="144"/>
      <c r="BI253" s="144"/>
      <c r="BJ253" s="144"/>
      <c r="BK253" s="144"/>
      <c r="BL253" s="22"/>
      <c r="BM253" s="144"/>
      <c r="BN253" s="144"/>
      <c r="BO253" s="22"/>
      <c r="BP253" s="144"/>
      <c r="BQ253" s="22"/>
      <c r="BR253" s="144"/>
      <c r="BS253" s="144"/>
      <c r="BT253" s="22"/>
      <c r="BU253" s="144"/>
      <c r="BV253" s="144"/>
      <c r="BW253" s="22"/>
      <c r="BX253" s="22"/>
      <c r="BY253" s="144"/>
      <c r="BZ253" s="22"/>
      <c r="CA253" s="22"/>
      <c r="CB253" s="144"/>
      <c r="CC253" s="22"/>
      <c r="CD253" s="22"/>
      <c r="CE253" s="144"/>
      <c r="CF253" s="22"/>
      <c r="CG253" s="22"/>
      <c r="CH253" s="144"/>
      <c r="CI253" s="22"/>
      <c r="CJ253" s="22"/>
      <c r="CK253" s="144"/>
      <c r="CL253" s="22"/>
      <c r="CM253" s="22"/>
      <c r="CN253" s="144"/>
      <c r="CO253" s="22"/>
      <c r="CP253" s="22"/>
      <c r="CQ253" s="144"/>
    </row>
    <row r="254" spans="1:95" ht="15.75" customHeight="1" x14ac:dyDescent="0.45">
      <c r="A254" s="22"/>
      <c r="B254" s="22"/>
      <c r="C254" s="12"/>
      <c r="D254" s="12"/>
      <c r="E254" s="12"/>
      <c r="F254" s="155"/>
      <c r="G254" s="144"/>
      <c r="H254" s="144"/>
      <c r="I254" s="12"/>
      <c r="J254" s="22"/>
      <c r="K254" s="22"/>
      <c r="L254" s="22"/>
      <c r="M254" s="145"/>
      <c r="N254" s="144"/>
      <c r="O254" s="144"/>
      <c r="P254" s="152"/>
      <c r="Q254" s="22"/>
      <c r="R254" s="152"/>
      <c r="S254" s="22"/>
      <c r="T254" s="74"/>
      <c r="U254" s="45"/>
      <c r="V254" s="158"/>
      <c r="W254" s="45"/>
      <c r="X254" s="45"/>
      <c r="Y254" s="45"/>
      <c r="Z254" s="45"/>
      <c r="AA254" s="45"/>
      <c r="AB254" s="45"/>
      <c r="AC254" s="44"/>
      <c r="AD254" s="45"/>
      <c r="AE254" s="45"/>
      <c r="AF254" s="45"/>
      <c r="AG254" s="45"/>
      <c r="AH254" s="45"/>
      <c r="AI254" s="144"/>
      <c r="AJ254" s="144"/>
      <c r="AK254" s="45"/>
      <c r="AL254" s="45"/>
      <c r="AM254" s="144"/>
      <c r="AN254" s="144"/>
      <c r="AO254" s="144"/>
      <c r="AP254" s="22"/>
      <c r="AQ254" s="22"/>
      <c r="AR254" s="144"/>
      <c r="AS254" s="22"/>
      <c r="AT254" s="22"/>
      <c r="AU254" s="144"/>
      <c r="AV254" s="22"/>
      <c r="AW254" s="22"/>
      <c r="AX254" s="144"/>
      <c r="AY254" s="22"/>
      <c r="AZ254" s="22"/>
      <c r="BA254" s="144"/>
      <c r="BB254" s="22"/>
      <c r="BC254" s="22"/>
      <c r="BD254" s="144"/>
      <c r="BE254" s="144"/>
      <c r="BF254" s="22"/>
      <c r="BG254" s="144"/>
      <c r="BH254" s="144"/>
      <c r="BI254" s="144"/>
      <c r="BJ254" s="144"/>
      <c r="BK254" s="144"/>
      <c r="BL254" s="22"/>
      <c r="BM254" s="144"/>
      <c r="BN254" s="144"/>
      <c r="BO254" s="22"/>
      <c r="BP254" s="144"/>
      <c r="BQ254" s="22"/>
      <c r="BR254" s="144"/>
      <c r="BS254" s="144"/>
      <c r="BT254" s="22"/>
      <c r="BU254" s="144"/>
      <c r="BV254" s="144"/>
      <c r="BW254" s="22"/>
      <c r="BX254" s="22"/>
      <c r="BY254" s="144"/>
      <c r="BZ254" s="22"/>
      <c r="CA254" s="22"/>
      <c r="CB254" s="144"/>
      <c r="CC254" s="22"/>
      <c r="CD254" s="22"/>
      <c r="CE254" s="144"/>
      <c r="CF254" s="22"/>
      <c r="CG254" s="22"/>
      <c r="CH254" s="144"/>
      <c r="CI254" s="22"/>
      <c r="CJ254" s="22"/>
      <c r="CK254" s="144"/>
      <c r="CL254" s="22"/>
      <c r="CM254" s="22"/>
      <c r="CN254" s="144"/>
      <c r="CO254" s="22"/>
      <c r="CP254" s="22"/>
      <c r="CQ254" s="144"/>
    </row>
    <row r="255" spans="1:95" ht="15.75" customHeight="1" x14ac:dyDescent="0.45">
      <c r="A255" s="22"/>
      <c r="B255" s="22"/>
      <c r="C255" s="12"/>
      <c r="D255" s="12"/>
      <c r="E255" s="12"/>
      <c r="F255" s="155"/>
      <c r="G255" s="144"/>
      <c r="H255" s="144"/>
      <c r="I255" s="12"/>
      <c r="J255" s="22"/>
      <c r="K255" s="22"/>
      <c r="L255" s="22"/>
      <c r="M255" s="145"/>
      <c r="N255" s="144"/>
      <c r="O255" s="144"/>
      <c r="P255" s="152"/>
      <c r="Q255" s="22"/>
      <c r="R255" s="152"/>
      <c r="S255" s="22"/>
      <c r="T255" s="74"/>
      <c r="U255" s="45"/>
      <c r="V255" s="158"/>
      <c r="W255" s="45"/>
      <c r="X255" s="45"/>
      <c r="Y255" s="45"/>
      <c r="Z255" s="45"/>
      <c r="AA255" s="45"/>
      <c r="AB255" s="45"/>
      <c r="AC255" s="44"/>
      <c r="AD255" s="45"/>
      <c r="AE255" s="45"/>
      <c r="AF255" s="45"/>
      <c r="AG255" s="45"/>
      <c r="AH255" s="45"/>
      <c r="AI255" s="144"/>
      <c r="AJ255" s="144"/>
      <c r="AK255" s="45"/>
      <c r="AL255" s="45"/>
      <c r="AM255" s="144"/>
      <c r="AN255" s="144"/>
      <c r="AO255" s="144"/>
      <c r="AP255" s="22"/>
      <c r="AQ255" s="22"/>
      <c r="AR255" s="144"/>
      <c r="AS255" s="22"/>
      <c r="AT255" s="22"/>
      <c r="AU255" s="144"/>
      <c r="AV255" s="22"/>
      <c r="AW255" s="22"/>
      <c r="AX255" s="144"/>
      <c r="AY255" s="22"/>
      <c r="AZ255" s="22"/>
      <c r="BA255" s="144"/>
      <c r="BB255" s="22"/>
      <c r="BC255" s="22"/>
      <c r="BD255" s="144"/>
      <c r="BE255" s="144"/>
      <c r="BF255" s="22"/>
      <c r="BG255" s="144"/>
      <c r="BH255" s="144"/>
      <c r="BI255" s="144"/>
      <c r="BJ255" s="144"/>
      <c r="BK255" s="144"/>
      <c r="BL255" s="22"/>
      <c r="BM255" s="144"/>
      <c r="BN255" s="144"/>
      <c r="BO255" s="22"/>
      <c r="BP255" s="144"/>
      <c r="BQ255" s="22"/>
      <c r="BR255" s="144"/>
      <c r="BS255" s="144"/>
      <c r="BT255" s="22"/>
      <c r="BU255" s="144"/>
      <c r="BV255" s="144"/>
      <c r="BW255" s="22"/>
      <c r="BX255" s="22"/>
      <c r="BY255" s="144"/>
      <c r="BZ255" s="22"/>
      <c r="CA255" s="22"/>
      <c r="CB255" s="144"/>
      <c r="CC255" s="22"/>
      <c r="CD255" s="22"/>
      <c r="CE255" s="144"/>
      <c r="CF255" s="22"/>
      <c r="CG255" s="22"/>
      <c r="CH255" s="144"/>
      <c r="CI255" s="22"/>
      <c r="CJ255" s="22"/>
      <c r="CK255" s="144"/>
      <c r="CL255" s="22"/>
      <c r="CM255" s="22"/>
      <c r="CN255" s="144"/>
      <c r="CO255" s="22"/>
      <c r="CP255" s="22"/>
      <c r="CQ255" s="144"/>
    </row>
    <row r="256" spans="1:95" ht="15.75" customHeight="1" x14ac:dyDescent="0.45">
      <c r="A256" s="22"/>
      <c r="B256" s="22"/>
      <c r="C256" s="12"/>
      <c r="D256" s="12"/>
      <c r="E256" s="12"/>
      <c r="F256" s="155"/>
      <c r="G256" s="144"/>
      <c r="H256" s="144"/>
      <c r="I256" s="12"/>
      <c r="J256" s="22"/>
      <c r="K256" s="22"/>
      <c r="L256" s="22"/>
      <c r="M256" s="145"/>
      <c r="N256" s="144"/>
      <c r="O256" s="144"/>
      <c r="P256" s="152"/>
      <c r="Q256" s="22"/>
      <c r="R256" s="152"/>
      <c r="S256" s="22"/>
      <c r="T256" s="74"/>
      <c r="U256" s="45"/>
      <c r="V256" s="158"/>
      <c r="W256" s="45"/>
      <c r="X256" s="45"/>
      <c r="Y256" s="45"/>
      <c r="Z256" s="45"/>
      <c r="AA256" s="45"/>
      <c r="AB256" s="45"/>
      <c r="AC256" s="44"/>
      <c r="AD256" s="45"/>
      <c r="AE256" s="45"/>
      <c r="AF256" s="45"/>
      <c r="AG256" s="45"/>
      <c r="AH256" s="45"/>
      <c r="AI256" s="144"/>
      <c r="AJ256" s="144"/>
      <c r="AK256" s="45"/>
      <c r="AL256" s="45"/>
      <c r="AM256" s="144"/>
      <c r="AN256" s="144"/>
      <c r="AO256" s="144"/>
      <c r="AP256" s="22"/>
      <c r="AQ256" s="22"/>
      <c r="AR256" s="144"/>
      <c r="AS256" s="22"/>
      <c r="AT256" s="22"/>
      <c r="AU256" s="144"/>
      <c r="AV256" s="22"/>
      <c r="AW256" s="22"/>
      <c r="AX256" s="144"/>
      <c r="AY256" s="22"/>
      <c r="AZ256" s="22"/>
      <c r="BA256" s="144"/>
      <c r="BB256" s="22"/>
      <c r="BC256" s="22"/>
      <c r="BD256" s="144"/>
      <c r="BE256" s="144"/>
      <c r="BF256" s="22"/>
      <c r="BG256" s="144"/>
      <c r="BH256" s="144"/>
      <c r="BI256" s="144"/>
      <c r="BJ256" s="144"/>
      <c r="BK256" s="144"/>
      <c r="BL256" s="22"/>
      <c r="BM256" s="144"/>
      <c r="BN256" s="144"/>
      <c r="BO256" s="22"/>
      <c r="BP256" s="144"/>
      <c r="BQ256" s="22"/>
      <c r="BR256" s="144"/>
      <c r="BS256" s="144"/>
      <c r="BT256" s="22"/>
      <c r="BU256" s="144"/>
      <c r="BV256" s="144"/>
      <c r="BW256" s="22"/>
      <c r="BX256" s="22"/>
      <c r="BY256" s="144"/>
      <c r="BZ256" s="22"/>
      <c r="CA256" s="22"/>
      <c r="CB256" s="144"/>
      <c r="CC256" s="22"/>
      <c r="CD256" s="22"/>
      <c r="CE256" s="144"/>
      <c r="CF256" s="22"/>
      <c r="CG256" s="22"/>
      <c r="CH256" s="144"/>
      <c r="CI256" s="22"/>
      <c r="CJ256" s="22"/>
      <c r="CK256" s="144"/>
      <c r="CL256" s="22"/>
      <c r="CM256" s="22"/>
      <c r="CN256" s="144"/>
      <c r="CO256" s="22"/>
      <c r="CP256" s="22"/>
      <c r="CQ256" s="144"/>
    </row>
    <row r="257" spans="1:95" ht="15.75" customHeight="1" x14ac:dyDescent="0.45">
      <c r="A257" s="22"/>
      <c r="B257" s="22"/>
      <c r="C257" s="12"/>
      <c r="D257" s="12"/>
      <c r="E257" s="12"/>
      <c r="F257" s="155"/>
      <c r="G257" s="144"/>
      <c r="H257" s="144"/>
      <c r="I257" s="12"/>
      <c r="J257" s="22"/>
      <c r="K257" s="22"/>
      <c r="L257" s="22"/>
      <c r="M257" s="145"/>
      <c r="N257" s="144"/>
      <c r="O257" s="144"/>
      <c r="P257" s="152"/>
      <c r="Q257" s="22"/>
      <c r="R257" s="152"/>
      <c r="S257" s="22"/>
      <c r="T257" s="74"/>
      <c r="U257" s="45"/>
      <c r="V257" s="158"/>
      <c r="W257" s="45"/>
      <c r="X257" s="45"/>
      <c r="Y257" s="45"/>
      <c r="Z257" s="45"/>
      <c r="AA257" s="45"/>
      <c r="AB257" s="45"/>
      <c r="AC257" s="44"/>
      <c r="AD257" s="45"/>
      <c r="AE257" s="45"/>
      <c r="AF257" s="45"/>
      <c r="AG257" s="45"/>
      <c r="AH257" s="45"/>
      <c r="AI257" s="144"/>
      <c r="AJ257" s="144"/>
      <c r="AK257" s="45"/>
      <c r="AL257" s="45"/>
      <c r="AM257" s="144"/>
      <c r="AN257" s="144"/>
      <c r="AO257" s="144"/>
      <c r="AP257" s="22"/>
      <c r="AQ257" s="22"/>
      <c r="AR257" s="144"/>
      <c r="AS257" s="22"/>
      <c r="AT257" s="22"/>
      <c r="AU257" s="144"/>
      <c r="AV257" s="22"/>
      <c r="AW257" s="22"/>
      <c r="AX257" s="144"/>
      <c r="AY257" s="22"/>
      <c r="AZ257" s="22"/>
      <c r="BA257" s="144"/>
      <c r="BB257" s="22"/>
      <c r="BC257" s="22"/>
      <c r="BD257" s="144"/>
      <c r="BE257" s="144"/>
      <c r="BF257" s="22"/>
      <c r="BG257" s="144"/>
      <c r="BH257" s="144"/>
      <c r="BI257" s="144"/>
      <c r="BJ257" s="144"/>
      <c r="BK257" s="144"/>
      <c r="BL257" s="22"/>
      <c r="BM257" s="144"/>
      <c r="BN257" s="144"/>
      <c r="BO257" s="22"/>
      <c r="BP257" s="144"/>
      <c r="BQ257" s="22"/>
      <c r="BR257" s="144"/>
      <c r="BS257" s="144"/>
      <c r="BT257" s="22"/>
      <c r="BU257" s="144"/>
      <c r="BV257" s="144"/>
      <c r="BW257" s="22"/>
      <c r="BX257" s="22"/>
      <c r="BY257" s="144"/>
      <c r="BZ257" s="22"/>
      <c r="CA257" s="22"/>
      <c r="CB257" s="144"/>
      <c r="CC257" s="22"/>
      <c r="CD257" s="22"/>
      <c r="CE257" s="144"/>
      <c r="CF257" s="22"/>
      <c r="CG257" s="22"/>
      <c r="CH257" s="144"/>
      <c r="CI257" s="22"/>
      <c r="CJ257" s="22"/>
      <c r="CK257" s="144"/>
      <c r="CL257" s="22"/>
      <c r="CM257" s="22"/>
      <c r="CN257" s="144"/>
      <c r="CO257" s="22"/>
      <c r="CP257" s="22"/>
      <c r="CQ257" s="144"/>
    </row>
    <row r="258" spans="1:95" ht="15.75" customHeight="1" x14ac:dyDescent="0.45">
      <c r="A258" s="22"/>
      <c r="B258" s="22"/>
      <c r="C258" s="12"/>
      <c r="D258" s="12"/>
      <c r="E258" s="12"/>
      <c r="F258" s="155"/>
      <c r="G258" s="144"/>
      <c r="H258" s="144"/>
      <c r="I258" s="12"/>
      <c r="J258" s="22"/>
      <c r="K258" s="22"/>
      <c r="L258" s="22"/>
      <c r="M258" s="145"/>
      <c r="N258" s="144"/>
      <c r="O258" s="144"/>
      <c r="P258" s="152"/>
      <c r="Q258" s="22"/>
      <c r="R258" s="152"/>
      <c r="S258" s="22"/>
      <c r="T258" s="74"/>
      <c r="U258" s="45"/>
      <c r="V258" s="158"/>
      <c r="W258" s="45"/>
      <c r="X258" s="45"/>
      <c r="Y258" s="45"/>
      <c r="Z258" s="45"/>
      <c r="AA258" s="45"/>
      <c r="AB258" s="45"/>
      <c r="AC258" s="44"/>
      <c r="AD258" s="45"/>
      <c r="AE258" s="45"/>
      <c r="AF258" s="45"/>
      <c r="AG258" s="45"/>
      <c r="AH258" s="45"/>
      <c r="AI258" s="144"/>
      <c r="AJ258" s="144"/>
      <c r="AK258" s="45"/>
      <c r="AL258" s="45"/>
      <c r="AM258" s="144"/>
      <c r="AN258" s="144"/>
      <c r="AO258" s="144"/>
      <c r="AP258" s="22"/>
      <c r="AQ258" s="22"/>
      <c r="AR258" s="144"/>
      <c r="AS258" s="22"/>
      <c r="AT258" s="22"/>
      <c r="AU258" s="144"/>
      <c r="AV258" s="22"/>
      <c r="AW258" s="22"/>
      <c r="AX258" s="144"/>
      <c r="AY258" s="22"/>
      <c r="AZ258" s="22"/>
      <c r="BA258" s="144"/>
      <c r="BB258" s="22"/>
      <c r="BC258" s="22"/>
      <c r="BD258" s="144"/>
      <c r="BE258" s="144"/>
      <c r="BF258" s="22"/>
      <c r="BG258" s="144"/>
      <c r="BH258" s="144"/>
      <c r="BI258" s="144"/>
      <c r="BJ258" s="144"/>
      <c r="BK258" s="144"/>
      <c r="BL258" s="22"/>
      <c r="BM258" s="144"/>
      <c r="BN258" s="144"/>
      <c r="BO258" s="22"/>
      <c r="BP258" s="144"/>
      <c r="BQ258" s="22"/>
      <c r="BR258" s="144"/>
      <c r="BS258" s="144"/>
      <c r="BT258" s="22"/>
      <c r="BU258" s="144"/>
      <c r="BV258" s="144"/>
      <c r="BW258" s="22"/>
      <c r="BX258" s="22"/>
      <c r="BY258" s="144"/>
      <c r="BZ258" s="22"/>
      <c r="CA258" s="22"/>
      <c r="CB258" s="144"/>
      <c r="CC258" s="22"/>
      <c r="CD258" s="22"/>
      <c r="CE258" s="144"/>
      <c r="CF258" s="22"/>
      <c r="CG258" s="22"/>
      <c r="CH258" s="144"/>
      <c r="CI258" s="22"/>
      <c r="CJ258" s="22"/>
      <c r="CK258" s="144"/>
      <c r="CL258" s="22"/>
      <c r="CM258" s="22"/>
      <c r="CN258" s="144"/>
      <c r="CO258" s="22"/>
      <c r="CP258" s="22"/>
      <c r="CQ258" s="144"/>
    </row>
    <row r="259" spans="1:95" ht="15.75" customHeight="1" x14ac:dyDescent="0.45">
      <c r="A259" s="22"/>
      <c r="B259" s="22"/>
      <c r="C259" s="12"/>
      <c r="D259" s="12"/>
      <c r="E259" s="12"/>
      <c r="F259" s="155"/>
      <c r="G259" s="144"/>
      <c r="H259" s="144"/>
      <c r="I259" s="12"/>
      <c r="J259" s="22"/>
      <c r="K259" s="22"/>
      <c r="L259" s="22"/>
      <c r="M259" s="145"/>
      <c r="N259" s="144"/>
      <c r="O259" s="144"/>
      <c r="P259" s="152"/>
      <c r="Q259" s="22"/>
      <c r="R259" s="152"/>
      <c r="S259" s="22"/>
      <c r="T259" s="74"/>
      <c r="U259" s="45"/>
      <c r="V259" s="158"/>
      <c r="W259" s="45"/>
      <c r="X259" s="45"/>
      <c r="Y259" s="45"/>
      <c r="Z259" s="45"/>
      <c r="AA259" s="45"/>
      <c r="AB259" s="45"/>
      <c r="AC259" s="44"/>
      <c r="AD259" s="45"/>
      <c r="AE259" s="45"/>
      <c r="AF259" s="45"/>
      <c r="AG259" s="45"/>
      <c r="AH259" s="45"/>
      <c r="AI259" s="144"/>
      <c r="AJ259" s="144"/>
      <c r="AK259" s="45"/>
      <c r="AL259" s="45"/>
      <c r="AM259" s="144"/>
      <c r="AN259" s="144"/>
      <c r="AO259" s="144"/>
      <c r="AP259" s="22"/>
      <c r="AQ259" s="22"/>
      <c r="AR259" s="144"/>
      <c r="AS259" s="22"/>
      <c r="AT259" s="22"/>
      <c r="AU259" s="144"/>
      <c r="AV259" s="22"/>
      <c r="AW259" s="22"/>
      <c r="AX259" s="144"/>
      <c r="AY259" s="22"/>
      <c r="AZ259" s="22"/>
      <c r="BA259" s="144"/>
      <c r="BB259" s="22"/>
      <c r="BC259" s="22"/>
      <c r="BD259" s="144"/>
      <c r="BE259" s="144"/>
      <c r="BF259" s="22"/>
      <c r="BG259" s="144"/>
      <c r="BH259" s="144"/>
      <c r="BI259" s="144"/>
      <c r="BJ259" s="144"/>
      <c r="BK259" s="144"/>
      <c r="BL259" s="22"/>
      <c r="BM259" s="144"/>
      <c r="BN259" s="144"/>
      <c r="BO259" s="22"/>
      <c r="BP259" s="144"/>
      <c r="BQ259" s="22"/>
      <c r="BR259" s="144"/>
      <c r="BS259" s="144"/>
      <c r="BT259" s="22"/>
      <c r="BU259" s="144"/>
      <c r="BV259" s="144"/>
      <c r="BW259" s="22"/>
      <c r="BX259" s="22"/>
      <c r="BY259" s="144"/>
      <c r="BZ259" s="22"/>
      <c r="CA259" s="22"/>
      <c r="CB259" s="144"/>
      <c r="CC259" s="22"/>
      <c r="CD259" s="22"/>
      <c r="CE259" s="144"/>
      <c r="CF259" s="22"/>
      <c r="CG259" s="22"/>
      <c r="CH259" s="144"/>
      <c r="CI259" s="22"/>
      <c r="CJ259" s="22"/>
      <c r="CK259" s="144"/>
      <c r="CL259" s="22"/>
      <c r="CM259" s="22"/>
      <c r="CN259" s="144"/>
      <c r="CO259" s="22"/>
      <c r="CP259" s="22"/>
      <c r="CQ259" s="144"/>
    </row>
    <row r="260" spans="1:95" ht="15.75" customHeight="1" x14ac:dyDescent="0.45">
      <c r="A260" s="22"/>
      <c r="B260" s="22"/>
      <c r="C260" s="12"/>
      <c r="D260" s="12"/>
      <c r="E260" s="12"/>
      <c r="F260" s="155"/>
      <c r="G260" s="144"/>
      <c r="H260" s="144"/>
      <c r="I260" s="12"/>
      <c r="J260" s="22"/>
      <c r="K260" s="22"/>
      <c r="L260" s="22"/>
      <c r="M260" s="145"/>
      <c r="N260" s="144"/>
      <c r="O260" s="144"/>
      <c r="P260" s="152"/>
      <c r="Q260" s="22"/>
      <c r="R260" s="152"/>
      <c r="S260" s="22"/>
      <c r="T260" s="74"/>
      <c r="U260" s="45"/>
      <c r="V260" s="158"/>
      <c r="W260" s="45"/>
      <c r="X260" s="45"/>
      <c r="Y260" s="45"/>
      <c r="Z260" s="45"/>
      <c r="AA260" s="45"/>
      <c r="AB260" s="45"/>
      <c r="AC260" s="44"/>
      <c r="AD260" s="45"/>
      <c r="AE260" s="45"/>
      <c r="AF260" s="45"/>
      <c r="AG260" s="45"/>
      <c r="AH260" s="45"/>
      <c r="AI260" s="144"/>
      <c r="AJ260" s="144"/>
      <c r="AK260" s="45"/>
      <c r="AL260" s="45"/>
      <c r="AM260" s="144"/>
      <c r="AN260" s="144"/>
      <c r="AO260" s="144"/>
      <c r="AP260" s="22"/>
      <c r="AQ260" s="22"/>
      <c r="AR260" s="144"/>
      <c r="AS260" s="22"/>
      <c r="AT260" s="22"/>
      <c r="AU260" s="144"/>
      <c r="AV260" s="22"/>
      <c r="AW260" s="22"/>
      <c r="AX260" s="144"/>
      <c r="AY260" s="22"/>
      <c r="AZ260" s="22"/>
      <c r="BA260" s="144"/>
      <c r="BB260" s="22"/>
      <c r="BC260" s="22"/>
      <c r="BD260" s="144"/>
      <c r="BE260" s="144"/>
      <c r="BF260" s="22"/>
      <c r="BG260" s="144"/>
      <c r="BH260" s="144"/>
      <c r="BI260" s="144"/>
      <c r="BJ260" s="144"/>
      <c r="BK260" s="144"/>
      <c r="BL260" s="22"/>
      <c r="BM260" s="144"/>
      <c r="BN260" s="144"/>
      <c r="BO260" s="22"/>
      <c r="BP260" s="144"/>
      <c r="BQ260" s="22"/>
      <c r="BR260" s="144"/>
      <c r="BS260" s="144"/>
      <c r="BT260" s="22"/>
      <c r="BU260" s="144"/>
      <c r="BV260" s="144"/>
      <c r="BW260" s="22"/>
      <c r="BX260" s="22"/>
      <c r="BY260" s="144"/>
      <c r="BZ260" s="22"/>
      <c r="CA260" s="22"/>
      <c r="CB260" s="144"/>
      <c r="CC260" s="22"/>
      <c r="CD260" s="22"/>
      <c r="CE260" s="144"/>
      <c r="CF260" s="22"/>
      <c r="CG260" s="22"/>
      <c r="CH260" s="144"/>
      <c r="CI260" s="22"/>
      <c r="CJ260" s="22"/>
      <c r="CK260" s="144"/>
      <c r="CL260" s="22"/>
      <c r="CM260" s="22"/>
      <c r="CN260" s="144"/>
      <c r="CO260" s="22"/>
      <c r="CP260" s="22"/>
      <c r="CQ260" s="144"/>
    </row>
    <row r="261" spans="1:95" ht="15.75" customHeight="1" x14ac:dyDescent="0.45">
      <c r="A261" s="22"/>
      <c r="B261" s="22"/>
      <c r="C261" s="12"/>
      <c r="D261" s="12"/>
      <c r="E261" s="12"/>
      <c r="F261" s="155"/>
      <c r="G261" s="144"/>
      <c r="H261" s="144"/>
      <c r="I261" s="12"/>
      <c r="J261" s="22"/>
      <c r="K261" s="22"/>
      <c r="L261" s="22"/>
      <c r="M261" s="145"/>
      <c r="N261" s="144"/>
      <c r="O261" s="144"/>
      <c r="P261" s="152"/>
      <c r="Q261" s="22"/>
      <c r="R261" s="152"/>
      <c r="S261" s="22"/>
      <c r="T261" s="74"/>
      <c r="U261" s="45"/>
      <c r="V261" s="158"/>
      <c r="W261" s="45"/>
      <c r="X261" s="45"/>
      <c r="Y261" s="45"/>
      <c r="Z261" s="45"/>
      <c r="AA261" s="45"/>
      <c r="AB261" s="45"/>
      <c r="AC261" s="44"/>
      <c r="AD261" s="45"/>
      <c r="AE261" s="45"/>
      <c r="AF261" s="45"/>
      <c r="AG261" s="45"/>
      <c r="AH261" s="45"/>
      <c r="AI261" s="144"/>
      <c r="AJ261" s="144"/>
      <c r="AK261" s="45"/>
      <c r="AL261" s="45"/>
      <c r="AM261" s="144"/>
      <c r="AN261" s="144"/>
      <c r="AO261" s="144"/>
      <c r="AP261" s="22"/>
      <c r="AQ261" s="22"/>
      <c r="AR261" s="144"/>
      <c r="AS261" s="22"/>
      <c r="AT261" s="22"/>
      <c r="AU261" s="144"/>
      <c r="AV261" s="22"/>
      <c r="AW261" s="22"/>
      <c r="AX261" s="144"/>
      <c r="AY261" s="22"/>
      <c r="AZ261" s="22"/>
      <c r="BA261" s="144"/>
      <c r="BB261" s="22"/>
      <c r="BC261" s="22"/>
      <c r="BD261" s="144"/>
      <c r="BE261" s="144"/>
      <c r="BF261" s="22"/>
      <c r="BG261" s="144"/>
      <c r="BH261" s="144"/>
      <c r="BI261" s="144"/>
      <c r="BJ261" s="144"/>
      <c r="BK261" s="144"/>
      <c r="BL261" s="22"/>
      <c r="BM261" s="144"/>
      <c r="BN261" s="144"/>
      <c r="BO261" s="22"/>
      <c r="BP261" s="144"/>
      <c r="BQ261" s="22"/>
      <c r="BR261" s="144"/>
      <c r="BS261" s="144"/>
      <c r="BT261" s="22"/>
      <c r="BU261" s="144"/>
      <c r="BV261" s="144"/>
      <c r="BW261" s="22"/>
      <c r="BX261" s="22"/>
      <c r="BY261" s="144"/>
      <c r="BZ261" s="22"/>
      <c r="CA261" s="22"/>
      <c r="CB261" s="144"/>
      <c r="CC261" s="22"/>
      <c r="CD261" s="22"/>
      <c r="CE261" s="144"/>
      <c r="CF261" s="22"/>
      <c r="CG261" s="22"/>
      <c r="CH261" s="144"/>
      <c r="CI261" s="22"/>
      <c r="CJ261" s="22"/>
      <c r="CK261" s="144"/>
      <c r="CL261" s="22"/>
      <c r="CM261" s="22"/>
      <c r="CN261" s="144"/>
      <c r="CO261" s="22"/>
      <c r="CP261" s="22"/>
      <c r="CQ261" s="144"/>
    </row>
    <row r="262" spans="1:95" ht="15.75" customHeight="1" x14ac:dyDescent="0.45">
      <c r="A262" s="22"/>
      <c r="B262" s="22"/>
      <c r="C262" s="12"/>
      <c r="D262" s="12"/>
      <c r="E262" s="12"/>
      <c r="F262" s="155"/>
      <c r="G262" s="144"/>
      <c r="H262" s="144"/>
      <c r="I262" s="12"/>
      <c r="J262" s="22"/>
      <c r="K262" s="22"/>
      <c r="L262" s="22"/>
      <c r="M262" s="145"/>
      <c r="N262" s="144"/>
      <c r="O262" s="144"/>
      <c r="P262" s="152"/>
      <c r="Q262" s="22"/>
      <c r="R262" s="152"/>
      <c r="S262" s="22"/>
      <c r="T262" s="74"/>
      <c r="U262" s="45"/>
      <c r="V262" s="158"/>
      <c r="W262" s="45"/>
      <c r="X262" s="45"/>
      <c r="Y262" s="45"/>
      <c r="Z262" s="45"/>
      <c r="AA262" s="45"/>
      <c r="AB262" s="45"/>
      <c r="AC262" s="44"/>
      <c r="AD262" s="45"/>
      <c r="AE262" s="45"/>
      <c r="AF262" s="45"/>
      <c r="AG262" s="45"/>
      <c r="AH262" s="45"/>
      <c r="AI262" s="144"/>
      <c r="AJ262" s="144"/>
      <c r="AK262" s="45"/>
      <c r="AL262" s="45"/>
      <c r="AM262" s="144"/>
      <c r="AN262" s="144"/>
      <c r="AO262" s="144"/>
      <c r="AP262" s="22"/>
      <c r="AQ262" s="22"/>
      <c r="AR262" s="144"/>
      <c r="AS262" s="22"/>
      <c r="AT262" s="22"/>
      <c r="AU262" s="144"/>
      <c r="AV262" s="22"/>
      <c r="AW262" s="22"/>
      <c r="AX262" s="144"/>
      <c r="AY262" s="22"/>
      <c r="AZ262" s="22"/>
      <c r="BA262" s="144"/>
      <c r="BB262" s="22"/>
      <c r="BC262" s="22"/>
      <c r="BD262" s="144"/>
      <c r="BE262" s="144"/>
      <c r="BF262" s="22"/>
      <c r="BG262" s="144"/>
      <c r="BH262" s="144"/>
      <c r="BI262" s="144"/>
      <c r="BJ262" s="144"/>
      <c r="BK262" s="144"/>
      <c r="BL262" s="22"/>
      <c r="BM262" s="144"/>
      <c r="BN262" s="144"/>
      <c r="BO262" s="22"/>
      <c r="BP262" s="144"/>
      <c r="BQ262" s="22"/>
      <c r="BR262" s="144"/>
      <c r="BS262" s="144"/>
      <c r="BT262" s="22"/>
      <c r="BU262" s="144"/>
      <c r="BV262" s="144"/>
      <c r="BW262" s="22"/>
      <c r="BX262" s="22"/>
      <c r="BY262" s="144"/>
      <c r="BZ262" s="22"/>
      <c r="CA262" s="22"/>
      <c r="CB262" s="144"/>
      <c r="CC262" s="22"/>
      <c r="CD262" s="22"/>
      <c r="CE262" s="144"/>
      <c r="CF262" s="22"/>
      <c r="CG262" s="22"/>
      <c r="CH262" s="144"/>
      <c r="CI262" s="22"/>
      <c r="CJ262" s="22"/>
      <c r="CK262" s="144"/>
      <c r="CL262" s="22"/>
      <c r="CM262" s="22"/>
      <c r="CN262" s="144"/>
      <c r="CO262" s="22"/>
      <c r="CP262" s="22"/>
      <c r="CQ262" s="144"/>
    </row>
    <row r="263" spans="1:95" ht="15.75" customHeight="1" x14ac:dyDescent="0.45">
      <c r="A263" s="22"/>
      <c r="B263" s="22"/>
      <c r="C263" s="12"/>
      <c r="D263" s="12"/>
      <c r="E263" s="12"/>
      <c r="F263" s="155"/>
      <c r="G263" s="144"/>
      <c r="H263" s="144"/>
      <c r="I263" s="12"/>
      <c r="J263" s="22"/>
      <c r="K263" s="22"/>
      <c r="L263" s="22"/>
      <c r="M263" s="145"/>
      <c r="N263" s="144"/>
      <c r="O263" s="144"/>
      <c r="P263" s="152"/>
      <c r="Q263" s="22"/>
      <c r="R263" s="152"/>
      <c r="S263" s="22"/>
      <c r="T263" s="74"/>
      <c r="U263" s="45"/>
      <c r="V263" s="158"/>
      <c r="W263" s="45"/>
      <c r="X263" s="45"/>
      <c r="Y263" s="45"/>
      <c r="Z263" s="45"/>
      <c r="AA263" s="45"/>
      <c r="AB263" s="45"/>
      <c r="AC263" s="44"/>
      <c r="AD263" s="45"/>
      <c r="AE263" s="45"/>
      <c r="AF263" s="45"/>
      <c r="AG263" s="45"/>
      <c r="AH263" s="45"/>
      <c r="AI263" s="144"/>
      <c r="AJ263" s="144"/>
      <c r="AK263" s="45"/>
      <c r="AL263" s="45"/>
      <c r="AM263" s="144"/>
      <c r="AN263" s="144"/>
      <c r="AO263" s="144"/>
      <c r="AP263" s="22"/>
      <c r="AQ263" s="22"/>
      <c r="AR263" s="144"/>
      <c r="AS263" s="22"/>
      <c r="AT263" s="22"/>
      <c r="AU263" s="144"/>
      <c r="AV263" s="22"/>
      <c r="AW263" s="22"/>
      <c r="AX263" s="144"/>
      <c r="AY263" s="22"/>
      <c r="AZ263" s="22"/>
      <c r="BA263" s="144"/>
      <c r="BB263" s="22"/>
      <c r="BC263" s="22"/>
      <c r="BD263" s="144"/>
      <c r="BE263" s="144"/>
      <c r="BF263" s="22"/>
      <c r="BG263" s="144"/>
      <c r="BH263" s="144"/>
      <c r="BI263" s="144"/>
      <c r="BJ263" s="144"/>
      <c r="BK263" s="144"/>
      <c r="BL263" s="22"/>
      <c r="BM263" s="144"/>
      <c r="BN263" s="144"/>
      <c r="BO263" s="22"/>
      <c r="BP263" s="144"/>
      <c r="BQ263" s="22"/>
      <c r="BR263" s="144"/>
      <c r="BS263" s="144"/>
      <c r="BT263" s="22"/>
      <c r="BU263" s="144"/>
      <c r="BV263" s="144"/>
      <c r="BW263" s="22"/>
      <c r="BX263" s="22"/>
      <c r="BY263" s="144"/>
      <c r="BZ263" s="22"/>
      <c r="CA263" s="22"/>
      <c r="CB263" s="144"/>
      <c r="CC263" s="22"/>
      <c r="CD263" s="22"/>
      <c r="CE263" s="144"/>
      <c r="CF263" s="22"/>
      <c r="CG263" s="22"/>
      <c r="CH263" s="144"/>
      <c r="CI263" s="22"/>
      <c r="CJ263" s="22"/>
      <c r="CK263" s="144"/>
      <c r="CL263" s="22"/>
      <c r="CM263" s="22"/>
      <c r="CN263" s="144"/>
      <c r="CO263" s="22"/>
      <c r="CP263" s="22"/>
      <c r="CQ263" s="144"/>
    </row>
    <row r="264" spans="1:95" ht="15.75" customHeight="1" x14ac:dyDescent="0.45">
      <c r="A264" s="22"/>
      <c r="B264" s="22"/>
      <c r="C264" s="12"/>
      <c r="D264" s="12"/>
      <c r="E264" s="12"/>
      <c r="F264" s="155"/>
      <c r="G264" s="144"/>
      <c r="H264" s="144"/>
      <c r="I264" s="12"/>
      <c r="J264" s="22"/>
      <c r="K264" s="22"/>
      <c r="L264" s="22"/>
      <c r="M264" s="145"/>
      <c r="N264" s="144"/>
      <c r="O264" s="144"/>
      <c r="P264" s="152"/>
      <c r="Q264" s="22"/>
      <c r="R264" s="152"/>
      <c r="S264" s="22"/>
      <c r="T264" s="74"/>
      <c r="U264" s="45"/>
      <c r="V264" s="158"/>
      <c r="W264" s="45"/>
      <c r="X264" s="45"/>
      <c r="Y264" s="45"/>
      <c r="Z264" s="45"/>
      <c r="AA264" s="45"/>
      <c r="AB264" s="45"/>
      <c r="AC264" s="44"/>
      <c r="AD264" s="45"/>
      <c r="AE264" s="45"/>
      <c r="AF264" s="45"/>
      <c r="AG264" s="45"/>
      <c r="AH264" s="45"/>
      <c r="AI264" s="144"/>
      <c r="AJ264" s="144"/>
      <c r="AK264" s="45"/>
      <c r="AL264" s="45"/>
      <c r="AM264" s="144"/>
      <c r="AN264" s="144"/>
      <c r="AO264" s="144"/>
      <c r="AP264" s="22"/>
      <c r="AQ264" s="22"/>
      <c r="AR264" s="144"/>
      <c r="AS264" s="22"/>
      <c r="AT264" s="22"/>
      <c r="AU264" s="144"/>
      <c r="AV264" s="22"/>
      <c r="AW264" s="22"/>
      <c r="AX264" s="144"/>
      <c r="AY264" s="22"/>
      <c r="AZ264" s="22"/>
      <c r="BA264" s="144"/>
      <c r="BB264" s="22"/>
      <c r="BC264" s="22"/>
      <c r="BD264" s="144"/>
      <c r="BE264" s="144"/>
      <c r="BF264" s="22"/>
      <c r="BG264" s="144"/>
      <c r="BH264" s="144"/>
      <c r="BI264" s="144"/>
      <c r="BJ264" s="144"/>
      <c r="BK264" s="144"/>
      <c r="BL264" s="22"/>
      <c r="BM264" s="144"/>
      <c r="BN264" s="144"/>
      <c r="BO264" s="22"/>
      <c r="BP264" s="144"/>
      <c r="BQ264" s="22"/>
      <c r="BR264" s="144"/>
      <c r="BS264" s="144"/>
      <c r="BT264" s="22"/>
      <c r="BU264" s="144"/>
      <c r="BV264" s="144"/>
      <c r="BW264" s="22"/>
      <c r="BX264" s="22"/>
      <c r="BY264" s="144"/>
      <c r="BZ264" s="22"/>
      <c r="CA264" s="22"/>
      <c r="CB264" s="144"/>
      <c r="CC264" s="22"/>
      <c r="CD264" s="22"/>
      <c r="CE264" s="144"/>
      <c r="CF264" s="22"/>
      <c r="CG264" s="22"/>
      <c r="CH264" s="144"/>
      <c r="CI264" s="22"/>
      <c r="CJ264" s="22"/>
      <c r="CK264" s="144"/>
      <c r="CL264" s="22"/>
      <c r="CM264" s="22"/>
      <c r="CN264" s="144"/>
      <c r="CO264" s="22"/>
      <c r="CP264" s="22"/>
      <c r="CQ264" s="144"/>
    </row>
    <row r="265" spans="1:95" ht="15.75" customHeight="1" x14ac:dyDescent="0.45">
      <c r="A265" s="22"/>
      <c r="B265" s="22"/>
      <c r="C265" s="12"/>
      <c r="D265" s="12"/>
      <c r="E265" s="12"/>
      <c r="F265" s="155"/>
      <c r="G265" s="144"/>
      <c r="H265" s="144"/>
      <c r="I265" s="12"/>
      <c r="J265" s="22"/>
      <c r="K265" s="22"/>
      <c r="L265" s="22"/>
      <c r="M265" s="145"/>
      <c r="N265" s="144"/>
      <c r="O265" s="144"/>
      <c r="P265" s="152"/>
      <c r="Q265" s="22"/>
      <c r="R265" s="152"/>
      <c r="S265" s="22"/>
      <c r="T265" s="74"/>
      <c r="U265" s="45"/>
      <c r="V265" s="158"/>
      <c r="W265" s="45"/>
      <c r="X265" s="45"/>
      <c r="Y265" s="45"/>
      <c r="Z265" s="45"/>
      <c r="AA265" s="45"/>
      <c r="AB265" s="45"/>
      <c r="AC265" s="44"/>
      <c r="AD265" s="45"/>
      <c r="AE265" s="45"/>
      <c r="AF265" s="45"/>
      <c r="AG265" s="45"/>
      <c r="AH265" s="45"/>
      <c r="AI265" s="144"/>
      <c r="AJ265" s="144"/>
      <c r="AK265" s="45"/>
      <c r="AL265" s="45"/>
      <c r="AM265" s="144"/>
      <c r="AN265" s="144"/>
      <c r="AO265" s="144"/>
      <c r="AP265" s="22"/>
      <c r="AQ265" s="22"/>
      <c r="AR265" s="144"/>
      <c r="AS265" s="22"/>
      <c r="AT265" s="22"/>
      <c r="AU265" s="144"/>
      <c r="AV265" s="22"/>
      <c r="AW265" s="22"/>
      <c r="AX265" s="144"/>
      <c r="AY265" s="22"/>
      <c r="AZ265" s="22"/>
      <c r="BA265" s="144"/>
      <c r="BB265" s="22"/>
      <c r="BC265" s="22"/>
      <c r="BD265" s="144"/>
      <c r="BE265" s="144"/>
      <c r="BF265" s="22"/>
      <c r="BG265" s="144"/>
      <c r="BH265" s="144"/>
      <c r="BI265" s="144"/>
      <c r="BJ265" s="144"/>
      <c r="BK265" s="144"/>
      <c r="BL265" s="22"/>
      <c r="BM265" s="144"/>
      <c r="BN265" s="144"/>
      <c r="BO265" s="22"/>
      <c r="BP265" s="144"/>
      <c r="BQ265" s="22"/>
      <c r="BR265" s="144"/>
      <c r="BS265" s="144"/>
      <c r="BT265" s="22"/>
      <c r="BU265" s="144"/>
      <c r="BV265" s="144"/>
      <c r="BW265" s="22"/>
      <c r="BX265" s="22"/>
      <c r="BY265" s="144"/>
      <c r="BZ265" s="22"/>
      <c r="CA265" s="22"/>
      <c r="CB265" s="144"/>
      <c r="CC265" s="22"/>
      <c r="CD265" s="22"/>
      <c r="CE265" s="144"/>
      <c r="CF265" s="22"/>
      <c r="CG265" s="22"/>
      <c r="CH265" s="144"/>
      <c r="CI265" s="22"/>
      <c r="CJ265" s="22"/>
      <c r="CK265" s="144"/>
      <c r="CL265" s="22"/>
      <c r="CM265" s="22"/>
      <c r="CN265" s="144"/>
      <c r="CO265" s="22"/>
      <c r="CP265" s="22"/>
      <c r="CQ265" s="144"/>
    </row>
    <row r="266" spans="1:95" ht="15.75" customHeight="1" x14ac:dyDescent="0.45">
      <c r="A266" s="22"/>
      <c r="B266" s="22"/>
      <c r="C266" s="12"/>
      <c r="D266" s="12"/>
      <c r="E266" s="12"/>
      <c r="F266" s="155"/>
      <c r="G266" s="144"/>
      <c r="H266" s="144"/>
      <c r="I266" s="12"/>
      <c r="J266" s="22"/>
      <c r="K266" s="22"/>
      <c r="L266" s="22"/>
      <c r="M266" s="145"/>
      <c r="N266" s="144"/>
      <c r="O266" s="144"/>
      <c r="P266" s="152"/>
      <c r="Q266" s="22"/>
      <c r="R266" s="152"/>
      <c r="S266" s="22"/>
      <c r="T266" s="74"/>
      <c r="U266" s="45"/>
      <c r="V266" s="158"/>
      <c r="W266" s="45"/>
      <c r="X266" s="45"/>
      <c r="Y266" s="45"/>
      <c r="Z266" s="45"/>
      <c r="AA266" s="45"/>
      <c r="AB266" s="45"/>
      <c r="AC266" s="44"/>
      <c r="AD266" s="45"/>
      <c r="AE266" s="45"/>
      <c r="AF266" s="45"/>
      <c r="AG266" s="45"/>
      <c r="AH266" s="45"/>
      <c r="AI266" s="144"/>
      <c r="AJ266" s="144"/>
      <c r="AK266" s="45"/>
      <c r="AL266" s="45"/>
      <c r="AM266" s="144"/>
      <c r="AN266" s="144"/>
      <c r="AO266" s="144"/>
      <c r="AP266" s="22"/>
      <c r="AQ266" s="22"/>
      <c r="AR266" s="144"/>
      <c r="AS266" s="22"/>
      <c r="AT266" s="22"/>
      <c r="AU266" s="144"/>
      <c r="AV266" s="22"/>
      <c r="AW266" s="22"/>
      <c r="AX266" s="144"/>
      <c r="AY266" s="22"/>
      <c r="AZ266" s="22"/>
      <c r="BA266" s="144"/>
      <c r="BB266" s="22"/>
      <c r="BC266" s="22"/>
      <c r="BD266" s="144"/>
      <c r="BE266" s="144"/>
      <c r="BF266" s="22"/>
      <c r="BG266" s="144"/>
      <c r="BH266" s="144"/>
      <c r="BI266" s="144"/>
      <c r="BJ266" s="144"/>
      <c r="BK266" s="144"/>
      <c r="BL266" s="22"/>
      <c r="BM266" s="144"/>
      <c r="BN266" s="144"/>
      <c r="BO266" s="22"/>
      <c r="BP266" s="144"/>
      <c r="BQ266" s="22"/>
      <c r="BR266" s="144"/>
      <c r="BS266" s="144"/>
      <c r="BT266" s="22"/>
      <c r="BU266" s="144"/>
      <c r="BV266" s="144"/>
      <c r="BW266" s="22"/>
      <c r="BX266" s="22"/>
      <c r="BY266" s="144"/>
      <c r="BZ266" s="22"/>
      <c r="CA266" s="22"/>
      <c r="CB266" s="144"/>
      <c r="CC266" s="22"/>
      <c r="CD266" s="22"/>
      <c r="CE266" s="144"/>
      <c r="CF266" s="22"/>
      <c r="CG266" s="22"/>
      <c r="CH266" s="144"/>
      <c r="CI266" s="22"/>
      <c r="CJ266" s="22"/>
      <c r="CK266" s="144"/>
      <c r="CL266" s="22"/>
      <c r="CM266" s="22"/>
      <c r="CN266" s="144"/>
      <c r="CO266" s="22"/>
      <c r="CP266" s="22"/>
      <c r="CQ266" s="144"/>
    </row>
    <row r="267" spans="1:95" ht="15.75" customHeight="1" x14ac:dyDescent="0.45">
      <c r="A267" s="22"/>
      <c r="B267" s="22"/>
      <c r="C267" s="12"/>
      <c r="D267" s="12"/>
      <c r="E267" s="12"/>
      <c r="F267" s="155"/>
      <c r="G267" s="144"/>
      <c r="H267" s="144"/>
      <c r="I267" s="12"/>
      <c r="J267" s="22"/>
      <c r="K267" s="22"/>
      <c r="L267" s="22"/>
      <c r="M267" s="145"/>
      <c r="N267" s="144"/>
      <c r="O267" s="144"/>
      <c r="P267" s="152"/>
      <c r="Q267" s="22"/>
      <c r="R267" s="152"/>
      <c r="S267" s="22"/>
      <c r="T267" s="74"/>
      <c r="U267" s="45"/>
      <c r="V267" s="158"/>
      <c r="W267" s="45"/>
      <c r="X267" s="45"/>
      <c r="Y267" s="45"/>
      <c r="Z267" s="45"/>
      <c r="AA267" s="45"/>
      <c r="AB267" s="45"/>
      <c r="AC267" s="44"/>
      <c r="AD267" s="45"/>
      <c r="AE267" s="45"/>
      <c r="AF267" s="45"/>
      <c r="AG267" s="45"/>
      <c r="AH267" s="45"/>
      <c r="AI267" s="144"/>
      <c r="AJ267" s="144"/>
      <c r="AK267" s="45"/>
      <c r="AL267" s="45"/>
      <c r="AM267" s="144"/>
      <c r="AN267" s="144"/>
      <c r="AO267" s="144"/>
      <c r="AP267" s="22"/>
      <c r="AQ267" s="22"/>
      <c r="AR267" s="144"/>
      <c r="AS267" s="22"/>
      <c r="AT267" s="22"/>
      <c r="AU267" s="144"/>
      <c r="AV267" s="22"/>
      <c r="AW267" s="22"/>
      <c r="AX267" s="144"/>
      <c r="AY267" s="22"/>
      <c r="AZ267" s="22"/>
      <c r="BA267" s="144"/>
      <c r="BB267" s="22"/>
      <c r="BC267" s="22"/>
      <c r="BD267" s="144"/>
      <c r="BE267" s="144"/>
      <c r="BF267" s="22"/>
      <c r="BG267" s="144"/>
      <c r="BH267" s="144"/>
      <c r="BI267" s="144"/>
      <c r="BJ267" s="144"/>
      <c r="BK267" s="144"/>
      <c r="BL267" s="22"/>
      <c r="BM267" s="144"/>
      <c r="BN267" s="144"/>
      <c r="BO267" s="22"/>
      <c r="BP267" s="144"/>
      <c r="BQ267" s="22"/>
      <c r="BR267" s="144"/>
      <c r="BS267" s="144"/>
      <c r="BT267" s="22"/>
      <c r="BU267" s="144"/>
      <c r="BV267" s="144"/>
      <c r="BW267" s="22"/>
      <c r="BX267" s="22"/>
      <c r="BY267" s="144"/>
      <c r="BZ267" s="22"/>
      <c r="CA267" s="22"/>
      <c r="CB267" s="144"/>
      <c r="CC267" s="22"/>
      <c r="CD267" s="22"/>
      <c r="CE267" s="144"/>
      <c r="CF267" s="22"/>
      <c r="CG267" s="22"/>
      <c r="CH267" s="144"/>
      <c r="CI267" s="22"/>
      <c r="CJ267" s="22"/>
      <c r="CK267" s="144"/>
      <c r="CL267" s="22"/>
      <c r="CM267" s="22"/>
      <c r="CN267" s="144"/>
      <c r="CO267" s="22"/>
      <c r="CP267" s="22"/>
      <c r="CQ267" s="144"/>
    </row>
    <row r="268" spans="1:95" ht="15.75" customHeight="1" x14ac:dyDescent="0.45">
      <c r="A268" s="22"/>
      <c r="B268" s="22"/>
      <c r="C268" s="12"/>
      <c r="D268" s="12"/>
      <c r="E268" s="12"/>
      <c r="F268" s="155"/>
      <c r="G268" s="144"/>
      <c r="H268" s="144"/>
      <c r="I268" s="12"/>
      <c r="J268" s="22"/>
      <c r="K268" s="22"/>
      <c r="L268" s="22"/>
      <c r="M268" s="145"/>
      <c r="N268" s="144"/>
      <c r="O268" s="144"/>
      <c r="P268" s="152"/>
      <c r="Q268" s="22"/>
      <c r="R268" s="152"/>
      <c r="S268" s="22"/>
      <c r="T268" s="74"/>
      <c r="U268" s="45"/>
      <c r="V268" s="158"/>
      <c r="W268" s="45"/>
      <c r="X268" s="45"/>
      <c r="Y268" s="45"/>
      <c r="Z268" s="45"/>
      <c r="AA268" s="45"/>
      <c r="AB268" s="45"/>
      <c r="AC268" s="44"/>
      <c r="AD268" s="45"/>
      <c r="AE268" s="45"/>
      <c r="AF268" s="45"/>
      <c r="AG268" s="45"/>
      <c r="AH268" s="45"/>
      <c r="AI268" s="144"/>
      <c r="AJ268" s="144"/>
      <c r="AK268" s="45"/>
      <c r="AL268" s="45"/>
      <c r="AM268" s="144"/>
      <c r="AN268" s="144"/>
      <c r="AO268" s="144"/>
      <c r="AP268" s="22"/>
      <c r="AQ268" s="22"/>
      <c r="AR268" s="144"/>
      <c r="AS268" s="22"/>
      <c r="AT268" s="22"/>
      <c r="AU268" s="144"/>
      <c r="AV268" s="22"/>
      <c r="AW268" s="22"/>
      <c r="AX268" s="144"/>
      <c r="AY268" s="22"/>
      <c r="AZ268" s="22"/>
      <c r="BA268" s="144"/>
      <c r="BB268" s="22"/>
      <c r="BC268" s="22"/>
      <c r="BD268" s="144"/>
      <c r="BE268" s="144"/>
      <c r="BF268" s="22"/>
      <c r="BG268" s="144"/>
      <c r="BH268" s="144"/>
      <c r="BI268" s="144"/>
      <c r="BJ268" s="144"/>
      <c r="BK268" s="144"/>
      <c r="BL268" s="22"/>
      <c r="BM268" s="144"/>
      <c r="BN268" s="144"/>
      <c r="BO268" s="22"/>
      <c r="BP268" s="144"/>
      <c r="BQ268" s="22"/>
      <c r="BR268" s="144"/>
      <c r="BS268" s="144"/>
      <c r="BT268" s="22"/>
      <c r="BU268" s="144"/>
      <c r="BV268" s="144"/>
      <c r="BW268" s="22"/>
      <c r="BX268" s="22"/>
      <c r="BY268" s="144"/>
      <c r="BZ268" s="22"/>
      <c r="CA268" s="22"/>
      <c r="CB268" s="144"/>
      <c r="CC268" s="22"/>
      <c r="CD268" s="22"/>
      <c r="CE268" s="144"/>
      <c r="CF268" s="22"/>
      <c r="CG268" s="22"/>
      <c r="CH268" s="144"/>
      <c r="CI268" s="22"/>
      <c r="CJ268" s="22"/>
      <c r="CK268" s="144"/>
      <c r="CL268" s="22"/>
      <c r="CM268" s="22"/>
      <c r="CN268" s="144"/>
      <c r="CO268" s="22"/>
      <c r="CP268" s="22"/>
      <c r="CQ268" s="144"/>
    </row>
    <row r="269" spans="1:95" ht="15.75" customHeight="1" x14ac:dyDescent="0.45">
      <c r="A269" s="22"/>
      <c r="B269" s="22"/>
      <c r="C269" s="12"/>
      <c r="D269" s="12"/>
      <c r="E269" s="12"/>
      <c r="F269" s="155"/>
      <c r="G269" s="144"/>
      <c r="H269" s="144"/>
      <c r="I269" s="12"/>
      <c r="J269" s="22"/>
      <c r="K269" s="22"/>
      <c r="L269" s="22"/>
      <c r="M269" s="145"/>
      <c r="N269" s="144"/>
      <c r="O269" s="144"/>
      <c r="P269" s="152"/>
      <c r="Q269" s="22"/>
      <c r="R269" s="152"/>
      <c r="S269" s="22"/>
      <c r="T269" s="74"/>
      <c r="U269" s="45"/>
      <c r="V269" s="158"/>
      <c r="W269" s="45"/>
      <c r="X269" s="45"/>
      <c r="Y269" s="45"/>
      <c r="Z269" s="45"/>
      <c r="AA269" s="45"/>
      <c r="AB269" s="45"/>
      <c r="AC269" s="44"/>
      <c r="AD269" s="45"/>
      <c r="AE269" s="45"/>
      <c r="AF269" s="45"/>
      <c r="AG269" s="45"/>
      <c r="AH269" s="45"/>
      <c r="AI269" s="144"/>
      <c r="AJ269" s="144"/>
      <c r="AK269" s="45"/>
      <c r="AL269" s="45"/>
      <c r="AM269" s="144"/>
      <c r="AN269" s="144"/>
      <c r="AO269" s="144"/>
      <c r="AP269" s="22"/>
      <c r="AQ269" s="22"/>
      <c r="AR269" s="144"/>
      <c r="AS269" s="22"/>
      <c r="AT269" s="22"/>
      <c r="AU269" s="144"/>
      <c r="AV269" s="22"/>
      <c r="AW269" s="22"/>
      <c r="AX269" s="144"/>
      <c r="AY269" s="22"/>
      <c r="AZ269" s="22"/>
      <c r="BA269" s="144"/>
      <c r="BB269" s="22"/>
      <c r="BC269" s="22"/>
      <c r="BD269" s="144"/>
      <c r="BE269" s="144"/>
      <c r="BF269" s="22"/>
      <c r="BG269" s="144"/>
      <c r="BH269" s="144"/>
      <c r="BI269" s="144"/>
      <c r="BJ269" s="144"/>
      <c r="BK269" s="144"/>
      <c r="BL269" s="22"/>
      <c r="BM269" s="144"/>
      <c r="BN269" s="144"/>
      <c r="BO269" s="22"/>
      <c r="BP269" s="144"/>
      <c r="BQ269" s="22"/>
      <c r="BR269" s="144"/>
      <c r="BS269" s="144"/>
      <c r="BT269" s="22"/>
      <c r="BU269" s="144"/>
      <c r="BV269" s="144"/>
      <c r="BW269" s="22"/>
      <c r="BX269" s="22"/>
      <c r="BY269" s="144"/>
      <c r="BZ269" s="22"/>
      <c r="CA269" s="22"/>
      <c r="CB269" s="144"/>
      <c r="CC269" s="22"/>
      <c r="CD269" s="22"/>
      <c r="CE269" s="144"/>
      <c r="CF269" s="22"/>
      <c r="CG269" s="22"/>
      <c r="CH269" s="144"/>
      <c r="CI269" s="22"/>
      <c r="CJ269" s="22"/>
      <c r="CK269" s="144"/>
      <c r="CL269" s="22"/>
      <c r="CM269" s="22"/>
      <c r="CN269" s="144"/>
      <c r="CO269" s="22"/>
      <c r="CP269" s="22"/>
      <c r="CQ269" s="144"/>
    </row>
    <row r="270" spans="1:95" ht="15.75" customHeight="1" x14ac:dyDescent="0.45">
      <c r="A270" s="22"/>
      <c r="B270" s="22"/>
      <c r="C270" s="12"/>
      <c r="D270" s="12"/>
      <c r="E270" s="12"/>
      <c r="F270" s="155"/>
      <c r="G270" s="144"/>
      <c r="H270" s="144"/>
      <c r="I270" s="12"/>
      <c r="J270" s="22"/>
      <c r="K270" s="22"/>
      <c r="L270" s="22"/>
      <c r="M270" s="145"/>
      <c r="N270" s="144"/>
      <c r="O270" s="144"/>
      <c r="P270" s="152"/>
      <c r="Q270" s="22"/>
      <c r="R270" s="152"/>
      <c r="S270" s="22"/>
      <c r="T270" s="74"/>
      <c r="U270" s="45"/>
      <c r="V270" s="158"/>
      <c r="W270" s="45"/>
      <c r="X270" s="45"/>
      <c r="Y270" s="45"/>
      <c r="Z270" s="45"/>
      <c r="AA270" s="45"/>
      <c r="AB270" s="45"/>
      <c r="AC270" s="44"/>
      <c r="AD270" s="45"/>
      <c r="AE270" s="45"/>
      <c r="AF270" s="45"/>
      <c r="AG270" s="45"/>
      <c r="AH270" s="45"/>
      <c r="AI270" s="144"/>
      <c r="AJ270" s="144"/>
      <c r="AK270" s="45"/>
      <c r="AL270" s="45"/>
      <c r="AM270" s="144"/>
      <c r="AN270" s="144"/>
      <c r="AO270" s="144"/>
      <c r="AP270" s="22"/>
      <c r="AQ270" s="22"/>
      <c r="AR270" s="144"/>
      <c r="AS270" s="22"/>
      <c r="AT270" s="22"/>
      <c r="AU270" s="144"/>
      <c r="AV270" s="22"/>
      <c r="AW270" s="22"/>
      <c r="AX270" s="144"/>
      <c r="AY270" s="22"/>
      <c r="AZ270" s="22"/>
      <c r="BA270" s="144"/>
      <c r="BB270" s="22"/>
      <c r="BC270" s="22"/>
      <c r="BD270" s="144"/>
      <c r="BE270" s="144"/>
      <c r="BF270" s="22"/>
      <c r="BG270" s="144"/>
      <c r="BH270" s="144"/>
      <c r="BI270" s="144"/>
      <c r="BJ270" s="144"/>
      <c r="BK270" s="144"/>
      <c r="BL270" s="22"/>
      <c r="BM270" s="144"/>
      <c r="BN270" s="144"/>
      <c r="BO270" s="22"/>
      <c r="BP270" s="144"/>
      <c r="BQ270" s="22"/>
      <c r="BR270" s="144"/>
      <c r="BS270" s="144"/>
      <c r="BT270" s="22"/>
      <c r="BU270" s="144"/>
      <c r="BV270" s="144"/>
      <c r="BW270" s="22"/>
      <c r="BX270" s="22"/>
      <c r="BY270" s="144"/>
      <c r="BZ270" s="22"/>
      <c r="CA270" s="22"/>
      <c r="CB270" s="144"/>
      <c r="CC270" s="22"/>
      <c r="CD270" s="22"/>
      <c r="CE270" s="144"/>
      <c r="CF270" s="22"/>
      <c r="CG270" s="22"/>
      <c r="CH270" s="144"/>
      <c r="CI270" s="22"/>
      <c r="CJ270" s="22"/>
      <c r="CK270" s="144"/>
      <c r="CL270" s="22"/>
      <c r="CM270" s="22"/>
      <c r="CN270" s="144"/>
      <c r="CO270" s="22"/>
      <c r="CP270" s="22"/>
      <c r="CQ270" s="144"/>
    </row>
    <row r="271" spans="1:95" ht="15.75" customHeight="1" x14ac:dyDescent="0.45">
      <c r="A271" s="22"/>
      <c r="B271" s="22"/>
      <c r="C271" s="12"/>
      <c r="D271" s="12"/>
      <c r="E271" s="12"/>
      <c r="F271" s="155"/>
      <c r="G271" s="144"/>
      <c r="H271" s="144"/>
      <c r="I271" s="12"/>
      <c r="J271" s="22"/>
      <c r="K271" s="22"/>
      <c r="L271" s="22"/>
      <c r="M271" s="145"/>
      <c r="N271" s="144"/>
      <c r="O271" s="144"/>
      <c r="P271" s="152"/>
      <c r="Q271" s="22"/>
      <c r="R271" s="152"/>
      <c r="S271" s="22"/>
      <c r="T271" s="74"/>
      <c r="U271" s="45"/>
      <c r="V271" s="158"/>
      <c r="W271" s="45"/>
      <c r="X271" s="45"/>
      <c r="Y271" s="45"/>
      <c r="Z271" s="45"/>
      <c r="AA271" s="45"/>
      <c r="AB271" s="45"/>
      <c r="AC271" s="44"/>
      <c r="AD271" s="45"/>
      <c r="AE271" s="45"/>
      <c r="AF271" s="45"/>
      <c r="AG271" s="45"/>
      <c r="AH271" s="45"/>
      <c r="AI271" s="144"/>
      <c r="AJ271" s="144"/>
      <c r="AK271" s="45"/>
      <c r="AL271" s="45"/>
      <c r="AM271" s="144"/>
      <c r="AN271" s="144"/>
      <c r="AO271" s="144"/>
      <c r="AP271" s="22"/>
      <c r="AQ271" s="22"/>
      <c r="AR271" s="144"/>
      <c r="AS271" s="22"/>
      <c r="AT271" s="22"/>
      <c r="AU271" s="144"/>
      <c r="AV271" s="22"/>
      <c r="AW271" s="22"/>
      <c r="AX271" s="144"/>
      <c r="AY271" s="22"/>
      <c r="AZ271" s="22"/>
      <c r="BA271" s="144"/>
      <c r="BB271" s="22"/>
      <c r="BC271" s="22"/>
      <c r="BD271" s="144"/>
      <c r="BE271" s="144"/>
      <c r="BF271" s="22"/>
      <c r="BG271" s="144"/>
      <c r="BH271" s="144"/>
      <c r="BI271" s="144"/>
      <c r="BJ271" s="144"/>
      <c r="BK271" s="144"/>
      <c r="BL271" s="22"/>
      <c r="BM271" s="144"/>
      <c r="BN271" s="144"/>
      <c r="BO271" s="22"/>
      <c r="BP271" s="144"/>
      <c r="BQ271" s="22"/>
      <c r="BR271" s="144"/>
      <c r="BS271" s="144"/>
      <c r="BT271" s="22"/>
      <c r="BU271" s="144"/>
      <c r="BV271" s="144"/>
      <c r="BW271" s="22"/>
      <c r="BX271" s="22"/>
      <c r="BY271" s="144"/>
      <c r="BZ271" s="22"/>
      <c r="CA271" s="22"/>
      <c r="CB271" s="144"/>
      <c r="CC271" s="22"/>
      <c r="CD271" s="22"/>
      <c r="CE271" s="144"/>
      <c r="CF271" s="22"/>
      <c r="CG271" s="22"/>
      <c r="CH271" s="144"/>
      <c r="CI271" s="22"/>
      <c r="CJ271" s="22"/>
      <c r="CK271" s="144"/>
      <c r="CL271" s="22"/>
      <c r="CM271" s="22"/>
      <c r="CN271" s="144"/>
      <c r="CO271" s="22"/>
      <c r="CP271" s="22"/>
      <c r="CQ271" s="144"/>
    </row>
    <row r="272" spans="1:95" ht="15.75" customHeight="1" x14ac:dyDescent="0.45">
      <c r="A272" s="22"/>
      <c r="B272" s="22"/>
      <c r="C272" s="12"/>
      <c r="D272" s="12"/>
      <c r="E272" s="12"/>
      <c r="F272" s="155"/>
      <c r="G272" s="144"/>
      <c r="H272" s="144"/>
      <c r="I272" s="12"/>
      <c r="J272" s="22"/>
      <c r="K272" s="22"/>
      <c r="L272" s="22"/>
      <c r="M272" s="145"/>
      <c r="N272" s="144"/>
      <c r="O272" s="144"/>
      <c r="P272" s="152"/>
      <c r="Q272" s="22"/>
      <c r="R272" s="152"/>
      <c r="S272" s="22"/>
      <c r="T272" s="74"/>
      <c r="U272" s="45"/>
      <c r="V272" s="158"/>
      <c r="W272" s="45"/>
      <c r="X272" s="45"/>
      <c r="Y272" s="45"/>
      <c r="Z272" s="45"/>
      <c r="AA272" s="45"/>
      <c r="AB272" s="45"/>
      <c r="AC272" s="44"/>
      <c r="AD272" s="45"/>
      <c r="AE272" s="45"/>
      <c r="AF272" s="45"/>
      <c r="AG272" s="45"/>
      <c r="AH272" s="45"/>
      <c r="AI272" s="144"/>
      <c r="AJ272" s="144"/>
      <c r="AK272" s="45"/>
      <c r="AL272" s="45"/>
      <c r="AM272" s="144"/>
      <c r="AN272" s="144"/>
      <c r="AO272" s="144"/>
      <c r="AP272" s="22"/>
      <c r="AQ272" s="22"/>
      <c r="AR272" s="144"/>
      <c r="AS272" s="22"/>
      <c r="AT272" s="22"/>
      <c r="AU272" s="144"/>
      <c r="AV272" s="22"/>
      <c r="AW272" s="22"/>
      <c r="AX272" s="144"/>
      <c r="AY272" s="22"/>
      <c r="AZ272" s="22"/>
      <c r="BA272" s="144"/>
      <c r="BB272" s="22"/>
      <c r="BC272" s="22"/>
      <c r="BD272" s="144"/>
      <c r="BE272" s="144"/>
      <c r="BF272" s="22"/>
      <c r="BG272" s="144"/>
      <c r="BH272" s="144"/>
      <c r="BI272" s="144"/>
      <c r="BJ272" s="144"/>
      <c r="BK272" s="144"/>
      <c r="BL272" s="22"/>
      <c r="BM272" s="144"/>
      <c r="BN272" s="144"/>
      <c r="BO272" s="22"/>
      <c r="BP272" s="144"/>
      <c r="BQ272" s="22"/>
      <c r="BR272" s="144"/>
      <c r="BS272" s="144"/>
      <c r="BT272" s="22"/>
      <c r="BU272" s="144"/>
      <c r="BV272" s="144"/>
      <c r="BW272" s="22"/>
      <c r="BX272" s="22"/>
      <c r="BY272" s="144"/>
      <c r="BZ272" s="22"/>
      <c r="CA272" s="22"/>
      <c r="CB272" s="144"/>
      <c r="CC272" s="22"/>
      <c r="CD272" s="22"/>
      <c r="CE272" s="144"/>
      <c r="CF272" s="22"/>
      <c r="CG272" s="22"/>
      <c r="CH272" s="144"/>
      <c r="CI272" s="22"/>
      <c r="CJ272" s="22"/>
      <c r="CK272" s="144"/>
      <c r="CL272" s="22"/>
      <c r="CM272" s="22"/>
      <c r="CN272" s="144"/>
      <c r="CO272" s="22"/>
      <c r="CP272" s="22"/>
      <c r="CQ272" s="144"/>
    </row>
    <row r="273" spans="1:95" ht="15.75" customHeight="1" x14ac:dyDescent="0.45">
      <c r="A273" s="22"/>
      <c r="B273" s="22"/>
      <c r="C273" s="12"/>
      <c r="D273" s="12"/>
      <c r="E273" s="12"/>
      <c r="F273" s="155"/>
      <c r="G273" s="144"/>
      <c r="H273" s="144"/>
      <c r="I273" s="12"/>
      <c r="J273" s="22"/>
      <c r="K273" s="22"/>
      <c r="L273" s="22"/>
      <c r="M273" s="145"/>
      <c r="N273" s="144"/>
      <c r="O273" s="144"/>
      <c r="P273" s="152"/>
      <c r="Q273" s="22"/>
      <c r="R273" s="152"/>
      <c r="S273" s="22"/>
      <c r="T273" s="74"/>
      <c r="U273" s="45"/>
      <c r="V273" s="158"/>
      <c r="W273" s="45"/>
      <c r="X273" s="45"/>
      <c r="Y273" s="45"/>
      <c r="Z273" s="45"/>
      <c r="AA273" s="45"/>
      <c r="AB273" s="45"/>
      <c r="AC273" s="44"/>
      <c r="AD273" s="45"/>
      <c r="AE273" s="45"/>
      <c r="AF273" s="45"/>
      <c r="AG273" s="45"/>
      <c r="AH273" s="45"/>
      <c r="AI273" s="144"/>
      <c r="AJ273" s="144"/>
      <c r="AK273" s="45"/>
      <c r="AL273" s="45"/>
      <c r="AM273" s="144"/>
      <c r="AN273" s="144"/>
      <c r="AO273" s="144"/>
      <c r="AP273" s="22"/>
      <c r="AQ273" s="22"/>
      <c r="AR273" s="144"/>
      <c r="AS273" s="22"/>
      <c r="AT273" s="22"/>
      <c r="AU273" s="144"/>
      <c r="AV273" s="22"/>
      <c r="AW273" s="22"/>
      <c r="AX273" s="144"/>
      <c r="AY273" s="22"/>
      <c r="AZ273" s="22"/>
      <c r="BA273" s="144"/>
      <c r="BB273" s="22"/>
      <c r="BC273" s="22"/>
      <c r="BD273" s="144"/>
      <c r="BE273" s="144"/>
      <c r="BF273" s="22"/>
      <c r="BG273" s="144"/>
      <c r="BH273" s="144"/>
      <c r="BI273" s="144"/>
      <c r="BJ273" s="144"/>
      <c r="BK273" s="144"/>
      <c r="BL273" s="22"/>
      <c r="BM273" s="144"/>
      <c r="BN273" s="144"/>
      <c r="BO273" s="22"/>
      <c r="BP273" s="144"/>
      <c r="BQ273" s="22"/>
      <c r="BR273" s="144"/>
      <c r="BS273" s="144"/>
      <c r="BT273" s="22"/>
      <c r="BU273" s="144"/>
      <c r="BV273" s="144"/>
      <c r="BW273" s="22"/>
      <c r="BX273" s="22"/>
      <c r="BY273" s="144"/>
      <c r="BZ273" s="22"/>
      <c r="CA273" s="22"/>
      <c r="CB273" s="144"/>
      <c r="CC273" s="22"/>
      <c r="CD273" s="22"/>
      <c r="CE273" s="144"/>
      <c r="CF273" s="22"/>
      <c r="CG273" s="22"/>
      <c r="CH273" s="144"/>
      <c r="CI273" s="22"/>
      <c r="CJ273" s="22"/>
      <c r="CK273" s="144"/>
      <c r="CL273" s="22"/>
      <c r="CM273" s="22"/>
      <c r="CN273" s="144"/>
      <c r="CO273" s="22"/>
      <c r="CP273" s="22"/>
      <c r="CQ273" s="144"/>
    </row>
    <row r="274" spans="1:95" ht="15.75" customHeight="1" x14ac:dyDescent="0.45">
      <c r="A274" s="22"/>
      <c r="B274" s="22"/>
      <c r="C274" s="12"/>
      <c r="D274" s="12"/>
      <c r="E274" s="12"/>
      <c r="F274" s="155"/>
      <c r="G274" s="144"/>
      <c r="H274" s="144"/>
      <c r="I274" s="12"/>
      <c r="J274" s="22"/>
      <c r="K274" s="22"/>
      <c r="L274" s="22"/>
      <c r="M274" s="145"/>
      <c r="N274" s="144"/>
      <c r="O274" s="144"/>
      <c r="P274" s="152"/>
      <c r="Q274" s="22"/>
      <c r="R274" s="152"/>
      <c r="S274" s="22"/>
      <c r="T274" s="74"/>
      <c r="U274" s="45"/>
      <c r="V274" s="158"/>
      <c r="W274" s="45"/>
      <c r="X274" s="45"/>
      <c r="Y274" s="45"/>
      <c r="Z274" s="45"/>
      <c r="AA274" s="45"/>
      <c r="AB274" s="45"/>
      <c r="AC274" s="44"/>
      <c r="AD274" s="45"/>
      <c r="AE274" s="45"/>
      <c r="AF274" s="45"/>
      <c r="AG274" s="45"/>
      <c r="AH274" s="45"/>
      <c r="AI274" s="144"/>
      <c r="AJ274" s="144"/>
      <c r="AK274" s="45"/>
      <c r="AL274" s="45"/>
      <c r="AM274" s="144"/>
      <c r="AN274" s="144"/>
      <c r="AO274" s="144"/>
      <c r="AP274" s="22"/>
      <c r="AQ274" s="22"/>
      <c r="AR274" s="144"/>
      <c r="AS274" s="22"/>
      <c r="AT274" s="22"/>
      <c r="AU274" s="144"/>
      <c r="AV274" s="22"/>
      <c r="AW274" s="22"/>
      <c r="AX274" s="144"/>
      <c r="AY274" s="22"/>
      <c r="AZ274" s="22"/>
      <c r="BA274" s="144"/>
      <c r="BB274" s="22"/>
      <c r="BC274" s="22"/>
      <c r="BD274" s="144"/>
      <c r="BE274" s="144"/>
      <c r="BF274" s="22"/>
      <c r="BG274" s="144"/>
      <c r="BH274" s="144"/>
      <c r="BI274" s="144"/>
      <c r="BJ274" s="144"/>
      <c r="BK274" s="144"/>
      <c r="BL274" s="22"/>
      <c r="BM274" s="144"/>
      <c r="BN274" s="144"/>
      <c r="BO274" s="22"/>
      <c r="BP274" s="144"/>
      <c r="BQ274" s="22"/>
      <c r="BR274" s="144"/>
      <c r="BS274" s="144"/>
      <c r="BT274" s="22"/>
      <c r="BU274" s="144"/>
      <c r="BV274" s="144"/>
      <c r="BW274" s="22"/>
      <c r="BX274" s="22"/>
      <c r="BY274" s="144"/>
      <c r="BZ274" s="22"/>
      <c r="CA274" s="22"/>
      <c r="CB274" s="144"/>
      <c r="CC274" s="22"/>
      <c r="CD274" s="22"/>
      <c r="CE274" s="144"/>
      <c r="CF274" s="22"/>
      <c r="CG274" s="22"/>
      <c r="CH274" s="144"/>
      <c r="CI274" s="22"/>
      <c r="CJ274" s="22"/>
      <c r="CK274" s="144"/>
      <c r="CL274" s="22"/>
      <c r="CM274" s="22"/>
      <c r="CN274" s="144"/>
      <c r="CO274" s="22"/>
      <c r="CP274" s="22"/>
      <c r="CQ274" s="144"/>
    </row>
    <row r="275" spans="1:95" ht="15.75" customHeight="1" x14ac:dyDescent="0.45">
      <c r="A275" s="22"/>
      <c r="B275" s="22"/>
      <c r="C275" s="12"/>
      <c r="D275" s="12"/>
      <c r="E275" s="12"/>
      <c r="F275" s="155"/>
      <c r="G275" s="144"/>
      <c r="H275" s="144"/>
      <c r="I275" s="12"/>
      <c r="J275" s="22"/>
      <c r="K275" s="22"/>
      <c r="L275" s="22"/>
      <c r="M275" s="145"/>
      <c r="N275" s="144"/>
      <c r="O275" s="144"/>
      <c r="P275" s="152"/>
      <c r="Q275" s="22"/>
      <c r="R275" s="152"/>
      <c r="S275" s="22"/>
      <c r="T275" s="74"/>
      <c r="U275" s="45"/>
      <c r="V275" s="158"/>
      <c r="W275" s="45"/>
      <c r="X275" s="45"/>
      <c r="Y275" s="45"/>
      <c r="Z275" s="45"/>
      <c r="AA275" s="45"/>
      <c r="AB275" s="45"/>
      <c r="AC275" s="44"/>
      <c r="AD275" s="45"/>
      <c r="AE275" s="45"/>
      <c r="AF275" s="45"/>
      <c r="AG275" s="45"/>
      <c r="AH275" s="45"/>
      <c r="AI275" s="144"/>
      <c r="AJ275" s="144"/>
      <c r="AK275" s="45"/>
      <c r="AL275" s="45"/>
      <c r="AM275" s="144"/>
      <c r="AN275" s="144"/>
      <c r="AO275" s="144"/>
      <c r="AP275" s="22"/>
      <c r="AQ275" s="22"/>
      <c r="AR275" s="144"/>
      <c r="AS275" s="22"/>
      <c r="AT275" s="22"/>
      <c r="AU275" s="144"/>
      <c r="AV275" s="22"/>
      <c r="AW275" s="22"/>
      <c r="AX275" s="144"/>
      <c r="AY275" s="22"/>
      <c r="AZ275" s="22"/>
      <c r="BA275" s="144"/>
      <c r="BB275" s="22"/>
      <c r="BC275" s="22"/>
      <c r="BD275" s="144"/>
      <c r="BE275" s="144"/>
      <c r="BF275" s="22"/>
      <c r="BG275" s="144"/>
      <c r="BH275" s="144"/>
      <c r="BI275" s="144"/>
      <c r="BJ275" s="144"/>
      <c r="BK275" s="144"/>
      <c r="BL275" s="22"/>
      <c r="BM275" s="144"/>
      <c r="BN275" s="144"/>
      <c r="BO275" s="22"/>
      <c r="BP275" s="144"/>
      <c r="BQ275" s="22"/>
      <c r="BR275" s="144"/>
      <c r="BS275" s="144"/>
      <c r="BT275" s="22"/>
      <c r="BU275" s="144"/>
      <c r="BV275" s="144"/>
      <c r="BW275" s="22"/>
      <c r="BX275" s="22"/>
      <c r="BY275" s="144"/>
      <c r="BZ275" s="22"/>
      <c r="CA275" s="22"/>
      <c r="CB275" s="144"/>
      <c r="CC275" s="22"/>
      <c r="CD275" s="22"/>
      <c r="CE275" s="144"/>
      <c r="CF275" s="22"/>
      <c r="CG275" s="22"/>
      <c r="CH275" s="144"/>
      <c r="CI275" s="22"/>
      <c r="CJ275" s="22"/>
      <c r="CK275" s="144"/>
      <c r="CL275" s="22"/>
      <c r="CM275" s="22"/>
      <c r="CN275" s="144"/>
      <c r="CO275" s="22"/>
      <c r="CP275" s="22"/>
      <c r="CQ275" s="144"/>
    </row>
    <row r="276" spans="1:95" ht="15.75" customHeight="1" x14ac:dyDescent="0.45">
      <c r="A276" s="22"/>
      <c r="B276" s="22"/>
      <c r="C276" s="12"/>
      <c r="D276" s="12"/>
      <c r="E276" s="12"/>
      <c r="F276" s="155"/>
      <c r="G276" s="144"/>
      <c r="H276" s="144"/>
      <c r="I276" s="12"/>
      <c r="J276" s="22"/>
      <c r="K276" s="22"/>
      <c r="L276" s="22"/>
      <c r="M276" s="145"/>
      <c r="N276" s="144"/>
      <c r="O276" s="144"/>
      <c r="P276" s="152"/>
      <c r="Q276" s="22"/>
      <c r="R276" s="152"/>
      <c r="S276" s="22"/>
      <c r="T276" s="74"/>
      <c r="U276" s="45"/>
      <c r="V276" s="158"/>
      <c r="W276" s="45"/>
      <c r="X276" s="45"/>
      <c r="Y276" s="45"/>
      <c r="Z276" s="45"/>
      <c r="AA276" s="45"/>
      <c r="AB276" s="45"/>
      <c r="AC276" s="44"/>
      <c r="AD276" s="45"/>
      <c r="AE276" s="45"/>
      <c r="AF276" s="45"/>
      <c r="AG276" s="45"/>
      <c r="AH276" s="45"/>
      <c r="AI276" s="144"/>
      <c r="AJ276" s="144"/>
      <c r="AK276" s="45"/>
      <c r="AL276" s="45"/>
      <c r="AM276" s="144"/>
      <c r="AN276" s="144"/>
      <c r="AO276" s="144"/>
      <c r="AP276" s="22"/>
      <c r="AQ276" s="22"/>
      <c r="AR276" s="144"/>
      <c r="AS276" s="22"/>
      <c r="AT276" s="22"/>
      <c r="AU276" s="144"/>
      <c r="AV276" s="22"/>
      <c r="AW276" s="22"/>
      <c r="AX276" s="144"/>
      <c r="AY276" s="22"/>
      <c r="AZ276" s="22"/>
      <c r="BA276" s="144"/>
      <c r="BB276" s="22"/>
      <c r="BC276" s="22"/>
      <c r="BD276" s="144"/>
      <c r="BE276" s="144"/>
      <c r="BF276" s="22"/>
      <c r="BG276" s="144"/>
      <c r="BH276" s="144"/>
      <c r="BI276" s="144"/>
      <c r="BJ276" s="144"/>
      <c r="BK276" s="144"/>
      <c r="BL276" s="22"/>
      <c r="BM276" s="144"/>
      <c r="BN276" s="144"/>
      <c r="BO276" s="22"/>
      <c r="BP276" s="144"/>
      <c r="BQ276" s="22"/>
      <c r="BR276" s="144"/>
      <c r="BS276" s="144"/>
      <c r="BT276" s="22"/>
      <c r="BU276" s="144"/>
      <c r="BV276" s="144"/>
      <c r="BW276" s="22"/>
      <c r="BX276" s="22"/>
      <c r="BY276" s="144"/>
      <c r="BZ276" s="22"/>
      <c r="CA276" s="22"/>
      <c r="CB276" s="144"/>
      <c r="CC276" s="22"/>
      <c r="CD276" s="22"/>
      <c r="CE276" s="144"/>
      <c r="CF276" s="22"/>
      <c r="CG276" s="22"/>
      <c r="CH276" s="144"/>
      <c r="CI276" s="22"/>
      <c r="CJ276" s="22"/>
      <c r="CK276" s="144"/>
      <c r="CL276" s="22"/>
      <c r="CM276" s="22"/>
      <c r="CN276" s="144"/>
      <c r="CO276" s="22"/>
      <c r="CP276" s="22"/>
      <c r="CQ276" s="144"/>
    </row>
    <row r="277" spans="1:95" ht="15.75" customHeight="1" x14ac:dyDescent="0.45">
      <c r="A277" s="22"/>
      <c r="B277" s="22"/>
      <c r="C277" s="12"/>
      <c r="D277" s="12"/>
      <c r="E277" s="12"/>
      <c r="F277" s="155"/>
      <c r="G277" s="144"/>
      <c r="H277" s="144"/>
      <c r="I277" s="12"/>
      <c r="J277" s="22"/>
      <c r="K277" s="22"/>
      <c r="L277" s="22"/>
      <c r="M277" s="145"/>
      <c r="N277" s="144"/>
      <c r="O277" s="144"/>
      <c r="P277" s="152"/>
      <c r="Q277" s="22"/>
      <c r="R277" s="152"/>
      <c r="S277" s="22"/>
      <c r="T277" s="74"/>
      <c r="U277" s="45"/>
      <c r="V277" s="158"/>
      <c r="W277" s="45"/>
      <c r="X277" s="45"/>
      <c r="Y277" s="45"/>
      <c r="Z277" s="45"/>
      <c r="AA277" s="45"/>
      <c r="AB277" s="45"/>
      <c r="AC277" s="44"/>
      <c r="AD277" s="45"/>
      <c r="AE277" s="45"/>
      <c r="AF277" s="45"/>
      <c r="AG277" s="45"/>
      <c r="AH277" s="45"/>
      <c r="AI277" s="144"/>
      <c r="AJ277" s="144"/>
      <c r="AK277" s="45"/>
      <c r="AL277" s="45"/>
      <c r="AM277" s="144"/>
      <c r="AN277" s="144"/>
      <c r="AO277" s="144"/>
      <c r="AP277" s="22"/>
      <c r="AQ277" s="22"/>
      <c r="AR277" s="144"/>
      <c r="AS277" s="22"/>
      <c r="AT277" s="22"/>
      <c r="AU277" s="144"/>
      <c r="AV277" s="22"/>
      <c r="AW277" s="22"/>
      <c r="AX277" s="144"/>
      <c r="AY277" s="22"/>
      <c r="AZ277" s="22"/>
      <c r="BA277" s="144"/>
      <c r="BB277" s="22"/>
      <c r="BC277" s="22"/>
      <c r="BD277" s="144"/>
      <c r="BE277" s="144"/>
      <c r="BF277" s="22"/>
      <c r="BG277" s="144"/>
      <c r="BH277" s="144"/>
      <c r="BI277" s="144"/>
      <c r="BJ277" s="144"/>
      <c r="BK277" s="144"/>
      <c r="BL277" s="22"/>
      <c r="BM277" s="144"/>
      <c r="BN277" s="144"/>
      <c r="BO277" s="22"/>
      <c r="BP277" s="144"/>
      <c r="BQ277" s="22"/>
      <c r="BR277" s="144"/>
      <c r="BS277" s="144"/>
      <c r="BT277" s="22"/>
      <c r="BU277" s="144"/>
      <c r="BV277" s="144"/>
      <c r="BW277" s="22"/>
      <c r="BX277" s="22"/>
      <c r="BY277" s="144"/>
      <c r="BZ277" s="22"/>
      <c r="CA277" s="22"/>
      <c r="CB277" s="144"/>
      <c r="CC277" s="22"/>
      <c r="CD277" s="22"/>
      <c r="CE277" s="144"/>
      <c r="CF277" s="22"/>
      <c r="CG277" s="22"/>
      <c r="CH277" s="144"/>
      <c r="CI277" s="22"/>
      <c r="CJ277" s="22"/>
      <c r="CK277" s="144"/>
      <c r="CL277" s="22"/>
      <c r="CM277" s="22"/>
      <c r="CN277" s="144"/>
      <c r="CO277" s="22"/>
      <c r="CP277" s="22"/>
      <c r="CQ277" s="144"/>
    </row>
    <row r="278" spans="1:95" ht="15.75" customHeight="1" x14ac:dyDescent="0.45">
      <c r="A278" s="22"/>
      <c r="B278" s="22"/>
      <c r="C278" s="12"/>
      <c r="D278" s="12"/>
      <c r="E278" s="12"/>
      <c r="F278" s="155"/>
      <c r="G278" s="144"/>
      <c r="H278" s="144"/>
      <c r="I278" s="12"/>
      <c r="J278" s="22"/>
      <c r="K278" s="22"/>
      <c r="L278" s="22"/>
      <c r="M278" s="145"/>
      <c r="N278" s="144"/>
      <c r="O278" s="144"/>
      <c r="P278" s="152"/>
      <c r="Q278" s="22"/>
      <c r="R278" s="152"/>
      <c r="S278" s="22"/>
      <c r="T278" s="74"/>
      <c r="U278" s="45"/>
      <c r="V278" s="158"/>
      <c r="W278" s="45"/>
      <c r="X278" s="45"/>
      <c r="Y278" s="45"/>
      <c r="Z278" s="45"/>
      <c r="AA278" s="45"/>
      <c r="AB278" s="45"/>
      <c r="AC278" s="44"/>
      <c r="AD278" s="45"/>
      <c r="AE278" s="45"/>
      <c r="AF278" s="45"/>
      <c r="AG278" s="45"/>
      <c r="AH278" s="45"/>
      <c r="AI278" s="144"/>
      <c r="AJ278" s="144"/>
      <c r="AK278" s="45"/>
      <c r="AL278" s="45"/>
      <c r="AM278" s="144"/>
      <c r="AN278" s="144"/>
      <c r="AO278" s="144"/>
      <c r="AP278" s="22"/>
      <c r="AQ278" s="22"/>
      <c r="AR278" s="144"/>
      <c r="AS278" s="22"/>
      <c r="AT278" s="22"/>
      <c r="AU278" s="144"/>
      <c r="AV278" s="22"/>
      <c r="AW278" s="22"/>
      <c r="AX278" s="144"/>
      <c r="AY278" s="22"/>
      <c r="AZ278" s="22"/>
      <c r="BA278" s="144"/>
      <c r="BB278" s="22"/>
      <c r="BC278" s="22"/>
      <c r="BD278" s="144"/>
      <c r="BE278" s="144"/>
      <c r="BF278" s="22"/>
      <c r="BG278" s="144"/>
      <c r="BH278" s="144"/>
      <c r="BI278" s="144"/>
      <c r="BJ278" s="144"/>
      <c r="BK278" s="144"/>
      <c r="BL278" s="22"/>
      <c r="BM278" s="144"/>
      <c r="BN278" s="144"/>
      <c r="BO278" s="22"/>
      <c r="BP278" s="144"/>
      <c r="BQ278" s="22"/>
      <c r="BR278" s="144"/>
      <c r="BS278" s="144"/>
      <c r="BT278" s="22"/>
      <c r="BU278" s="144"/>
      <c r="BV278" s="144"/>
      <c r="BW278" s="22"/>
      <c r="BX278" s="22"/>
      <c r="BY278" s="144"/>
      <c r="BZ278" s="22"/>
      <c r="CA278" s="22"/>
      <c r="CB278" s="144"/>
      <c r="CC278" s="22"/>
      <c r="CD278" s="22"/>
      <c r="CE278" s="144"/>
      <c r="CF278" s="22"/>
      <c r="CG278" s="22"/>
      <c r="CH278" s="144"/>
      <c r="CI278" s="22"/>
      <c r="CJ278" s="22"/>
      <c r="CK278" s="144"/>
      <c r="CL278" s="22"/>
      <c r="CM278" s="22"/>
      <c r="CN278" s="144"/>
      <c r="CO278" s="22"/>
      <c r="CP278" s="22"/>
      <c r="CQ278" s="144"/>
    </row>
    <row r="279" spans="1:95" ht="15.75" customHeight="1" x14ac:dyDescent="0.45">
      <c r="A279" s="22"/>
      <c r="B279" s="22"/>
      <c r="C279" s="12"/>
      <c r="D279" s="12"/>
      <c r="E279" s="12"/>
      <c r="F279" s="155"/>
      <c r="G279" s="144"/>
      <c r="H279" s="144"/>
      <c r="I279" s="12"/>
      <c r="J279" s="22"/>
      <c r="K279" s="22"/>
      <c r="L279" s="22"/>
      <c r="M279" s="145"/>
      <c r="N279" s="144"/>
      <c r="O279" s="144"/>
      <c r="P279" s="152"/>
      <c r="Q279" s="22"/>
      <c r="R279" s="152"/>
      <c r="S279" s="22"/>
      <c r="T279" s="74"/>
      <c r="U279" s="45"/>
      <c r="V279" s="158"/>
      <c r="W279" s="45"/>
      <c r="X279" s="45"/>
      <c r="Y279" s="45"/>
      <c r="Z279" s="45"/>
      <c r="AA279" s="45"/>
      <c r="AB279" s="45"/>
      <c r="AC279" s="44"/>
      <c r="AD279" s="45"/>
      <c r="AE279" s="45"/>
      <c r="AF279" s="45"/>
      <c r="AG279" s="45"/>
      <c r="AH279" s="45"/>
      <c r="AI279" s="144"/>
      <c r="AJ279" s="144"/>
      <c r="AK279" s="45"/>
      <c r="AL279" s="45"/>
      <c r="AM279" s="144"/>
      <c r="AN279" s="144"/>
      <c r="AO279" s="144"/>
      <c r="AP279" s="22"/>
      <c r="AQ279" s="22"/>
      <c r="AR279" s="144"/>
      <c r="AS279" s="22"/>
      <c r="AT279" s="22"/>
      <c r="AU279" s="144"/>
      <c r="AV279" s="22"/>
      <c r="AW279" s="22"/>
      <c r="AX279" s="144"/>
      <c r="AY279" s="22"/>
      <c r="AZ279" s="22"/>
      <c r="BA279" s="144"/>
      <c r="BB279" s="22"/>
      <c r="BC279" s="22"/>
      <c r="BD279" s="144"/>
      <c r="BE279" s="144"/>
      <c r="BF279" s="22"/>
      <c r="BG279" s="144"/>
      <c r="BH279" s="144"/>
      <c r="BI279" s="144"/>
      <c r="BJ279" s="144"/>
      <c r="BK279" s="144"/>
      <c r="BL279" s="22"/>
      <c r="BM279" s="144"/>
      <c r="BN279" s="144"/>
      <c r="BO279" s="22"/>
      <c r="BP279" s="144"/>
      <c r="BQ279" s="22"/>
      <c r="BR279" s="144"/>
      <c r="BS279" s="144"/>
      <c r="BT279" s="22"/>
      <c r="BU279" s="144"/>
      <c r="BV279" s="144"/>
      <c r="BW279" s="22"/>
      <c r="BX279" s="22"/>
      <c r="BY279" s="144"/>
      <c r="BZ279" s="22"/>
      <c r="CA279" s="22"/>
      <c r="CB279" s="144"/>
      <c r="CC279" s="22"/>
      <c r="CD279" s="22"/>
      <c r="CE279" s="144"/>
      <c r="CF279" s="22"/>
      <c r="CG279" s="22"/>
      <c r="CH279" s="144"/>
      <c r="CI279" s="22"/>
      <c r="CJ279" s="22"/>
      <c r="CK279" s="144"/>
      <c r="CL279" s="22"/>
      <c r="CM279" s="22"/>
      <c r="CN279" s="144"/>
      <c r="CO279" s="22"/>
      <c r="CP279" s="22"/>
      <c r="CQ279" s="144"/>
    </row>
    <row r="280" spans="1:95" ht="15.75" customHeight="1" x14ac:dyDescent="0.45">
      <c r="A280" s="45"/>
      <c r="B280" s="45"/>
      <c r="C280" s="12"/>
      <c r="D280" s="12"/>
      <c r="E280" s="12"/>
      <c r="F280" s="155"/>
      <c r="G280" s="45"/>
      <c r="H280" s="45"/>
      <c r="I280" s="12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158"/>
      <c r="W280" s="45"/>
      <c r="X280" s="45"/>
      <c r="Y280" s="45"/>
      <c r="Z280" s="45"/>
      <c r="AA280" s="45"/>
      <c r="AB280" s="45"/>
      <c r="AC280" s="44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22"/>
      <c r="AQ280" s="22"/>
      <c r="AR280" s="45"/>
      <c r="AS280" s="22"/>
      <c r="AT280" s="22"/>
      <c r="AU280" s="45"/>
      <c r="AV280" s="22"/>
      <c r="AW280" s="22"/>
      <c r="AX280" s="45"/>
      <c r="AY280" s="22"/>
      <c r="AZ280" s="22"/>
      <c r="BA280" s="45"/>
      <c r="BB280" s="22"/>
      <c r="BC280" s="22"/>
      <c r="BD280" s="45"/>
      <c r="BE280" s="45"/>
      <c r="BF280" s="22"/>
      <c r="BG280" s="45"/>
      <c r="BH280" s="45"/>
      <c r="BI280" s="45"/>
      <c r="BJ280" s="45"/>
      <c r="BK280" s="45"/>
      <c r="BL280" s="22"/>
      <c r="BM280" s="45"/>
      <c r="BN280" s="45"/>
      <c r="BO280" s="22"/>
      <c r="BP280" s="45"/>
      <c r="BQ280" s="22"/>
      <c r="BR280" s="45"/>
      <c r="BS280" s="45"/>
      <c r="BT280" s="22"/>
      <c r="BU280" s="45"/>
      <c r="BV280" s="45"/>
      <c r="BW280" s="22"/>
      <c r="BX280" s="22"/>
      <c r="BY280" s="45"/>
      <c r="BZ280" s="22"/>
      <c r="CA280" s="22"/>
      <c r="CB280" s="45"/>
      <c r="CC280" s="22"/>
      <c r="CD280" s="22"/>
      <c r="CE280" s="45"/>
      <c r="CF280" s="22"/>
      <c r="CG280" s="22"/>
      <c r="CH280" s="45"/>
      <c r="CI280" s="22"/>
      <c r="CJ280" s="22"/>
      <c r="CK280" s="45"/>
      <c r="CL280" s="22"/>
      <c r="CM280" s="22"/>
      <c r="CN280" s="45"/>
      <c r="CO280" s="22"/>
      <c r="CP280" s="22"/>
      <c r="CQ280" s="45"/>
    </row>
    <row r="281" spans="1:95" ht="15.75" customHeight="1" x14ac:dyDescent="0.45">
      <c r="A281" s="45"/>
      <c r="B281" s="45"/>
      <c r="C281" s="12"/>
      <c r="D281" s="12"/>
      <c r="E281" s="12"/>
      <c r="F281" s="155"/>
      <c r="G281" s="45"/>
      <c r="H281" s="45"/>
      <c r="I281" s="12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158"/>
      <c r="W281" s="45"/>
      <c r="X281" s="45"/>
      <c r="Y281" s="45"/>
      <c r="Z281" s="45"/>
      <c r="AA281" s="45"/>
      <c r="AB281" s="45"/>
      <c r="AC281" s="44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22"/>
      <c r="AQ281" s="22"/>
      <c r="AR281" s="45"/>
      <c r="AS281" s="22"/>
      <c r="AT281" s="22"/>
      <c r="AU281" s="45"/>
      <c r="AV281" s="22"/>
      <c r="AW281" s="22"/>
      <c r="AX281" s="45"/>
      <c r="AY281" s="22"/>
      <c r="AZ281" s="22"/>
      <c r="BA281" s="45"/>
      <c r="BB281" s="22"/>
      <c r="BC281" s="22"/>
      <c r="BD281" s="45"/>
      <c r="BE281" s="45"/>
      <c r="BF281" s="22"/>
      <c r="BG281" s="45"/>
      <c r="BH281" s="45"/>
      <c r="BI281" s="45"/>
      <c r="BJ281" s="45"/>
      <c r="BK281" s="45"/>
      <c r="BL281" s="22"/>
      <c r="BM281" s="45"/>
      <c r="BN281" s="45"/>
      <c r="BO281" s="22"/>
      <c r="BP281" s="45"/>
      <c r="BQ281" s="22"/>
      <c r="BR281" s="45"/>
      <c r="BS281" s="45"/>
      <c r="BT281" s="22"/>
      <c r="BU281" s="45"/>
      <c r="BV281" s="45"/>
      <c r="BW281" s="22"/>
      <c r="BX281" s="22"/>
      <c r="BY281" s="45"/>
      <c r="BZ281" s="22"/>
      <c r="CA281" s="22"/>
      <c r="CB281" s="45"/>
      <c r="CC281" s="22"/>
      <c r="CD281" s="22"/>
      <c r="CE281" s="45"/>
      <c r="CF281" s="22"/>
      <c r="CG281" s="22"/>
      <c r="CH281" s="45"/>
      <c r="CI281" s="22"/>
      <c r="CJ281" s="22"/>
      <c r="CK281" s="45"/>
      <c r="CL281" s="22"/>
      <c r="CM281" s="22"/>
      <c r="CN281" s="45"/>
      <c r="CO281" s="22"/>
      <c r="CP281" s="22"/>
      <c r="CQ281" s="45"/>
    </row>
    <row r="282" spans="1:95" ht="15.75" customHeight="1" x14ac:dyDescent="0.45">
      <c r="A282" s="45"/>
      <c r="B282" s="45"/>
      <c r="C282" s="12"/>
      <c r="D282" s="12"/>
      <c r="E282" s="12"/>
      <c r="F282" s="155"/>
      <c r="G282" s="45"/>
      <c r="H282" s="45"/>
      <c r="I282" s="12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158"/>
      <c r="W282" s="45"/>
      <c r="X282" s="45"/>
      <c r="Y282" s="45"/>
      <c r="Z282" s="45"/>
      <c r="AA282" s="45"/>
      <c r="AB282" s="45"/>
      <c r="AC282" s="44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22"/>
      <c r="AQ282" s="22"/>
      <c r="AR282" s="45"/>
      <c r="AS282" s="22"/>
      <c r="AT282" s="22"/>
      <c r="AU282" s="45"/>
      <c r="AV282" s="22"/>
      <c r="AW282" s="22"/>
      <c r="AX282" s="45"/>
      <c r="AY282" s="22"/>
      <c r="AZ282" s="22"/>
      <c r="BA282" s="45"/>
      <c r="BB282" s="22"/>
      <c r="BC282" s="22"/>
      <c r="BD282" s="45"/>
      <c r="BE282" s="45"/>
      <c r="BF282" s="22"/>
      <c r="BG282" s="45"/>
      <c r="BH282" s="45"/>
      <c r="BI282" s="45"/>
      <c r="BJ282" s="45"/>
      <c r="BK282" s="45"/>
      <c r="BL282" s="22"/>
      <c r="BM282" s="45"/>
      <c r="BN282" s="45"/>
      <c r="BO282" s="22"/>
      <c r="BP282" s="45"/>
      <c r="BQ282" s="22"/>
      <c r="BR282" s="45"/>
      <c r="BS282" s="45"/>
      <c r="BT282" s="22"/>
      <c r="BU282" s="45"/>
      <c r="BV282" s="45"/>
      <c r="BW282" s="22"/>
      <c r="BX282" s="22"/>
      <c r="BY282" s="45"/>
      <c r="BZ282" s="22"/>
      <c r="CA282" s="22"/>
      <c r="CB282" s="45"/>
      <c r="CC282" s="22"/>
      <c r="CD282" s="22"/>
      <c r="CE282" s="45"/>
      <c r="CF282" s="22"/>
      <c r="CG282" s="22"/>
      <c r="CH282" s="45"/>
      <c r="CI282" s="22"/>
      <c r="CJ282" s="22"/>
      <c r="CK282" s="45"/>
      <c r="CL282" s="22"/>
      <c r="CM282" s="22"/>
      <c r="CN282" s="45"/>
      <c r="CO282" s="22"/>
      <c r="CP282" s="22"/>
      <c r="CQ282" s="45"/>
    </row>
    <row r="283" spans="1:95" ht="15.75" customHeight="1" x14ac:dyDescent="0.45">
      <c r="A283" s="45"/>
      <c r="B283" s="45"/>
      <c r="C283" s="12"/>
      <c r="D283" s="12"/>
      <c r="E283" s="12"/>
      <c r="F283" s="155"/>
      <c r="G283" s="45"/>
      <c r="H283" s="45"/>
      <c r="I283" s="12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158"/>
      <c r="W283" s="45"/>
      <c r="X283" s="45"/>
      <c r="Y283" s="45"/>
      <c r="Z283" s="45"/>
      <c r="AA283" s="45"/>
      <c r="AB283" s="45"/>
      <c r="AC283" s="44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22"/>
      <c r="AQ283" s="22"/>
      <c r="AR283" s="45"/>
      <c r="AS283" s="22"/>
      <c r="AT283" s="22"/>
      <c r="AU283" s="45"/>
      <c r="AV283" s="22"/>
      <c r="AW283" s="22"/>
      <c r="AX283" s="45"/>
      <c r="AY283" s="22"/>
      <c r="AZ283" s="22"/>
      <c r="BA283" s="45"/>
      <c r="BB283" s="22"/>
      <c r="BC283" s="22"/>
      <c r="BD283" s="45"/>
      <c r="BE283" s="45"/>
      <c r="BF283" s="22"/>
      <c r="BG283" s="45"/>
      <c r="BH283" s="45"/>
      <c r="BI283" s="45"/>
      <c r="BJ283" s="45"/>
      <c r="BK283" s="45"/>
      <c r="BL283" s="22"/>
      <c r="BM283" s="45"/>
      <c r="BN283" s="45"/>
      <c r="BO283" s="22"/>
      <c r="BP283" s="45"/>
      <c r="BQ283" s="22"/>
      <c r="BR283" s="45"/>
      <c r="BS283" s="45"/>
      <c r="BT283" s="22"/>
      <c r="BU283" s="45"/>
      <c r="BV283" s="45"/>
      <c r="BW283" s="22"/>
      <c r="BX283" s="22"/>
      <c r="BY283" s="45"/>
      <c r="BZ283" s="22"/>
      <c r="CA283" s="22"/>
      <c r="CB283" s="45"/>
      <c r="CC283" s="22"/>
      <c r="CD283" s="22"/>
      <c r="CE283" s="45"/>
      <c r="CF283" s="22"/>
      <c r="CG283" s="22"/>
      <c r="CH283" s="45"/>
      <c r="CI283" s="22"/>
      <c r="CJ283" s="22"/>
      <c r="CK283" s="45"/>
      <c r="CL283" s="22"/>
      <c r="CM283" s="22"/>
      <c r="CN283" s="45"/>
      <c r="CO283" s="22"/>
      <c r="CP283" s="22"/>
      <c r="CQ283" s="45"/>
    </row>
    <row r="284" spans="1:95" ht="15.75" customHeight="1" x14ac:dyDescent="0.45">
      <c r="A284" s="45"/>
      <c r="B284" s="45"/>
      <c r="C284" s="12"/>
      <c r="D284" s="12"/>
      <c r="E284" s="12"/>
      <c r="F284" s="155"/>
      <c r="G284" s="45"/>
      <c r="H284" s="45"/>
      <c r="I284" s="12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158"/>
      <c r="W284" s="45"/>
      <c r="X284" s="45"/>
      <c r="Y284" s="45"/>
      <c r="Z284" s="45"/>
      <c r="AA284" s="45"/>
      <c r="AB284" s="45"/>
      <c r="AC284" s="44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22"/>
      <c r="AQ284" s="22"/>
      <c r="AR284" s="45"/>
      <c r="AS284" s="22"/>
      <c r="AT284" s="22"/>
      <c r="AU284" s="45"/>
      <c r="AV284" s="22"/>
      <c r="AW284" s="22"/>
      <c r="AX284" s="45"/>
      <c r="AY284" s="22"/>
      <c r="AZ284" s="22"/>
      <c r="BA284" s="45"/>
      <c r="BB284" s="22"/>
      <c r="BC284" s="22"/>
      <c r="BD284" s="45"/>
      <c r="BE284" s="45"/>
      <c r="BF284" s="22"/>
      <c r="BG284" s="45"/>
      <c r="BH284" s="45"/>
      <c r="BI284" s="45"/>
      <c r="BJ284" s="45"/>
      <c r="BK284" s="45"/>
      <c r="BL284" s="22"/>
      <c r="BM284" s="45"/>
      <c r="BN284" s="45"/>
      <c r="BO284" s="22"/>
      <c r="BP284" s="45"/>
      <c r="BQ284" s="22"/>
      <c r="BR284" s="45"/>
      <c r="BS284" s="45"/>
      <c r="BT284" s="22"/>
      <c r="BU284" s="45"/>
      <c r="BV284" s="45"/>
      <c r="BW284" s="22"/>
      <c r="BX284" s="22"/>
      <c r="BY284" s="45"/>
      <c r="BZ284" s="22"/>
      <c r="CA284" s="22"/>
      <c r="CB284" s="45"/>
      <c r="CC284" s="22"/>
      <c r="CD284" s="22"/>
      <c r="CE284" s="45"/>
      <c r="CF284" s="22"/>
      <c r="CG284" s="22"/>
      <c r="CH284" s="45"/>
      <c r="CI284" s="22"/>
      <c r="CJ284" s="22"/>
      <c r="CK284" s="45"/>
      <c r="CL284" s="22"/>
      <c r="CM284" s="22"/>
      <c r="CN284" s="45"/>
      <c r="CO284" s="22"/>
      <c r="CP284" s="22"/>
      <c r="CQ284" s="45"/>
    </row>
    <row r="285" spans="1:95" ht="15.75" customHeight="1" x14ac:dyDescent="0.45">
      <c r="A285" s="45"/>
      <c r="B285" s="45"/>
      <c r="C285" s="12"/>
      <c r="D285" s="12"/>
      <c r="E285" s="12"/>
      <c r="F285" s="155"/>
      <c r="G285" s="45"/>
      <c r="H285" s="45"/>
      <c r="I285" s="12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158"/>
      <c r="W285" s="45"/>
      <c r="X285" s="45"/>
      <c r="Y285" s="45"/>
      <c r="Z285" s="45"/>
      <c r="AA285" s="45"/>
      <c r="AB285" s="45"/>
      <c r="AC285" s="44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22"/>
      <c r="AQ285" s="22"/>
      <c r="AR285" s="45"/>
      <c r="AS285" s="22"/>
      <c r="AT285" s="22"/>
      <c r="AU285" s="45"/>
      <c r="AV285" s="22"/>
      <c r="AW285" s="22"/>
      <c r="AX285" s="45"/>
      <c r="AY285" s="22"/>
      <c r="AZ285" s="22"/>
      <c r="BA285" s="45"/>
      <c r="BB285" s="22"/>
      <c r="BC285" s="22"/>
      <c r="BD285" s="45"/>
      <c r="BE285" s="45"/>
      <c r="BF285" s="22"/>
      <c r="BG285" s="45"/>
      <c r="BH285" s="45"/>
      <c r="BI285" s="45"/>
      <c r="BJ285" s="45"/>
      <c r="BK285" s="45"/>
      <c r="BL285" s="22"/>
      <c r="BM285" s="45"/>
      <c r="BN285" s="45"/>
      <c r="BO285" s="22"/>
      <c r="BP285" s="45"/>
      <c r="BQ285" s="22"/>
      <c r="BR285" s="45"/>
      <c r="BS285" s="45"/>
      <c r="BT285" s="22"/>
      <c r="BU285" s="45"/>
      <c r="BV285" s="45"/>
      <c r="BW285" s="22"/>
      <c r="BX285" s="22"/>
      <c r="BY285" s="45"/>
      <c r="BZ285" s="22"/>
      <c r="CA285" s="22"/>
      <c r="CB285" s="45"/>
      <c r="CC285" s="22"/>
      <c r="CD285" s="22"/>
      <c r="CE285" s="45"/>
      <c r="CF285" s="22"/>
      <c r="CG285" s="22"/>
      <c r="CH285" s="45"/>
      <c r="CI285" s="22"/>
      <c r="CJ285" s="22"/>
      <c r="CK285" s="45"/>
      <c r="CL285" s="22"/>
      <c r="CM285" s="22"/>
      <c r="CN285" s="45"/>
      <c r="CO285" s="22"/>
      <c r="CP285" s="22"/>
      <c r="CQ285" s="45"/>
    </row>
    <row r="286" spans="1:95" ht="15.75" customHeight="1" x14ac:dyDescent="0.45">
      <c r="A286" s="45"/>
      <c r="B286" s="45"/>
      <c r="C286" s="12"/>
      <c r="D286" s="12"/>
      <c r="E286" s="12"/>
      <c r="F286" s="155"/>
      <c r="G286" s="45"/>
      <c r="H286" s="45"/>
      <c r="I286" s="12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158"/>
      <c r="W286" s="45"/>
      <c r="X286" s="45"/>
      <c r="Y286" s="45"/>
      <c r="Z286" s="45"/>
      <c r="AA286" s="45"/>
      <c r="AB286" s="45"/>
      <c r="AC286" s="44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22"/>
      <c r="AQ286" s="22"/>
      <c r="AR286" s="45"/>
      <c r="AS286" s="22"/>
      <c r="AT286" s="22"/>
      <c r="AU286" s="45"/>
      <c r="AV286" s="22"/>
      <c r="AW286" s="22"/>
      <c r="AX286" s="45"/>
      <c r="AY286" s="22"/>
      <c r="AZ286" s="22"/>
      <c r="BA286" s="45"/>
      <c r="BB286" s="22"/>
      <c r="BC286" s="22"/>
      <c r="BD286" s="45"/>
      <c r="BE286" s="45"/>
      <c r="BF286" s="22"/>
      <c r="BG286" s="45"/>
      <c r="BH286" s="45"/>
      <c r="BI286" s="45"/>
      <c r="BJ286" s="45"/>
      <c r="BK286" s="45"/>
      <c r="BL286" s="22"/>
      <c r="BM286" s="45"/>
      <c r="BN286" s="45"/>
      <c r="BO286" s="22"/>
      <c r="BP286" s="45"/>
      <c r="BQ286" s="22"/>
      <c r="BR286" s="45"/>
      <c r="BS286" s="45"/>
      <c r="BT286" s="22"/>
      <c r="BU286" s="45"/>
      <c r="BV286" s="45"/>
      <c r="BW286" s="22"/>
      <c r="BX286" s="22"/>
      <c r="BY286" s="45"/>
      <c r="BZ286" s="22"/>
      <c r="CA286" s="22"/>
      <c r="CB286" s="45"/>
      <c r="CC286" s="22"/>
      <c r="CD286" s="22"/>
      <c r="CE286" s="45"/>
      <c r="CF286" s="22"/>
      <c r="CG286" s="22"/>
      <c r="CH286" s="45"/>
      <c r="CI286" s="22"/>
      <c r="CJ286" s="22"/>
      <c r="CK286" s="45"/>
      <c r="CL286" s="22"/>
      <c r="CM286" s="22"/>
      <c r="CN286" s="45"/>
      <c r="CO286" s="22"/>
      <c r="CP286" s="22"/>
      <c r="CQ286" s="45"/>
    </row>
    <row r="287" spans="1:95" ht="15.75" customHeight="1" x14ac:dyDescent="0.45">
      <c r="A287" s="45"/>
      <c r="B287" s="45"/>
      <c r="C287" s="12"/>
      <c r="D287" s="12"/>
      <c r="E287" s="12"/>
      <c r="F287" s="155"/>
      <c r="G287" s="45"/>
      <c r="H287" s="45"/>
      <c r="I287" s="12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158"/>
      <c r="W287" s="45"/>
      <c r="X287" s="45"/>
      <c r="Y287" s="45"/>
      <c r="Z287" s="45"/>
      <c r="AA287" s="45"/>
      <c r="AB287" s="45"/>
      <c r="AC287" s="44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22"/>
      <c r="AQ287" s="22"/>
      <c r="AR287" s="45"/>
      <c r="AS287" s="22"/>
      <c r="AT287" s="22"/>
      <c r="AU287" s="45"/>
      <c r="AV287" s="22"/>
      <c r="AW287" s="22"/>
      <c r="AX287" s="45"/>
      <c r="AY287" s="22"/>
      <c r="AZ287" s="22"/>
      <c r="BA287" s="45"/>
      <c r="BB287" s="22"/>
      <c r="BC287" s="22"/>
      <c r="BD287" s="45"/>
      <c r="BE287" s="45"/>
      <c r="BF287" s="22"/>
      <c r="BG287" s="45"/>
      <c r="BH287" s="45"/>
      <c r="BI287" s="45"/>
      <c r="BJ287" s="45"/>
      <c r="BK287" s="45"/>
      <c r="BL287" s="22"/>
      <c r="BM287" s="45"/>
      <c r="BN287" s="45"/>
      <c r="BO287" s="22"/>
      <c r="BP287" s="45"/>
      <c r="BQ287" s="22"/>
      <c r="BR287" s="45"/>
      <c r="BS287" s="45"/>
      <c r="BT287" s="22"/>
      <c r="BU287" s="45"/>
      <c r="BV287" s="45"/>
      <c r="BW287" s="22"/>
      <c r="BX287" s="22"/>
      <c r="BY287" s="45"/>
      <c r="BZ287" s="22"/>
      <c r="CA287" s="22"/>
      <c r="CB287" s="45"/>
      <c r="CC287" s="22"/>
      <c r="CD287" s="22"/>
      <c r="CE287" s="45"/>
      <c r="CF287" s="22"/>
      <c r="CG287" s="22"/>
      <c r="CH287" s="45"/>
      <c r="CI287" s="22"/>
      <c r="CJ287" s="22"/>
      <c r="CK287" s="45"/>
      <c r="CL287" s="22"/>
      <c r="CM287" s="22"/>
      <c r="CN287" s="45"/>
      <c r="CO287" s="22"/>
      <c r="CP287" s="22"/>
      <c r="CQ287" s="45"/>
    </row>
    <row r="288" spans="1:95" ht="15.75" customHeight="1" x14ac:dyDescent="0.45">
      <c r="A288" s="45"/>
      <c r="B288" s="45"/>
      <c r="C288" s="12"/>
      <c r="D288" s="12"/>
      <c r="E288" s="12"/>
      <c r="F288" s="155"/>
      <c r="G288" s="45"/>
      <c r="H288" s="45"/>
      <c r="I288" s="12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158"/>
      <c r="W288" s="45"/>
      <c r="X288" s="45"/>
      <c r="Y288" s="45"/>
      <c r="Z288" s="45"/>
      <c r="AA288" s="45"/>
      <c r="AB288" s="45"/>
      <c r="AC288" s="44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22"/>
      <c r="AQ288" s="22"/>
      <c r="AR288" s="45"/>
      <c r="AS288" s="22"/>
      <c r="AT288" s="22"/>
      <c r="AU288" s="45"/>
      <c r="AV288" s="22"/>
      <c r="AW288" s="22"/>
      <c r="AX288" s="45"/>
      <c r="AY288" s="22"/>
      <c r="AZ288" s="22"/>
      <c r="BA288" s="45"/>
      <c r="BB288" s="22"/>
      <c r="BC288" s="22"/>
      <c r="BD288" s="45"/>
      <c r="BE288" s="45"/>
      <c r="BF288" s="22"/>
      <c r="BG288" s="45"/>
      <c r="BH288" s="45"/>
      <c r="BI288" s="45"/>
      <c r="BJ288" s="45"/>
      <c r="BK288" s="45"/>
      <c r="BL288" s="22"/>
      <c r="BM288" s="45"/>
      <c r="BN288" s="45"/>
      <c r="BO288" s="22"/>
      <c r="BP288" s="45"/>
      <c r="BQ288" s="22"/>
      <c r="BR288" s="45"/>
      <c r="BS288" s="45"/>
      <c r="BT288" s="22"/>
      <c r="BU288" s="45"/>
      <c r="BV288" s="45"/>
      <c r="BW288" s="22"/>
      <c r="BX288" s="22"/>
      <c r="BY288" s="45"/>
      <c r="BZ288" s="22"/>
      <c r="CA288" s="22"/>
      <c r="CB288" s="45"/>
      <c r="CC288" s="22"/>
      <c r="CD288" s="22"/>
      <c r="CE288" s="45"/>
      <c r="CF288" s="22"/>
      <c r="CG288" s="22"/>
      <c r="CH288" s="45"/>
      <c r="CI288" s="22"/>
      <c r="CJ288" s="22"/>
      <c r="CK288" s="45"/>
      <c r="CL288" s="22"/>
      <c r="CM288" s="22"/>
      <c r="CN288" s="45"/>
      <c r="CO288" s="22"/>
      <c r="CP288" s="22"/>
      <c r="CQ288" s="45"/>
    </row>
    <row r="289" spans="1:95" ht="15.75" customHeight="1" x14ac:dyDescent="0.45">
      <c r="A289" s="45"/>
      <c r="B289" s="45"/>
      <c r="C289" s="12"/>
      <c r="D289" s="12"/>
      <c r="E289" s="12"/>
      <c r="F289" s="155"/>
      <c r="G289" s="45"/>
      <c r="H289" s="45"/>
      <c r="I289" s="12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158"/>
      <c r="W289" s="45"/>
      <c r="X289" s="45"/>
      <c r="Y289" s="45"/>
      <c r="Z289" s="45"/>
      <c r="AA289" s="45"/>
      <c r="AB289" s="45"/>
      <c r="AC289" s="44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22"/>
      <c r="AQ289" s="22"/>
      <c r="AR289" s="45"/>
      <c r="AS289" s="22"/>
      <c r="AT289" s="22"/>
      <c r="AU289" s="45"/>
      <c r="AV289" s="22"/>
      <c r="AW289" s="22"/>
      <c r="AX289" s="45"/>
      <c r="AY289" s="22"/>
      <c r="AZ289" s="22"/>
      <c r="BA289" s="45"/>
      <c r="BB289" s="22"/>
      <c r="BC289" s="22"/>
      <c r="BD289" s="45"/>
      <c r="BE289" s="45"/>
      <c r="BF289" s="22"/>
      <c r="BG289" s="45"/>
      <c r="BH289" s="45"/>
      <c r="BI289" s="45"/>
      <c r="BJ289" s="45"/>
      <c r="BK289" s="45"/>
      <c r="BL289" s="22"/>
      <c r="BM289" s="45"/>
      <c r="BN289" s="45"/>
      <c r="BO289" s="22"/>
      <c r="BP289" s="45"/>
      <c r="BQ289" s="22"/>
      <c r="BR289" s="45"/>
      <c r="BS289" s="45"/>
      <c r="BT289" s="22"/>
      <c r="BU289" s="45"/>
      <c r="BV289" s="45"/>
      <c r="BW289" s="22"/>
      <c r="BX289" s="22"/>
      <c r="BY289" s="45"/>
      <c r="BZ289" s="22"/>
      <c r="CA289" s="22"/>
      <c r="CB289" s="45"/>
      <c r="CC289" s="22"/>
      <c r="CD289" s="22"/>
      <c r="CE289" s="45"/>
      <c r="CF289" s="22"/>
      <c r="CG289" s="22"/>
      <c r="CH289" s="45"/>
      <c r="CI289" s="22"/>
      <c r="CJ289" s="22"/>
      <c r="CK289" s="45"/>
      <c r="CL289" s="22"/>
      <c r="CM289" s="22"/>
      <c r="CN289" s="45"/>
      <c r="CO289" s="22"/>
      <c r="CP289" s="22"/>
      <c r="CQ289" s="45"/>
    </row>
    <row r="290" spans="1:95" ht="15.75" customHeight="1" x14ac:dyDescent="0.45">
      <c r="A290" s="45"/>
      <c r="B290" s="45"/>
      <c r="C290" s="12"/>
      <c r="D290" s="12"/>
      <c r="E290" s="12"/>
      <c r="F290" s="155"/>
      <c r="G290" s="45"/>
      <c r="H290" s="45"/>
      <c r="I290" s="12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158"/>
      <c r="W290" s="45"/>
      <c r="X290" s="45"/>
      <c r="Y290" s="45"/>
      <c r="Z290" s="45"/>
      <c r="AA290" s="45"/>
      <c r="AB290" s="45"/>
      <c r="AC290" s="44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22"/>
      <c r="AQ290" s="22"/>
      <c r="AR290" s="45"/>
      <c r="AS290" s="22"/>
      <c r="AT290" s="22"/>
      <c r="AU290" s="45"/>
      <c r="AV290" s="22"/>
      <c r="AW290" s="22"/>
      <c r="AX290" s="45"/>
      <c r="AY290" s="22"/>
      <c r="AZ290" s="22"/>
      <c r="BA290" s="45"/>
      <c r="BB290" s="22"/>
      <c r="BC290" s="22"/>
      <c r="BD290" s="45"/>
      <c r="BE290" s="45"/>
      <c r="BF290" s="22"/>
      <c r="BG290" s="45"/>
      <c r="BH290" s="45"/>
      <c r="BI290" s="45"/>
      <c r="BJ290" s="45"/>
      <c r="BK290" s="45"/>
      <c r="BL290" s="22"/>
      <c r="BM290" s="45"/>
      <c r="BN290" s="45"/>
      <c r="BO290" s="22"/>
      <c r="BP290" s="45"/>
      <c r="BQ290" s="22"/>
      <c r="BR290" s="45"/>
      <c r="BS290" s="45"/>
      <c r="BT290" s="22"/>
      <c r="BU290" s="45"/>
      <c r="BV290" s="45"/>
      <c r="BW290" s="22"/>
      <c r="BX290" s="22"/>
      <c r="BY290" s="45"/>
      <c r="BZ290" s="22"/>
      <c r="CA290" s="22"/>
      <c r="CB290" s="45"/>
      <c r="CC290" s="22"/>
      <c r="CD290" s="22"/>
      <c r="CE290" s="45"/>
      <c r="CF290" s="22"/>
      <c r="CG290" s="22"/>
      <c r="CH290" s="45"/>
      <c r="CI290" s="22"/>
      <c r="CJ290" s="22"/>
      <c r="CK290" s="45"/>
      <c r="CL290" s="22"/>
      <c r="CM290" s="22"/>
      <c r="CN290" s="45"/>
      <c r="CO290" s="22"/>
      <c r="CP290" s="22"/>
      <c r="CQ290" s="45"/>
    </row>
    <row r="291" spans="1:95" ht="15.75" customHeight="1" x14ac:dyDescent="0.45">
      <c r="A291" s="45"/>
      <c r="B291" s="45"/>
      <c r="C291" s="12"/>
      <c r="D291" s="12"/>
      <c r="E291" s="12"/>
      <c r="F291" s="155"/>
      <c r="G291" s="45"/>
      <c r="H291" s="45"/>
      <c r="I291" s="12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158"/>
      <c r="W291" s="45"/>
      <c r="X291" s="45"/>
      <c r="Y291" s="45"/>
      <c r="Z291" s="45"/>
      <c r="AA291" s="45"/>
      <c r="AB291" s="45"/>
      <c r="AC291" s="44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22"/>
      <c r="AQ291" s="22"/>
      <c r="AR291" s="45"/>
      <c r="AS291" s="22"/>
      <c r="AT291" s="22"/>
      <c r="AU291" s="45"/>
      <c r="AV291" s="22"/>
      <c r="AW291" s="22"/>
      <c r="AX291" s="45"/>
      <c r="AY291" s="22"/>
      <c r="AZ291" s="22"/>
      <c r="BA291" s="45"/>
      <c r="BB291" s="22"/>
      <c r="BC291" s="22"/>
      <c r="BD291" s="45"/>
      <c r="BE291" s="45"/>
      <c r="BF291" s="22"/>
      <c r="BG291" s="45"/>
      <c r="BH291" s="45"/>
      <c r="BI291" s="45"/>
      <c r="BJ291" s="45"/>
      <c r="BK291" s="45"/>
      <c r="BL291" s="22"/>
      <c r="BM291" s="45"/>
      <c r="BN291" s="45"/>
      <c r="BO291" s="22"/>
      <c r="BP291" s="45"/>
      <c r="BQ291" s="22"/>
      <c r="BR291" s="45"/>
      <c r="BS291" s="45"/>
      <c r="BT291" s="22"/>
      <c r="BU291" s="45"/>
      <c r="BV291" s="45"/>
      <c r="BW291" s="22"/>
      <c r="BX291" s="22"/>
      <c r="BY291" s="45"/>
      <c r="BZ291" s="22"/>
      <c r="CA291" s="22"/>
      <c r="CB291" s="45"/>
      <c r="CC291" s="22"/>
      <c r="CD291" s="22"/>
      <c r="CE291" s="45"/>
      <c r="CF291" s="22"/>
      <c r="CG291" s="22"/>
      <c r="CH291" s="45"/>
      <c r="CI291" s="22"/>
      <c r="CJ291" s="22"/>
      <c r="CK291" s="45"/>
      <c r="CL291" s="22"/>
      <c r="CM291" s="22"/>
      <c r="CN291" s="45"/>
      <c r="CO291" s="22"/>
      <c r="CP291" s="22"/>
      <c r="CQ291" s="45"/>
    </row>
    <row r="292" spans="1:95" ht="15.75" customHeight="1" x14ac:dyDescent="0.45">
      <c r="A292" s="45"/>
      <c r="B292" s="45"/>
      <c r="C292" s="12"/>
      <c r="D292" s="12"/>
      <c r="E292" s="12"/>
      <c r="F292" s="155"/>
      <c r="G292" s="45"/>
      <c r="H292" s="45"/>
      <c r="I292" s="12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158"/>
      <c r="W292" s="45"/>
      <c r="X292" s="45"/>
      <c r="Y292" s="45"/>
      <c r="Z292" s="45"/>
      <c r="AA292" s="45"/>
      <c r="AB292" s="45"/>
      <c r="AC292" s="44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22"/>
      <c r="AQ292" s="22"/>
      <c r="AR292" s="45"/>
      <c r="AS292" s="22"/>
      <c r="AT292" s="22"/>
      <c r="AU292" s="45"/>
      <c r="AV292" s="22"/>
      <c r="AW292" s="22"/>
      <c r="AX292" s="45"/>
      <c r="AY292" s="22"/>
      <c r="AZ292" s="22"/>
      <c r="BA292" s="45"/>
      <c r="BB292" s="22"/>
      <c r="BC292" s="22"/>
      <c r="BD292" s="45"/>
      <c r="BE292" s="45"/>
      <c r="BF292" s="22"/>
      <c r="BG292" s="45"/>
      <c r="BH292" s="45"/>
      <c r="BI292" s="45"/>
      <c r="BJ292" s="45"/>
      <c r="BK292" s="45"/>
      <c r="BL292" s="22"/>
      <c r="BM292" s="45"/>
      <c r="BN292" s="45"/>
      <c r="BO292" s="22"/>
      <c r="BP292" s="45"/>
      <c r="BQ292" s="22"/>
      <c r="BR292" s="45"/>
      <c r="BS292" s="45"/>
      <c r="BT292" s="22"/>
      <c r="BU292" s="45"/>
      <c r="BV292" s="45"/>
      <c r="BW292" s="22"/>
      <c r="BX292" s="22"/>
      <c r="BY292" s="45"/>
      <c r="BZ292" s="22"/>
      <c r="CA292" s="22"/>
      <c r="CB292" s="45"/>
      <c r="CC292" s="22"/>
      <c r="CD292" s="22"/>
      <c r="CE292" s="45"/>
      <c r="CF292" s="22"/>
      <c r="CG292" s="22"/>
      <c r="CH292" s="45"/>
      <c r="CI292" s="22"/>
      <c r="CJ292" s="22"/>
      <c r="CK292" s="45"/>
      <c r="CL292" s="22"/>
      <c r="CM292" s="22"/>
      <c r="CN292" s="45"/>
      <c r="CO292" s="22"/>
      <c r="CP292" s="22"/>
      <c r="CQ292" s="45"/>
    </row>
    <row r="293" spans="1:95" ht="15.75" customHeight="1" x14ac:dyDescent="0.45">
      <c r="A293" s="45"/>
      <c r="B293" s="45"/>
      <c r="C293" s="12"/>
      <c r="D293" s="12"/>
      <c r="E293" s="12"/>
      <c r="F293" s="155"/>
      <c r="G293" s="45"/>
      <c r="H293" s="45"/>
      <c r="I293" s="12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158"/>
      <c r="W293" s="45"/>
      <c r="X293" s="45"/>
      <c r="Y293" s="45"/>
      <c r="Z293" s="45"/>
      <c r="AA293" s="45"/>
      <c r="AB293" s="45"/>
      <c r="AC293" s="44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22"/>
      <c r="AQ293" s="22"/>
      <c r="AR293" s="45"/>
      <c r="AS293" s="22"/>
      <c r="AT293" s="22"/>
      <c r="AU293" s="45"/>
      <c r="AV293" s="22"/>
      <c r="AW293" s="22"/>
      <c r="AX293" s="45"/>
      <c r="AY293" s="22"/>
      <c r="AZ293" s="22"/>
      <c r="BA293" s="45"/>
      <c r="BB293" s="22"/>
      <c r="BC293" s="22"/>
      <c r="BD293" s="45"/>
      <c r="BE293" s="45"/>
      <c r="BF293" s="22"/>
      <c r="BG293" s="45"/>
      <c r="BH293" s="45"/>
      <c r="BI293" s="45"/>
      <c r="BJ293" s="45"/>
      <c r="BK293" s="45"/>
      <c r="BL293" s="22"/>
      <c r="BM293" s="45"/>
      <c r="BN293" s="45"/>
      <c r="BO293" s="22"/>
      <c r="BP293" s="45"/>
      <c r="BQ293" s="22"/>
      <c r="BR293" s="45"/>
      <c r="BS293" s="45"/>
      <c r="BT293" s="22"/>
      <c r="BU293" s="45"/>
      <c r="BV293" s="45"/>
      <c r="BW293" s="22"/>
      <c r="BX293" s="22"/>
      <c r="BY293" s="45"/>
      <c r="BZ293" s="22"/>
      <c r="CA293" s="22"/>
      <c r="CB293" s="45"/>
      <c r="CC293" s="22"/>
      <c r="CD293" s="22"/>
      <c r="CE293" s="45"/>
      <c r="CF293" s="22"/>
      <c r="CG293" s="22"/>
      <c r="CH293" s="45"/>
      <c r="CI293" s="22"/>
      <c r="CJ293" s="22"/>
      <c r="CK293" s="45"/>
      <c r="CL293" s="22"/>
      <c r="CM293" s="22"/>
      <c r="CN293" s="45"/>
      <c r="CO293" s="22"/>
      <c r="CP293" s="22"/>
      <c r="CQ293" s="45"/>
    </row>
    <row r="294" spans="1:95" ht="15.75" customHeight="1" x14ac:dyDescent="0.45">
      <c r="A294" s="45"/>
      <c r="B294" s="45"/>
      <c r="C294" s="12"/>
      <c r="D294" s="12"/>
      <c r="E294" s="12"/>
      <c r="F294" s="155"/>
      <c r="G294" s="45"/>
      <c r="H294" s="45"/>
      <c r="I294" s="12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158"/>
      <c r="W294" s="45"/>
      <c r="X294" s="45"/>
      <c r="Y294" s="45"/>
      <c r="Z294" s="45"/>
      <c r="AA294" s="45"/>
      <c r="AB294" s="45"/>
      <c r="AC294" s="44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22"/>
      <c r="AQ294" s="22"/>
      <c r="AR294" s="45"/>
      <c r="AS294" s="22"/>
      <c r="AT294" s="22"/>
      <c r="AU294" s="45"/>
      <c r="AV294" s="22"/>
      <c r="AW294" s="22"/>
      <c r="AX294" s="45"/>
      <c r="AY294" s="22"/>
      <c r="AZ294" s="22"/>
      <c r="BA294" s="45"/>
      <c r="BB294" s="22"/>
      <c r="BC294" s="22"/>
      <c r="BD294" s="45"/>
      <c r="BE294" s="45"/>
      <c r="BF294" s="22"/>
      <c r="BG294" s="45"/>
      <c r="BH294" s="45"/>
      <c r="BI294" s="45"/>
      <c r="BJ294" s="45"/>
      <c r="BK294" s="45"/>
      <c r="BL294" s="22"/>
      <c r="BM294" s="45"/>
      <c r="BN294" s="45"/>
      <c r="BO294" s="22"/>
      <c r="BP294" s="45"/>
      <c r="BQ294" s="22"/>
      <c r="BR294" s="45"/>
      <c r="BS294" s="45"/>
      <c r="BT294" s="22"/>
      <c r="BU294" s="45"/>
      <c r="BV294" s="45"/>
      <c r="BW294" s="22"/>
      <c r="BX294" s="22"/>
      <c r="BY294" s="45"/>
      <c r="BZ294" s="22"/>
      <c r="CA294" s="22"/>
      <c r="CB294" s="45"/>
      <c r="CC294" s="22"/>
      <c r="CD294" s="22"/>
      <c r="CE294" s="45"/>
      <c r="CF294" s="22"/>
      <c r="CG294" s="22"/>
      <c r="CH294" s="45"/>
      <c r="CI294" s="22"/>
      <c r="CJ294" s="22"/>
      <c r="CK294" s="45"/>
      <c r="CL294" s="22"/>
      <c r="CM294" s="22"/>
      <c r="CN294" s="45"/>
      <c r="CO294" s="22"/>
      <c r="CP294" s="22"/>
      <c r="CQ294" s="45"/>
    </row>
    <row r="295" spans="1:95" ht="15.75" customHeight="1" x14ac:dyDescent="0.45">
      <c r="A295" s="45"/>
      <c r="B295" s="45"/>
      <c r="C295" s="12"/>
      <c r="D295" s="12"/>
      <c r="E295" s="12"/>
      <c r="F295" s="155"/>
      <c r="G295" s="45"/>
      <c r="H295" s="45"/>
      <c r="I295" s="12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158"/>
      <c r="W295" s="45"/>
      <c r="X295" s="45"/>
      <c r="Y295" s="45"/>
      <c r="Z295" s="45"/>
      <c r="AA295" s="45"/>
      <c r="AB295" s="45"/>
      <c r="AC295" s="44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22"/>
      <c r="AQ295" s="22"/>
      <c r="AR295" s="45"/>
      <c r="AS295" s="22"/>
      <c r="AT295" s="22"/>
      <c r="AU295" s="45"/>
      <c r="AV295" s="22"/>
      <c r="AW295" s="22"/>
      <c r="AX295" s="45"/>
      <c r="AY295" s="22"/>
      <c r="AZ295" s="22"/>
      <c r="BA295" s="45"/>
      <c r="BB295" s="22"/>
      <c r="BC295" s="22"/>
      <c r="BD295" s="45"/>
      <c r="BE295" s="45"/>
      <c r="BF295" s="22"/>
      <c r="BG295" s="45"/>
      <c r="BH295" s="45"/>
      <c r="BI295" s="45"/>
      <c r="BJ295" s="45"/>
      <c r="BK295" s="45"/>
      <c r="BL295" s="22"/>
      <c r="BM295" s="45"/>
      <c r="BN295" s="45"/>
      <c r="BO295" s="22"/>
      <c r="BP295" s="45"/>
      <c r="BQ295" s="22"/>
      <c r="BR295" s="45"/>
      <c r="BS295" s="45"/>
      <c r="BT295" s="22"/>
      <c r="BU295" s="45"/>
      <c r="BV295" s="45"/>
      <c r="BW295" s="22"/>
      <c r="BX295" s="22"/>
      <c r="BY295" s="45"/>
      <c r="BZ295" s="22"/>
      <c r="CA295" s="22"/>
      <c r="CB295" s="45"/>
      <c r="CC295" s="22"/>
      <c r="CD295" s="22"/>
      <c r="CE295" s="45"/>
      <c r="CF295" s="22"/>
      <c r="CG295" s="22"/>
      <c r="CH295" s="45"/>
      <c r="CI295" s="22"/>
      <c r="CJ295" s="22"/>
      <c r="CK295" s="45"/>
      <c r="CL295" s="22"/>
      <c r="CM295" s="22"/>
      <c r="CN295" s="45"/>
      <c r="CO295" s="22"/>
      <c r="CP295" s="22"/>
      <c r="CQ295" s="45"/>
    </row>
  </sheetData>
  <conditionalFormatting sqref="AQ10:AQ11 AT10:AT11 AW10:AW11 AZ10:AZ11">
    <cfRule type="cellIs" dxfId="205" priority="1" operator="greaterThan">
      <formula>0</formula>
    </cfRule>
  </conditionalFormatting>
  <conditionalFormatting sqref="BC10:BC11">
    <cfRule type="cellIs" dxfId="204" priority="2" operator="greaterThan">
      <formula>0</formula>
    </cfRule>
  </conditionalFormatting>
  <conditionalFormatting sqref="BX5">
    <cfRule type="cellIs" dxfId="203" priority="3" operator="greaterThan">
      <formula>0</formula>
    </cfRule>
  </conditionalFormatting>
  <conditionalFormatting sqref="BX4">
    <cfRule type="cellIs" dxfId="202" priority="4" operator="greaterThan">
      <formula>0</formula>
    </cfRule>
  </conditionalFormatting>
  <conditionalFormatting sqref="AE4:AE8 AI4:AI8 AN4:AN8 AQ4:AQ8 AT4:AT8 AW4:AW8 AZ4:AZ8 BC4:BC8">
    <cfRule type="cellIs" dxfId="201" priority="5" operator="greaterThan">
      <formula>0</formula>
    </cfRule>
  </conditionalFormatting>
  <conditionalFormatting sqref="BL10:BL11">
    <cfRule type="cellIs" dxfId="200" priority="6" operator="greaterThan">
      <formula>0</formula>
    </cfRule>
  </conditionalFormatting>
  <conditionalFormatting sqref="BL4:BL8">
    <cfRule type="cellIs" dxfId="199" priority="7" operator="greaterThan">
      <formula>0</formula>
    </cfRule>
  </conditionalFormatting>
  <conditionalFormatting sqref="BO4:BO8">
    <cfRule type="cellIs" dxfId="198" priority="8" operator="greaterThan">
      <formula>0</formula>
    </cfRule>
  </conditionalFormatting>
  <conditionalFormatting sqref="BO10:BO11">
    <cfRule type="cellIs" dxfId="197" priority="9" operator="greaterThan">
      <formula>0</formula>
    </cfRule>
  </conditionalFormatting>
  <conditionalFormatting sqref="BI10:BI11">
    <cfRule type="cellIs" dxfId="196" priority="10" operator="greaterThan">
      <formula>0</formula>
    </cfRule>
  </conditionalFormatting>
  <conditionalFormatting sqref="BI4:BI8">
    <cfRule type="cellIs" dxfId="195" priority="11" operator="greaterThan">
      <formula>0</formula>
    </cfRule>
  </conditionalFormatting>
  <conditionalFormatting sqref="BF4:BF8">
    <cfRule type="cellIs" dxfId="194" priority="12" operator="greaterThan">
      <formula>0</formula>
    </cfRule>
  </conditionalFormatting>
  <conditionalFormatting sqref="BF10:BF11">
    <cfRule type="cellIs" dxfId="193" priority="13" operator="greaterThan">
      <formula>0</formula>
    </cfRule>
  </conditionalFormatting>
  <conditionalFormatting sqref="CA5:CA8 CA10:CA11">
    <cfRule type="cellIs" dxfId="192" priority="14" operator="greaterThan">
      <formula>0</formula>
    </cfRule>
  </conditionalFormatting>
  <conditionalFormatting sqref="CA4">
    <cfRule type="cellIs" dxfId="191" priority="15" operator="greaterThan">
      <formula>0</formula>
    </cfRule>
  </conditionalFormatting>
  <conditionalFormatting sqref="CD5:CD8 CD10:CD11">
    <cfRule type="cellIs" dxfId="190" priority="16" operator="greaterThan">
      <formula>0</formula>
    </cfRule>
  </conditionalFormatting>
  <conditionalFormatting sqref="CD4">
    <cfRule type="cellIs" dxfId="189" priority="17" operator="greaterThan">
      <formula>0</formula>
    </cfRule>
  </conditionalFormatting>
  <conditionalFormatting sqref="CG5:CG8 CG10:CG11">
    <cfRule type="cellIs" dxfId="188" priority="18" operator="greaterThan">
      <formula>0</formula>
    </cfRule>
  </conditionalFormatting>
  <conditionalFormatting sqref="CG4">
    <cfRule type="cellIs" dxfId="187" priority="19" operator="greaterThan">
      <formula>0</formula>
    </cfRule>
  </conditionalFormatting>
  <conditionalFormatting sqref="CJ5:CJ8 CJ10:CJ11">
    <cfRule type="cellIs" dxfId="186" priority="20" operator="greaterThan">
      <formula>0</formula>
    </cfRule>
  </conditionalFormatting>
  <conditionalFormatting sqref="CJ4">
    <cfRule type="cellIs" dxfId="185" priority="21" operator="greaterThan">
      <formula>0</formula>
    </cfRule>
  </conditionalFormatting>
  <conditionalFormatting sqref="BQ10:BQ11">
    <cfRule type="cellIs" dxfId="184" priority="22" operator="greaterThan">
      <formula>0</formula>
    </cfRule>
  </conditionalFormatting>
  <conditionalFormatting sqref="BQ4:BQ8">
    <cfRule type="cellIs" dxfId="183" priority="23" operator="greaterThan">
      <formula>0</formula>
    </cfRule>
  </conditionalFormatting>
  <conditionalFormatting sqref="CM5:CM8 CM10:CM11">
    <cfRule type="cellIs" dxfId="182" priority="24" operator="greaterThan">
      <formula>0</formula>
    </cfRule>
  </conditionalFormatting>
  <conditionalFormatting sqref="CM4">
    <cfRule type="cellIs" dxfId="181" priority="25" operator="greaterThan">
      <formula>0</formula>
    </cfRule>
  </conditionalFormatting>
  <conditionalFormatting sqref="CP5:CP8 CP10:CP11">
    <cfRule type="cellIs" dxfId="180" priority="26" operator="greaterThan">
      <formula>0</formula>
    </cfRule>
  </conditionalFormatting>
  <conditionalFormatting sqref="CP4">
    <cfRule type="cellIs" dxfId="179" priority="27" operator="greaterThan">
      <formula>0</formula>
    </cfRule>
  </conditionalFormatting>
  <conditionalFormatting sqref="BT10:BT11">
    <cfRule type="cellIs" dxfId="178" priority="28" operator="greaterThan">
      <formula>0</formula>
    </cfRule>
  </conditionalFormatting>
  <conditionalFormatting sqref="BT4:BT8">
    <cfRule type="cellIs" dxfId="177" priority="29" operator="greaterThan">
      <formula>0</formula>
    </cfRule>
  </conditionalFormatting>
  <conditionalFormatting sqref="BX10:BX11">
    <cfRule type="cellIs" dxfId="176" priority="30" operator="greaterThan">
      <formula>0</formula>
    </cfRule>
  </conditionalFormatting>
  <conditionalFormatting sqref="BX6:BX8">
    <cfRule type="cellIs" dxfId="175" priority="31" operator="greaterThan">
      <formula>0</formula>
    </cfRule>
  </conditionalFormatting>
  <hyperlinks>
    <hyperlink ref="B13" r:id="rId1"/>
    <hyperlink ref="B14" r:id="rId2"/>
    <hyperlink ref="B15" r:id="rId3"/>
    <hyperlink ref="B16" r:id="rId4"/>
    <hyperlink ref="B17" r:id="rId5"/>
    <hyperlink ref="B18" r:id="rId6"/>
    <hyperlink ref="B19" r:id="rId7"/>
    <hyperlink ref="B20" r:id="rId8"/>
    <hyperlink ref="B21" r:id="rId9"/>
    <hyperlink ref="B22" r:id="rId10"/>
    <hyperlink ref="B23" r:id="rId11"/>
    <hyperlink ref="B24" r:id="rId12"/>
    <hyperlink ref="B25" r:id="rId13"/>
    <hyperlink ref="B26" r:id="rId14"/>
    <hyperlink ref="B28" r:id="rId15"/>
    <hyperlink ref="B29" r:id="rId16"/>
    <hyperlink ref="B30" r:id="rId17"/>
    <hyperlink ref="B31" r:id="rId18"/>
    <hyperlink ref="B32" r:id="rId19"/>
    <hyperlink ref="B33" r:id="rId20"/>
    <hyperlink ref="B34" r:id="rId21"/>
    <hyperlink ref="B35" r:id="rId22"/>
    <hyperlink ref="B36" r:id="rId23"/>
    <hyperlink ref="B37" r:id="rId24"/>
    <hyperlink ref="B38" r:id="rId25"/>
    <hyperlink ref="B39" r:id="rId26"/>
    <hyperlink ref="B40" r:id="rId27"/>
    <hyperlink ref="B41" r:id="rId28"/>
    <hyperlink ref="B42" r:id="rId29"/>
    <hyperlink ref="B43" r:id="rId30"/>
    <hyperlink ref="B44" r:id="rId31"/>
    <hyperlink ref="B45" r:id="rId32"/>
    <hyperlink ref="B46" r:id="rId33"/>
    <hyperlink ref="B47" r:id="rId34"/>
    <hyperlink ref="B48" r:id="rId35"/>
    <hyperlink ref="B49" r:id="rId36"/>
    <hyperlink ref="B50" r:id="rId37"/>
    <hyperlink ref="B51" r:id="rId38"/>
    <hyperlink ref="B52" r:id="rId39"/>
    <hyperlink ref="B53" r:id="rId40"/>
    <hyperlink ref="B54" r:id="rId41"/>
    <hyperlink ref="B55" r:id="rId42"/>
    <hyperlink ref="B56" r:id="rId43"/>
    <hyperlink ref="B57" r:id="rId44"/>
    <hyperlink ref="B58" r:id="rId45"/>
    <hyperlink ref="B59" r:id="rId46"/>
    <hyperlink ref="B60" r:id="rId47"/>
    <hyperlink ref="B61" r:id="rId48"/>
    <hyperlink ref="B62" r:id="rId49"/>
    <hyperlink ref="B63" r:id="rId50"/>
    <hyperlink ref="B64" r:id="rId51"/>
    <hyperlink ref="B65" r:id="rId52"/>
    <hyperlink ref="B66" r:id="rId53"/>
  </hyperlinks>
  <printOptions gridLines="1"/>
  <pageMargins left="0.25" right="0.25" top="0.75" bottom="0.75" header="0" footer="0"/>
  <pageSetup paperSize="5" fitToHeight="0" orientation="landscape"/>
  <headerFooter>
    <oddHeader>&amp;LSAGE LIBRARY SYSTEM Membership fee schedule</oddHeader>
    <oddFooter>&amp;R&amp;P of</oddFooter>
  </headerFooter>
  <legacyDrawing r:id="rId5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11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3.2656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513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f>Summary!AT12</f>
        <v>0.25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521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521"/>
      <c r="CF3" s="523">
        <v>0.17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0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345.41058736183987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0</v>
      </c>
      <c r="W4" s="77"/>
      <c r="X4" s="75">
        <v>1988</v>
      </c>
      <c r="Y4" s="77">
        <f t="shared" ref="Y4:Y7" si="9">SUM(X4*$Y$62)</f>
        <v>0</v>
      </c>
      <c r="Z4" s="77"/>
      <c r="AA4" s="65"/>
      <c r="AB4" s="65"/>
      <c r="AC4" s="77">
        <f t="shared" ref="AC4:AC57" si="10">SUM($AC$61/$BA$61)</f>
        <v>519.51683333333335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0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-29.952647627635468</v>
      </c>
      <c r="AQ4" s="77">
        <f t="shared" ref="AQ4:AQ57" si="17">SUM(F4+V4+AC4+M4+AH4+Y4+AP4)</f>
        <v>834.97477306753774</v>
      </c>
      <c r="AR4" s="144">
        <f t="shared" ref="AR4:AR57" si="18">SUM(AQ4/$K$4)</f>
        <v>3.3002955457214931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526"/>
      <c r="CF4" s="149">
        <f t="shared" ref="CF4:CF56" si="34">SUM(T4*$CF$3)</f>
        <v>753.1</v>
      </c>
      <c r="CG4" s="145">
        <f t="shared" ref="CG4:CG7" si="35">SUM(CF4-BA4)</f>
        <v>-553.78472978000002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0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414.12863570391863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0</v>
      </c>
      <c r="W5" s="77"/>
      <c r="X5" s="75">
        <v>3549</v>
      </c>
      <c r="Y5" s="77">
        <f t="shared" si="9"/>
        <v>0</v>
      </c>
      <c r="Z5" s="77"/>
      <c r="AA5" s="65"/>
      <c r="AB5" s="65"/>
      <c r="AC5" s="77">
        <f t="shared" si="10"/>
        <v>519.51683333333335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0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-60.328957203706565</v>
      </c>
      <c r="AQ5" s="77">
        <f t="shared" si="17"/>
        <v>873.31651183354552</v>
      </c>
      <c r="AR5" s="144">
        <f t="shared" si="18"/>
        <v>3.4518439202906936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526"/>
      <c r="CF5" s="149">
        <f t="shared" si="34"/>
        <v>1761.71</v>
      </c>
      <c r="CG5" s="145">
        <f t="shared" si="35"/>
        <v>454.95500000000015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0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839.17934531651213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0</v>
      </c>
      <c r="W6" s="77"/>
      <c r="X6" s="75">
        <v>7943</v>
      </c>
      <c r="Y6" s="77">
        <f t="shared" si="9"/>
        <v>0</v>
      </c>
      <c r="Z6" s="77"/>
      <c r="AA6" s="65"/>
      <c r="AB6" s="65"/>
      <c r="AC6" s="77">
        <f t="shared" si="10"/>
        <v>519.51683333333335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0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512.05066709775406</v>
      </c>
      <c r="AQ6" s="77">
        <f t="shared" si="17"/>
        <v>1870.7468457475995</v>
      </c>
      <c r="AR6" s="144">
        <f t="shared" si="18"/>
        <v>7.394256307302765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526"/>
      <c r="CF6" s="149">
        <f t="shared" si="34"/>
        <v>2383.06</v>
      </c>
      <c r="CG6" s="145">
        <f t="shared" si="35"/>
        <v>814.79832426399958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0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12320.099368985149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0</v>
      </c>
      <c r="W7" s="77"/>
      <c r="X7" s="75">
        <v>91539</v>
      </c>
      <c r="Y7" s="77">
        <f t="shared" si="9"/>
        <v>0</v>
      </c>
      <c r="Z7" s="77"/>
      <c r="AA7" s="65"/>
      <c r="AB7" s="65"/>
      <c r="AC7" s="77">
        <f t="shared" si="10"/>
        <v>519.51683333333335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0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2547.4932860126005</v>
      </c>
      <c r="AQ7" s="77">
        <f t="shared" si="17"/>
        <v>15387.109488331083</v>
      </c>
      <c r="AR7" s="144">
        <f t="shared" si="18"/>
        <v>60.81861457838373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526"/>
      <c r="CF7" s="149">
        <f t="shared" si="34"/>
        <v>23300.030000000002</v>
      </c>
      <c r="CG7" s="145">
        <f t="shared" si="35"/>
        <v>10231.1827022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0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3772.2112762085517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0</v>
      </c>
      <c r="W8" s="65"/>
      <c r="X8" s="75"/>
      <c r="Y8" s="76"/>
      <c r="Z8" s="65"/>
      <c r="AA8" s="65"/>
      <c r="AB8" s="65"/>
      <c r="AC8" s="77">
        <f t="shared" si="10"/>
        <v>519.51683333333335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0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-65.053774189338299</v>
      </c>
      <c r="AQ8" s="77">
        <f t="shared" si="17"/>
        <v>4226.6743353525462</v>
      </c>
      <c r="AR8" s="144">
        <f t="shared" si="18"/>
        <v>16.706222669377652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526"/>
      <c r="CF8" s="149">
        <f t="shared" si="34"/>
        <v>3810.55</v>
      </c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0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9900.8599982136857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0</v>
      </c>
      <c r="W9" s="65"/>
      <c r="X9" s="75"/>
      <c r="Y9" s="76"/>
      <c r="Z9" s="65"/>
      <c r="AA9" s="65"/>
      <c r="AB9" s="65"/>
      <c r="AC9" s="77">
        <f t="shared" si="10"/>
        <v>519.51683333333335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0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-231.34075970243111</v>
      </c>
      <c r="AQ9" s="77">
        <f t="shared" si="17"/>
        <v>10189.036071844588</v>
      </c>
      <c r="AR9" s="144">
        <f t="shared" si="18"/>
        <v>40.272869849188098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526"/>
      <c r="CF9" s="149">
        <f t="shared" si="34"/>
        <v>3746.8</v>
      </c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0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476.93056067879866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0</v>
      </c>
      <c r="W10" s="65"/>
      <c r="X10" s="75"/>
      <c r="Y10" s="76"/>
      <c r="Z10" s="65"/>
      <c r="AA10" s="65"/>
      <c r="AB10" s="65"/>
      <c r="AC10" s="77">
        <f t="shared" si="10"/>
        <v>519.51683333333335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0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0.58053522062574892</v>
      </c>
      <c r="AQ10" s="77">
        <f t="shared" si="17"/>
        <v>997.02792923275774</v>
      </c>
      <c r="AR10" s="144">
        <f t="shared" si="18"/>
        <v>3.9408218546749318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526"/>
      <c r="CF10" s="149">
        <f t="shared" si="34"/>
        <v>2854.4700000000003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0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141.07678798704922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0</v>
      </c>
      <c r="W11" s="65"/>
      <c r="X11" s="75"/>
      <c r="Y11" s="76"/>
      <c r="Z11" s="65"/>
      <c r="AA11" s="65"/>
      <c r="AB11" s="65"/>
      <c r="AC11" s="77">
        <f t="shared" si="10"/>
        <v>519.51683333333335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0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4.7248169856317404</v>
      </c>
      <c r="AQ11" s="77">
        <f t="shared" si="17"/>
        <v>665.31843830601429</v>
      </c>
      <c r="AR11" s="144">
        <f t="shared" si="18"/>
        <v>2.6297171474546017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3">SUM(BH11-SUM($BZ11*0.1))</f>
        <v>796.45289389163997</v>
      </c>
      <c r="BJ11" s="149">
        <f t="shared" si="63"/>
        <v>707.95812790367995</v>
      </c>
      <c r="BK11" s="149">
        <f t="shared" si="63"/>
        <v>619.46336191571993</v>
      </c>
      <c r="BL11" s="149">
        <f t="shared" si="63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4">SUM(BR11-SUM($BZ11*0.1))</f>
        <v>707.95812790367995</v>
      </c>
      <c r="BT11" s="149">
        <f t="shared" si="64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5">SUM(BZ11-SUM($BZ11*0.1))</f>
        <v>796.45289389163997</v>
      </c>
      <c r="CB11" s="149">
        <f t="shared" si="65"/>
        <v>707.95812790367995</v>
      </c>
      <c r="CC11" s="149">
        <f t="shared" si="65"/>
        <v>619.46336191571993</v>
      </c>
      <c r="CD11" s="149">
        <f t="shared" si="65"/>
        <v>530.96859592775991</v>
      </c>
      <c r="CE11" s="526"/>
      <c r="CF11" s="149">
        <f t="shared" si="34"/>
        <v>881.45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0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445.98468460422009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0</v>
      </c>
      <c r="W12" s="77"/>
      <c r="X12" s="75">
        <v>7291</v>
      </c>
      <c r="Y12" s="77">
        <f>SUM(X12*$Y$62)</f>
        <v>0</v>
      </c>
      <c r="Z12" s="77"/>
      <c r="AA12" s="65"/>
      <c r="AB12" s="65"/>
      <c r="AC12" s="77">
        <f t="shared" si="10"/>
        <v>519.51683333333335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0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-268.30913855700436</v>
      </c>
      <c r="AQ12" s="77">
        <f t="shared" si="17"/>
        <v>697.19237938054903</v>
      </c>
      <c r="AR12" s="144">
        <f t="shared" si="18"/>
        <v>2.7557011042709449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6">SUM(BH12-SUM($BZ12*0.1))</f>
        <v>1270.2919573461602</v>
      </c>
      <c r="BJ12" s="149">
        <f t="shared" si="66"/>
        <v>1129.1484065299201</v>
      </c>
      <c r="BK12" s="149">
        <f t="shared" si="66"/>
        <v>988.00485571368006</v>
      </c>
      <c r="BL12" s="149">
        <f t="shared" si="66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7">SUM(BQ12*1.03)</f>
        <v>1453.7785734072725</v>
      </c>
      <c r="BS12" s="149">
        <f t="shared" si="67"/>
        <v>1497.3919306094906</v>
      </c>
      <c r="BT12" s="149">
        <f t="shared" si="67"/>
        <v>1542.3136885277754</v>
      </c>
      <c r="BU12" s="149">
        <f t="shared" si="67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8">SUM(BZ12-SUM($BZ12*0.1))</f>
        <v>1270.2919573461602</v>
      </c>
      <c r="CB12" s="149">
        <f t="shared" si="68"/>
        <v>1129.1484065299201</v>
      </c>
      <c r="CC12" s="149">
        <f t="shared" si="68"/>
        <v>988.00485571368006</v>
      </c>
      <c r="CD12" s="149">
        <f t="shared" si="68"/>
        <v>846.86130489744005</v>
      </c>
      <c r="CE12" s="526"/>
      <c r="CF12" s="149">
        <f t="shared" si="34"/>
        <v>3481.7700000000004</v>
      </c>
      <c r="CG12" s="145">
        <f>SUM(CF12-BA12)</f>
        <v>1913.5083242640001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2.7305184771686948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0</v>
      </c>
      <c r="W13" s="65"/>
      <c r="X13" s="75"/>
      <c r="Y13" s="76"/>
      <c r="Z13" s="65"/>
      <c r="AA13" s="65"/>
      <c r="AB13" s="65"/>
      <c r="AC13" s="77">
        <f t="shared" si="10"/>
        <v>519.51683333333335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0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27.907662280649717</v>
      </c>
      <c r="AQ13" s="77">
        <f t="shared" si="17"/>
        <v>550.15501409115177</v>
      </c>
      <c r="AR13" s="144">
        <f t="shared" si="18"/>
        <v>2.1745257473958568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69">SUM($BA13+SUM($BA13*0.1))</f>
        <v>431.27196082740011</v>
      </c>
      <c r="BI13" s="149">
        <f t="shared" ref="BI13:BL13" si="70">SUM(BH13*1.03)</f>
        <v>444.21011965222215</v>
      </c>
      <c r="BJ13" s="149">
        <f t="shared" si="70"/>
        <v>457.53642324178884</v>
      </c>
      <c r="BK13" s="149">
        <f t="shared" si="70"/>
        <v>471.26251593904254</v>
      </c>
      <c r="BL13" s="149">
        <f t="shared" si="70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1">SUM(BQ13-SUM($BZ13*0.1))</f>
        <v>309.73168095786008</v>
      </c>
      <c r="BS13" s="149">
        <f t="shared" si="71"/>
        <v>266.60448487512008</v>
      </c>
      <c r="BT13" s="149">
        <f t="shared" si="71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2">SUM($BA13+SUM($BA13*0.1))</f>
        <v>431.27196082740011</v>
      </c>
      <c r="CA13" s="149">
        <f t="shared" ref="CA13:CD13" si="73">SUM(BZ13*1.03)</f>
        <v>444.21011965222215</v>
      </c>
      <c r="CB13" s="149">
        <f t="shared" si="73"/>
        <v>457.53642324178884</v>
      </c>
      <c r="CC13" s="149">
        <f t="shared" si="73"/>
        <v>471.26251593904254</v>
      </c>
      <c r="CD13" s="149">
        <f t="shared" si="73"/>
        <v>485.40039141721383</v>
      </c>
      <c r="CE13" s="526"/>
      <c r="CF13" s="149">
        <f t="shared" si="34"/>
        <v>1511.47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0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818.70045673774689</v>
      </c>
      <c r="N14" s="66"/>
      <c r="O14" s="65">
        <v>544</v>
      </c>
      <c r="P14" s="66">
        <f t="shared" ref="P14:P18" si="74">SUM(O14/$O$60)</f>
        <v>5.5190325460595727E-3</v>
      </c>
      <c r="Q14" s="77">
        <f t="shared" ref="Q14:Q18" si="75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0</v>
      </c>
      <c r="W14" s="77"/>
      <c r="X14" s="75">
        <v>6043</v>
      </c>
      <c r="Y14" s="77">
        <f t="shared" ref="Y14:Y18" si="76">SUM(X14*$Y$62)</f>
        <v>0</v>
      </c>
      <c r="Z14" s="77"/>
      <c r="AA14" s="65"/>
      <c r="AB14" s="65"/>
      <c r="AC14" s="77">
        <f t="shared" si="10"/>
        <v>519.51683333333335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0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771.24113403651984</v>
      </c>
      <c r="AQ14" s="77">
        <f t="shared" si="17"/>
        <v>2109.4584241076</v>
      </c>
      <c r="AR14" s="144">
        <f t="shared" si="18"/>
        <v>8.3377803324411062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69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7">SUM(BJ14*1.03)</f>
        <v>2302.8416679113607</v>
      </c>
      <c r="BL14" s="149">
        <f t="shared" si="77"/>
        <v>2371.9269179487014</v>
      </c>
      <c r="BM14" s="46"/>
      <c r="BN14" s="146">
        <f t="shared" ref="BN14:BN15" si="78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79">SUM($BA14+SUM($BA14*0.1))</f>
        <v>1944.1466170632002</v>
      </c>
      <c r="BR14" s="149">
        <f t="shared" ref="BR14:BU14" si="80">SUM(BQ14+SUM($BZ14*0.1))</f>
        <v>2138.5612787695204</v>
      </c>
      <c r="BS14" s="149">
        <f t="shared" si="80"/>
        <v>2332.9759404758406</v>
      </c>
      <c r="BT14" s="149">
        <f t="shared" si="80"/>
        <v>2527.3906021821608</v>
      </c>
      <c r="BU14" s="149">
        <f t="shared" si="80"/>
        <v>2721.805263888481</v>
      </c>
      <c r="BV14" s="526"/>
      <c r="BW14" s="527">
        <f t="shared" ref="BW14:BW15" si="81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2"/>
        <v>1944.1466170632002</v>
      </c>
      <c r="CA14" s="149">
        <f t="shared" ref="CA14:CC14" si="82">SUM(BZ14+SUM($BZ14*0.1))</f>
        <v>2138.5612787695204</v>
      </c>
      <c r="CB14" s="149">
        <f t="shared" si="82"/>
        <v>2332.9759404758406</v>
      </c>
      <c r="CC14" s="149">
        <f t="shared" si="82"/>
        <v>2527.3906021821608</v>
      </c>
      <c r="CD14" s="149">
        <f>SUM(CC14*1.03)</f>
        <v>2603.2123202476255</v>
      </c>
      <c r="CE14" s="526"/>
      <c r="CF14" s="149">
        <f t="shared" si="34"/>
        <v>3481.6000000000004</v>
      </c>
      <c r="CG14" s="145">
        <f t="shared" ref="CG14:CG18" si="83">SUM(CF14-BA14)</f>
        <v>1714.1939844880003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0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2168.9418436976666</v>
      </c>
      <c r="N15" s="66"/>
      <c r="O15" s="65">
        <v>1054</v>
      </c>
      <c r="P15" s="66">
        <f t="shared" si="74"/>
        <v>1.0693125557990422E-2</v>
      </c>
      <c r="Q15" s="77">
        <f t="shared" si="75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0</v>
      </c>
      <c r="W15" s="77"/>
      <c r="X15" s="75">
        <v>12238</v>
      </c>
      <c r="Y15" s="77">
        <f t="shared" si="76"/>
        <v>0</v>
      </c>
      <c r="Z15" s="77"/>
      <c r="AA15" s="65"/>
      <c r="AB15" s="65"/>
      <c r="AC15" s="77">
        <f t="shared" si="10"/>
        <v>519.51683333333335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0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1372.1031806532753</v>
      </c>
      <c r="AQ15" s="77">
        <f t="shared" si="17"/>
        <v>4060.5618576842753</v>
      </c>
      <c r="AR15" s="144">
        <f t="shared" si="18"/>
        <v>16.049651611400297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4">SUM(BH15*1.03)</f>
        <v>1358.1511333333333</v>
      </c>
      <c r="BJ15" s="149">
        <f t="shared" si="84"/>
        <v>1398.8956673333332</v>
      </c>
      <c r="BK15" s="149">
        <f t="shared" si="84"/>
        <v>1440.8625373533332</v>
      </c>
      <c r="BL15" s="149">
        <f t="shared" si="84"/>
        <v>1484.0884134739333</v>
      </c>
      <c r="BM15" s="46"/>
      <c r="BN15" s="146">
        <f t="shared" si="78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79"/>
        <v>1725.6194999999998</v>
      </c>
      <c r="BR15" s="149">
        <f t="shared" ref="BR15:BU15" si="85">SUM(BQ15+SUM($BZ15*0.1))</f>
        <v>1898.1814499999998</v>
      </c>
      <c r="BS15" s="149">
        <f t="shared" si="85"/>
        <v>2070.7433999999998</v>
      </c>
      <c r="BT15" s="149">
        <f t="shared" si="85"/>
        <v>2243.3053499999996</v>
      </c>
      <c r="BU15" s="149">
        <f t="shared" si="85"/>
        <v>2415.8672999999994</v>
      </c>
      <c r="BV15" s="526"/>
      <c r="BW15" s="527">
        <f t="shared" si="81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2"/>
        <v>1725.6194999999998</v>
      </c>
      <c r="CA15" s="149">
        <f t="shared" ref="CA15:CD15" si="86">SUM(BZ15*1.03)</f>
        <v>1777.3880849999998</v>
      </c>
      <c r="CB15" s="149">
        <f t="shared" si="86"/>
        <v>1830.7097275499998</v>
      </c>
      <c r="CC15" s="149">
        <f t="shared" si="86"/>
        <v>1885.6310193764998</v>
      </c>
      <c r="CD15" s="149">
        <f t="shared" si="86"/>
        <v>1942.1999499577948</v>
      </c>
      <c r="CE15" s="526"/>
      <c r="CF15" s="149">
        <f t="shared" si="34"/>
        <v>3270.2900000000004</v>
      </c>
      <c r="CG15" s="145">
        <f t="shared" si="83"/>
        <v>1701.5450000000005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0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323.56643954449032</v>
      </c>
      <c r="N16" s="66"/>
      <c r="O16" s="65">
        <v>226</v>
      </c>
      <c r="P16" s="66">
        <f t="shared" si="74"/>
        <v>2.2928333739144552E-3</v>
      </c>
      <c r="Q16" s="77">
        <f t="shared" si="75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0</v>
      </c>
      <c r="W16" s="77"/>
      <c r="X16" s="75">
        <v>3794</v>
      </c>
      <c r="Y16" s="77">
        <f t="shared" si="76"/>
        <v>0</v>
      </c>
      <c r="Z16" s="77"/>
      <c r="AA16" s="65"/>
      <c r="AB16" s="65"/>
      <c r="AC16" s="77">
        <f t="shared" si="10"/>
        <v>519.51683333333335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0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134.74017002242445</v>
      </c>
      <c r="AQ16" s="77">
        <f t="shared" si="17"/>
        <v>977.8234429002481</v>
      </c>
      <c r="AR16" s="144">
        <f t="shared" si="18"/>
        <v>3.8649147940721269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7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88">SUM($BA16-SUM($BA16*0.1))</f>
        <v>1176.1962568020001</v>
      </c>
      <c r="BI16" s="149">
        <f t="shared" ref="BI16:BL16" si="89">SUM(BH16-SUM($BZ16*0.1))</f>
        <v>1058.5766311218001</v>
      </c>
      <c r="BJ16" s="149">
        <f t="shared" si="89"/>
        <v>940.95700544160013</v>
      </c>
      <c r="BK16" s="149">
        <f t="shared" si="89"/>
        <v>823.33737976140014</v>
      </c>
      <c r="BL16" s="149">
        <f t="shared" si="89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0">SUM(BQ16-SUM($BZ16*0.1))</f>
        <v>1058.5766311218001</v>
      </c>
      <c r="BS16" s="149">
        <f t="shared" si="90"/>
        <v>940.95700544160013</v>
      </c>
      <c r="BT16" s="149">
        <f t="shared" ref="BT16:BU16" si="91">SUM(BS16*1.03)</f>
        <v>969.18571560484816</v>
      </c>
      <c r="BU16" s="149">
        <f t="shared" si="91"/>
        <v>998.26128707299358</v>
      </c>
      <c r="BV16" s="526"/>
      <c r="BW16" s="527">
        <f t="shared" ref="BW16:BW17" si="92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3">SUM(BZ16-SUM($BZ16*0.1))</f>
        <v>1058.5766311218001</v>
      </c>
      <c r="CB16" s="149">
        <f t="shared" si="93"/>
        <v>940.95700544160013</v>
      </c>
      <c r="CC16" s="149">
        <f t="shared" si="93"/>
        <v>823.33737976140014</v>
      </c>
      <c r="CD16" s="149">
        <f t="shared" si="93"/>
        <v>705.71775408120016</v>
      </c>
      <c r="CE16" s="526"/>
      <c r="CF16" s="149">
        <f t="shared" si="34"/>
        <v>744.09</v>
      </c>
      <c r="CG16" s="145">
        <f t="shared" si="83"/>
        <v>-562.79472978000001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0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1075.3691935916042</v>
      </c>
      <c r="N17" s="66"/>
      <c r="O17" s="65">
        <v>760</v>
      </c>
      <c r="P17" s="66">
        <f t="shared" si="74"/>
        <v>7.7104131158185216E-3</v>
      </c>
      <c r="Q17" s="77">
        <f t="shared" si="75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0</v>
      </c>
      <c r="W17" s="77"/>
      <c r="X17" s="75">
        <v>5205</v>
      </c>
      <c r="Y17" s="77">
        <f t="shared" si="76"/>
        <v>0</v>
      </c>
      <c r="Z17" s="77"/>
      <c r="AA17" s="65"/>
      <c r="AB17" s="65"/>
      <c r="AC17" s="77">
        <f t="shared" si="10"/>
        <v>519.51683333333335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0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437.92801780904807</v>
      </c>
      <c r="AQ17" s="77">
        <f t="shared" si="17"/>
        <v>2032.8140447339856</v>
      </c>
      <c r="AR17" s="144">
        <f t="shared" si="18"/>
        <v>8.0348381214782041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7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88"/>
        <v>1411.4355081624003</v>
      </c>
      <c r="BI17" s="149">
        <f>SUM(BH17-SUM($BZ17*0.1))</f>
        <v>1222.0350710884029</v>
      </c>
      <c r="BJ17" s="149">
        <f t="shared" ref="BJ17:BL17" si="94">SUM(BI17*1.03)</f>
        <v>1258.6961232210551</v>
      </c>
      <c r="BK17" s="149">
        <f t="shared" si="94"/>
        <v>1296.4570069176868</v>
      </c>
      <c r="BL17" s="149">
        <f t="shared" si="94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5">SUM(BQ17*1.03)</f>
        <v>1365.1002000000001</v>
      </c>
      <c r="BS17" s="149">
        <f t="shared" si="95"/>
        <v>1406.053206</v>
      </c>
      <c r="BT17" s="149">
        <f t="shared" si="95"/>
        <v>1448.2348021800001</v>
      </c>
      <c r="BU17" s="149">
        <f t="shared" si="95"/>
        <v>1491.6818462454</v>
      </c>
      <c r="BV17" s="526"/>
      <c r="BW17" s="527">
        <f t="shared" si="92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6">SUM(BZ17*1.03)</f>
        <v>1950.8245018621731</v>
      </c>
      <c r="CB17" s="149">
        <f t="shared" si="96"/>
        <v>2009.3492369180383</v>
      </c>
      <c r="CC17" s="149">
        <f t="shared" si="96"/>
        <v>2069.6297140255797</v>
      </c>
      <c r="CD17" s="149">
        <f t="shared" si="96"/>
        <v>2131.7186054463473</v>
      </c>
      <c r="CE17" s="526"/>
      <c r="CF17" s="149">
        <f t="shared" si="34"/>
        <v>1088.17</v>
      </c>
      <c r="CG17" s="145">
        <f t="shared" si="83"/>
        <v>-480.0916757360003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0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3013.5822259685165</v>
      </c>
      <c r="N18" s="66"/>
      <c r="O18" s="65">
        <v>2466</v>
      </c>
      <c r="P18" s="66">
        <f t="shared" si="74"/>
        <v>2.501826150474799E-2</v>
      </c>
      <c r="Q18" s="77">
        <f t="shared" si="75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0</v>
      </c>
      <c r="W18" s="77"/>
      <c r="X18" s="75">
        <v>14316</v>
      </c>
      <c r="Y18" s="77">
        <f t="shared" si="76"/>
        <v>0</v>
      </c>
      <c r="Z18" s="77"/>
      <c r="AA18" s="65"/>
      <c r="AB18" s="65"/>
      <c r="AC18" s="77">
        <f t="shared" si="10"/>
        <v>519.51683333333335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0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302.57335702336178</v>
      </c>
      <c r="AQ18" s="77">
        <f t="shared" si="17"/>
        <v>3835.6724163252115</v>
      </c>
      <c r="AR18" s="144">
        <f t="shared" si="18"/>
        <v>15.160760538834829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7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7">SUM(BI18*1.03)</f>
        <v>6636.5475000000006</v>
      </c>
      <c r="BK18" s="149">
        <f t="shared" si="97"/>
        <v>6835.6439250000012</v>
      </c>
      <c r="BL18" s="149">
        <f t="shared" si="97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98">SUM(BQ18*1.03)</f>
        <v>6033.2250000000004</v>
      </c>
      <c r="BS18" s="149">
        <f t="shared" si="98"/>
        <v>6214.2217500000006</v>
      </c>
      <c r="BT18" s="149">
        <f t="shared" si="98"/>
        <v>6400.6484025000009</v>
      </c>
      <c r="BU18" s="149">
        <f t="shared" si="98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99">SUM(CA18*1.03)</f>
        <v>6636.5475000000006</v>
      </c>
      <c r="CC18" s="149">
        <f t="shared" si="99"/>
        <v>6835.6439250000012</v>
      </c>
      <c r="CD18" s="149">
        <f t="shared" si="99"/>
        <v>7040.7132427500019</v>
      </c>
      <c r="CE18" s="526"/>
      <c r="CF18" s="149">
        <f t="shared" si="34"/>
        <v>7144.76</v>
      </c>
      <c r="CG18" s="145">
        <f t="shared" si="83"/>
        <v>1819.7600000000002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0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33.221308138885782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0</v>
      </c>
      <c r="W19" s="65"/>
      <c r="X19" s="75"/>
      <c r="Y19" s="76"/>
      <c r="Z19" s="65"/>
      <c r="AA19" s="65"/>
      <c r="AB19" s="65"/>
      <c r="AC19" s="77">
        <f t="shared" si="10"/>
        <v>519.51683333333335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0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-21.151887094669153</v>
      </c>
      <c r="AQ19" s="77">
        <f t="shared" si="17"/>
        <v>531.58625437754995</v>
      </c>
      <c r="AR19" s="144">
        <f t="shared" si="18"/>
        <v>2.1011314402274701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7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526"/>
      <c r="CF19" s="149">
        <f t="shared" si="34"/>
        <v>2437.63</v>
      </c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0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4881.711950764764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0</v>
      </c>
      <c r="W20" s="65"/>
      <c r="X20" s="75">
        <v>22723</v>
      </c>
      <c r="Y20" s="77">
        <f t="shared" ref="Y20:Y21" si="100">SUM(X20*$Y$62)</f>
        <v>0</v>
      </c>
      <c r="Z20" s="65"/>
      <c r="AA20" s="65"/>
      <c r="AB20" s="65"/>
      <c r="AC20" s="77">
        <f t="shared" si="10"/>
        <v>519.51683333333335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0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1456.3996342678831</v>
      </c>
      <c r="AQ20" s="77">
        <f t="shared" si="17"/>
        <v>6857.62841836598</v>
      </c>
      <c r="AR20" s="144">
        <f t="shared" si="18"/>
        <v>27.105250665478181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7"/>
        <v>5325</v>
      </c>
      <c r="BB20" s="533">
        <f t="shared" ref="BB20:BB30" si="101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2">SUM(K20*$BE$2)</f>
        <v>2967.8033333333333</v>
      </c>
      <c r="BF20" s="523">
        <f t="shared" ref="BF20:BF30" si="103">SUM(BE20-BA20)</f>
        <v>-2357.1966666666667</v>
      </c>
      <c r="BG20" s="44">
        <f t="shared" ref="BG20:BG30" si="104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5">SUM(BI20*1.03)</f>
        <v>6636.5475000000006</v>
      </c>
      <c r="BK20" s="149">
        <f t="shared" si="105"/>
        <v>6835.6439250000012</v>
      </c>
      <c r="BL20" s="149">
        <f t="shared" si="105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6">SUM(BQ20*1.03)</f>
        <v>6033.2250000000004</v>
      </c>
      <c r="BS20" s="149">
        <f t="shared" si="106"/>
        <v>6214.2217500000006</v>
      </c>
      <c r="BT20" s="149">
        <f t="shared" si="106"/>
        <v>6400.6484025000009</v>
      </c>
      <c r="BU20" s="149">
        <f t="shared" si="106"/>
        <v>6592.667854575001</v>
      </c>
      <c r="BV20" s="526"/>
      <c r="BW20" s="527">
        <f>SUM(L20*$BA$63)</f>
        <v>6555.1565319203137</v>
      </c>
      <c r="BX20" s="523">
        <f t="shared" ref="BX20:BX30" si="107">SUM(BW20-$BA20)</f>
        <v>1230.1565319203137</v>
      </c>
      <c r="BY20" s="44">
        <f t="shared" ref="BY20:BY30" si="108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09">SUM(CA20*1.03)</f>
        <v>6636.5475000000006</v>
      </c>
      <c r="CC20" s="149">
        <f t="shared" si="109"/>
        <v>6835.6439250000012</v>
      </c>
      <c r="CD20" s="149">
        <f t="shared" si="109"/>
        <v>7040.7132427500019</v>
      </c>
      <c r="CE20" s="526"/>
      <c r="CF20" s="149">
        <f t="shared" si="34"/>
        <v>5462.27</v>
      </c>
      <c r="CG20" s="145">
        <f t="shared" ref="CG20:CG21" si="110">SUM(CF20-BA20)</f>
        <v>137.27000000000044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0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273.50693412973089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0</v>
      </c>
      <c r="W21" s="77"/>
      <c r="X21" s="75">
        <v>2528</v>
      </c>
      <c r="Y21" s="77">
        <f t="shared" si="100"/>
        <v>0</v>
      </c>
      <c r="Z21" s="77"/>
      <c r="AA21" s="65"/>
      <c r="AB21" s="65"/>
      <c r="AC21" s="77">
        <f t="shared" si="10"/>
        <v>519.51683333333335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0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234.2986782625203</v>
      </c>
      <c r="AQ21" s="77">
        <f t="shared" si="17"/>
        <v>1027.3224457255847</v>
      </c>
      <c r="AR21" s="144">
        <f t="shared" si="18"/>
        <v>4.0605630265833383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7"/>
        <v>1306.88472978</v>
      </c>
      <c r="BB21" s="525">
        <f t="shared" si="101"/>
        <v>6.5235510637936773</v>
      </c>
      <c r="BC21" s="22"/>
      <c r="BD21" s="46"/>
      <c r="BE21" s="146">
        <f t="shared" si="102"/>
        <v>166.27666666666667</v>
      </c>
      <c r="BF21" s="523">
        <f t="shared" si="103"/>
        <v>-1140.6080631133334</v>
      </c>
      <c r="BG21" s="44">
        <f t="shared" si="104"/>
        <v>-6.8597000768598519</v>
      </c>
      <c r="BH21" s="149">
        <f>SUM($BA21-SUM($BA21*0.1))</f>
        <v>1176.1962568020001</v>
      </c>
      <c r="BI21" s="149">
        <f t="shared" ref="BI21:BL21" si="111">SUM(BH21-SUM($BZ21*0.1))</f>
        <v>1058.5766311218001</v>
      </c>
      <c r="BJ21" s="149">
        <f t="shared" si="111"/>
        <v>940.95700544160013</v>
      </c>
      <c r="BK21" s="149">
        <f t="shared" si="111"/>
        <v>823.33737976140014</v>
      </c>
      <c r="BL21" s="149">
        <f t="shared" si="111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2">SUM(BQ21-SUM($BZ21*0.1))</f>
        <v>1058.5766311218001</v>
      </c>
      <c r="BS21" s="149">
        <f t="shared" si="112"/>
        <v>940.95700544160013</v>
      </c>
      <c r="BT21" s="149">
        <f t="shared" si="112"/>
        <v>823.33737976140014</v>
      </c>
      <c r="BU21" s="149">
        <f>SUM(BT21*1.03)</f>
        <v>848.03750115424214</v>
      </c>
      <c r="BV21" s="526"/>
      <c r="BW21" s="527">
        <f t="shared" ref="BW21:BW22" si="113">SUM(L21*$BA$63)+$BW$2</f>
        <v>817.2647595491851</v>
      </c>
      <c r="BX21" s="523">
        <f t="shared" si="107"/>
        <v>-489.61997023081494</v>
      </c>
      <c r="BY21" s="44">
        <f t="shared" si="108"/>
        <v>-0.59909590436873394</v>
      </c>
      <c r="BZ21" s="149">
        <f>SUM($BA21-SUM($BA21*0.1))</f>
        <v>1176.1962568020001</v>
      </c>
      <c r="CA21" s="149">
        <f t="shared" ref="CA21:CD21" si="114">SUM(BZ21-SUM($BZ21*0.1))</f>
        <v>1058.5766311218001</v>
      </c>
      <c r="CB21" s="149">
        <f t="shared" si="114"/>
        <v>940.95700544160013</v>
      </c>
      <c r="CC21" s="149">
        <f t="shared" si="114"/>
        <v>823.33737976140014</v>
      </c>
      <c r="CD21" s="149">
        <f t="shared" si="114"/>
        <v>705.71775408120016</v>
      </c>
      <c r="CE21" s="526"/>
      <c r="CF21" s="149">
        <f t="shared" si="34"/>
        <v>1030.2</v>
      </c>
      <c r="CG21" s="145">
        <f t="shared" si="110"/>
        <v>-276.68472978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2.7305184771686948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0</v>
      </c>
      <c r="W22" s="65"/>
      <c r="X22" s="75"/>
      <c r="Y22" s="76"/>
      <c r="Z22" s="65"/>
      <c r="AA22" s="65"/>
      <c r="AB22" s="65"/>
      <c r="AC22" s="77">
        <f t="shared" si="10"/>
        <v>519.51683333333335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-25.334732389687126</v>
      </c>
      <c r="AQ22" s="77">
        <f t="shared" si="17"/>
        <v>496.91261942081496</v>
      </c>
      <c r="AR22" s="144">
        <f t="shared" si="18"/>
        <v>1.9640814996870157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7"/>
        <v>392.06541893400009</v>
      </c>
      <c r="BB22" s="45">
        <f t="shared" si="101"/>
        <v>196.03270946700005</v>
      </c>
      <c r="BC22" s="22"/>
      <c r="BD22" s="46"/>
      <c r="BE22" s="146">
        <f t="shared" si="102"/>
        <v>1.66</v>
      </c>
      <c r="BF22" s="523">
        <f t="shared" si="103"/>
        <v>-390.40541893400007</v>
      </c>
      <c r="BG22" s="44">
        <f t="shared" si="104"/>
        <v>-235.18398730963861</v>
      </c>
      <c r="BH22" s="149">
        <f t="shared" ref="BH22:BH23" si="115">SUM($BA22+SUM($BA22*0.1))</f>
        <v>431.27196082740011</v>
      </c>
      <c r="BI22" s="149">
        <f t="shared" ref="BI22:BL22" si="116">SUM(BH22*1.03)</f>
        <v>444.21011965222215</v>
      </c>
      <c r="BJ22" s="149">
        <f t="shared" si="116"/>
        <v>457.53642324178884</v>
      </c>
      <c r="BK22" s="149">
        <f t="shared" si="116"/>
        <v>471.26251593904254</v>
      </c>
      <c r="BL22" s="149">
        <f t="shared" si="116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17">SUM($BA22+SUM($BA22*0.1))</f>
        <v>431.27196082740011</v>
      </c>
      <c r="BR22" s="149">
        <f t="shared" ref="BR22:BU22" si="118">SUM(BQ22*1.03)</f>
        <v>444.21011965222215</v>
      </c>
      <c r="BS22" s="149">
        <f t="shared" si="118"/>
        <v>457.53642324178884</v>
      </c>
      <c r="BT22" s="149">
        <f t="shared" si="118"/>
        <v>471.26251593904254</v>
      </c>
      <c r="BU22" s="149">
        <f t="shared" si="118"/>
        <v>485.40039141721383</v>
      </c>
      <c r="BV22" s="526"/>
      <c r="BW22" s="527">
        <f t="shared" si="113"/>
        <v>453.66653670099021</v>
      </c>
      <c r="BX22" s="523">
        <f t="shared" si="107"/>
        <v>61.601117766990114</v>
      </c>
      <c r="BY22" s="44">
        <f t="shared" si="108"/>
        <v>0.13578501560848241</v>
      </c>
      <c r="BZ22" s="149">
        <f t="shared" ref="BZ22:BZ23" si="119">SUM($BA22+SUM($BA22*0.1))</f>
        <v>431.27196082740011</v>
      </c>
      <c r="CA22" s="149">
        <f t="shared" ref="CA22:CD22" si="120">SUM(BZ22*1.03)</f>
        <v>444.21011965222215</v>
      </c>
      <c r="CB22" s="149">
        <f t="shared" si="120"/>
        <v>457.53642324178884</v>
      </c>
      <c r="CC22" s="149">
        <f t="shared" si="120"/>
        <v>471.26251593904254</v>
      </c>
      <c r="CD22" s="149">
        <f t="shared" si="120"/>
        <v>485.40039141721383</v>
      </c>
      <c r="CE22" s="526"/>
      <c r="CF22" s="149">
        <f t="shared" si="34"/>
        <v>2023.0000000000002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0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10139.780364965947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0</v>
      </c>
      <c r="W23" s="77"/>
      <c r="X23" s="75">
        <v>38682</v>
      </c>
      <c r="Y23" s="77">
        <f>SUM(X23*$Y$62)</f>
        <v>0</v>
      </c>
      <c r="Z23" s="77"/>
      <c r="AA23" s="65"/>
      <c r="AB23" s="65"/>
      <c r="AC23" s="77">
        <f t="shared" si="10"/>
        <v>519.51683333333335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0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2435.4049378285063</v>
      </c>
      <c r="AQ23" s="77">
        <f t="shared" si="17"/>
        <v>13094.702136127788</v>
      </c>
      <c r="AR23" s="144">
        <f t="shared" si="18"/>
        <v>51.757715953074261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7"/>
        <v>13068.847297800003</v>
      </c>
      <c r="BB23" s="45">
        <f t="shared" si="101"/>
        <v>1.7596401370405281</v>
      </c>
      <c r="BC23" s="22"/>
      <c r="BD23" s="46"/>
      <c r="BE23" s="146">
        <f t="shared" si="102"/>
        <v>6164.41</v>
      </c>
      <c r="BF23" s="523">
        <f t="shared" si="103"/>
        <v>-6904.4372978000029</v>
      </c>
      <c r="BG23" s="44">
        <f t="shared" si="104"/>
        <v>-1.1200483578801546</v>
      </c>
      <c r="BH23" s="149">
        <f t="shared" si="115"/>
        <v>14375.732027580003</v>
      </c>
      <c r="BI23" s="149">
        <f t="shared" ref="BI23:BL23" si="121">SUM(BH23+SUM($BZ23*0.1))</f>
        <v>15813.305230338003</v>
      </c>
      <c r="BJ23" s="149">
        <f t="shared" si="121"/>
        <v>17250.878433096004</v>
      </c>
      <c r="BK23" s="149">
        <f t="shared" si="121"/>
        <v>18688.451635854006</v>
      </c>
      <c r="BL23" s="149">
        <f t="shared" si="121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17"/>
        <v>14375.732027580003</v>
      </c>
      <c r="BR23" s="149">
        <f t="shared" ref="BR23:BS23" si="122">SUM(BQ23+SUM($BZ23*0.1))</f>
        <v>15813.305230338003</v>
      </c>
      <c r="BS23" s="149">
        <f t="shared" si="122"/>
        <v>17250.878433096004</v>
      </c>
      <c r="BT23" s="149">
        <f t="shared" ref="BT23:BU23" si="123">SUM(BS23*1.03)</f>
        <v>17768.404786088886</v>
      </c>
      <c r="BU23" s="149">
        <f t="shared" si="123"/>
        <v>18301.456929671553</v>
      </c>
      <c r="BV23" s="526"/>
      <c r="BW23" s="527">
        <f>SUM(L23*$BA$63)</f>
        <v>13615.684039127111</v>
      </c>
      <c r="BX23" s="523">
        <f t="shared" si="107"/>
        <v>546.83674132710803</v>
      </c>
      <c r="BY23" s="44">
        <f t="shared" si="108"/>
        <v>4.0162267261466593E-2</v>
      </c>
      <c r="BZ23" s="149">
        <f t="shared" si="119"/>
        <v>14375.732027580003</v>
      </c>
      <c r="CA23" s="149">
        <f t="shared" ref="CA23:CD23" si="124">SUM(BZ23+SUM($BZ23*0.1))</f>
        <v>15813.305230338003</v>
      </c>
      <c r="CB23" s="149">
        <f t="shared" si="124"/>
        <v>17250.878433096004</v>
      </c>
      <c r="CC23" s="149">
        <f t="shared" si="124"/>
        <v>18688.451635854006</v>
      </c>
      <c r="CD23" s="149">
        <f t="shared" si="124"/>
        <v>20126.024838612007</v>
      </c>
      <c r="CE23" s="526"/>
      <c r="CF23" s="149">
        <f t="shared" si="34"/>
        <v>5974.6500000000005</v>
      </c>
      <c r="CG23" s="145">
        <f>SUM(CF23-BA23)</f>
        <v>-7094.1972978000022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0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577.95974433404035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0</v>
      </c>
      <c r="W24" s="65"/>
      <c r="X24" s="75"/>
      <c r="Y24" s="76"/>
      <c r="Z24" s="65"/>
      <c r="AA24" s="65"/>
      <c r="AB24" s="65"/>
      <c r="AC24" s="77">
        <f t="shared" si="10"/>
        <v>519.51683333333335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0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44.844704744729064</v>
      </c>
      <c r="AQ24" s="77">
        <f t="shared" si="17"/>
        <v>1142.3212824121028</v>
      </c>
      <c r="AR24" s="144">
        <f t="shared" si="18"/>
        <v>4.5151038830517898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7"/>
        <v>1306.88472978</v>
      </c>
      <c r="BB24" s="45">
        <f t="shared" si="101"/>
        <v>3.0871292829448822</v>
      </c>
      <c r="BC24" s="22"/>
      <c r="BD24" s="46"/>
      <c r="BE24" s="146">
        <f t="shared" si="102"/>
        <v>351.36666666666662</v>
      </c>
      <c r="BF24" s="523">
        <f t="shared" si="103"/>
        <v>-955.51806311333348</v>
      </c>
      <c r="BG24" s="44">
        <f t="shared" si="104"/>
        <v>-2.719432871017931</v>
      </c>
      <c r="BH24" s="149">
        <f>SUM($BA24-SUM($BA24*0.1))</f>
        <v>1176.1962568020001</v>
      </c>
      <c r="BI24" s="149">
        <f t="shared" ref="BI24:BL24" si="125">SUM(BH24-SUM($BZ24*0.1))</f>
        <v>1058.5766311218001</v>
      </c>
      <c r="BJ24" s="149">
        <f t="shared" si="125"/>
        <v>940.95700544160013</v>
      </c>
      <c r="BK24" s="149">
        <f t="shared" si="125"/>
        <v>823.33737976140014</v>
      </c>
      <c r="BL24" s="149">
        <f t="shared" si="125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6">SUM(BR24*1.03)</f>
        <v>1090.3339300554542</v>
      </c>
      <c r="BT24" s="149">
        <f t="shared" si="126"/>
        <v>1123.0439479571178</v>
      </c>
      <c r="BU24" s="149">
        <f t="shared" si="126"/>
        <v>1156.7352663958313</v>
      </c>
      <c r="BV24" s="526"/>
      <c r="BW24" s="527">
        <f>SUM(L24*$BA$63)+$BW$2</f>
        <v>1226.0836017095926</v>
      </c>
      <c r="BX24" s="523">
        <f t="shared" si="107"/>
        <v>-80.801128070407458</v>
      </c>
      <c r="BY24" s="44">
        <f t="shared" si="108"/>
        <v>-6.5901809597438715E-2</v>
      </c>
      <c r="BZ24" s="149">
        <f>SUM($BA24-SUM($BA24*0.1))</f>
        <v>1176.1962568020001</v>
      </c>
      <c r="CA24" s="149">
        <f t="shared" ref="CA24:CD24" si="127">SUM(BZ24-SUM($BZ24*0.1))</f>
        <v>1058.5766311218001</v>
      </c>
      <c r="CB24" s="149">
        <f t="shared" si="127"/>
        <v>940.95700544160013</v>
      </c>
      <c r="CC24" s="149">
        <f t="shared" si="127"/>
        <v>823.33737976140014</v>
      </c>
      <c r="CD24" s="149">
        <f t="shared" si="127"/>
        <v>705.71775408120016</v>
      </c>
      <c r="CE24" s="526"/>
      <c r="CF24" s="149">
        <f t="shared" si="34"/>
        <v>1402.67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0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14712.488641397787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0</v>
      </c>
      <c r="W25" s="77"/>
      <c r="X25" s="75">
        <v>75861</v>
      </c>
      <c r="Y25" s="77">
        <f>SUM(X25*$Y$62)</f>
        <v>0</v>
      </c>
      <c r="Z25" s="77"/>
      <c r="AA25" s="65"/>
      <c r="AB25" s="65"/>
      <c r="AC25" s="77">
        <f t="shared" si="10"/>
        <v>519.51683333333335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0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4828.3887720536759</v>
      </c>
      <c r="AQ25" s="77">
        <f t="shared" si="17"/>
        <v>20060.394246784796</v>
      </c>
      <c r="AR25" s="144">
        <f t="shared" si="18"/>
        <v>79.290095837094057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7"/>
        <v>13068.847297800003</v>
      </c>
      <c r="BB25" s="45">
        <f t="shared" si="101"/>
        <v>1.2127359922484457</v>
      </c>
      <c r="BC25" s="22"/>
      <c r="BD25" s="46"/>
      <c r="BE25" s="146">
        <f t="shared" si="102"/>
        <v>8944.3566666666666</v>
      </c>
      <c r="BF25" s="523">
        <f t="shared" si="103"/>
        <v>-4124.4906311333361</v>
      </c>
      <c r="BG25" s="44">
        <f t="shared" si="104"/>
        <v>-0.46112770150415172</v>
      </c>
      <c r="BH25" s="149">
        <f>SUM($BA25+SUM($BA25*0.1))</f>
        <v>14375.732027580003</v>
      </c>
      <c r="BI25" s="149">
        <f t="shared" ref="BI25:BL25" si="128">SUM(BH25+SUM($BZ25*0.1))</f>
        <v>15813.305230338003</v>
      </c>
      <c r="BJ25" s="149">
        <f t="shared" si="128"/>
        <v>17250.878433096004</v>
      </c>
      <c r="BK25" s="149">
        <f t="shared" si="128"/>
        <v>18688.451635854006</v>
      </c>
      <c r="BL25" s="149">
        <f t="shared" si="128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29">SUM(BQ25+SUM($BZ25*0.1))</f>
        <v>15813.305230338003</v>
      </c>
      <c r="BS25" s="149">
        <f t="shared" si="129"/>
        <v>17250.878433096004</v>
      </c>
      <c r="BT25" s="149">
        <f t="shared" ref="BT25:BU25" si="130">SUM(BS25*1.03)</f>
        <v>17768.404786088886</v>
      </c>
      <c r="BU25" s="149">
        <f t="shared" si="130"/>
        <v>18301.456929671553</v>
      </c>
      <c r="BV25" s="526"/>
      <c r="BW25" s="527">
        <f>SUM(L25*$BA$63)</f>
        <v>19755.910834385366</v>
      </c>
      <c r="BX25" s="523">
        <f t="shared" si="107"/>
        <v>6687.0635365853632</v>
      </c>
      <c r="BY25" s="44">
        <f t="shared" si="108"/>
        <v>0.33848419304193561</v>
      </c>
      <c r="BZ25" s="149">
        <f>SUM($BA25+SUM($BA25*0.1))</f>
        <v>14375.732027580003</v>
      </c>
      <c r="CA25" s="149">
        <f t="shared" ref="CA25:CD25" si="131">SUM(BZ25+SUM($BZ25*0.1))</f>
        <v>15813.305230338003</v>
      </c>
      <c r="CB25" s="149">
        <f t="shared" si="131"/>
        <v>17250.878433096004</v>
      </c>
      <c r="CC25" s="149">
        <f t="shared" si="131"/>
        <v>18688.451635854006</v>
      </c>
      <c r="CD25" s="149">
        <f t="shared" si="131"/>
        <v>20126.024838612007</v>
      </c>
      <c r="CE25" s="526"/>
      <c r="CF25" s="149">
        <f t="shared" si="34"/>
        <v>13098.160000000002</v>
      </c>
      <c r="CG25" s="145">
        <f>SUM(CF25-BA25)</f>
        <v>29.312702199998967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0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3124.1682242938482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0</v>
      </c>
      <c r="W26" s="65"/>
      <c r="X26" s="75"/>
      <c r="Y26" s="76"/>
      <c r="Z26" s="65"/>
      <c r="AA26" s="65"/>
      <c r="AB26" s="65"/>
      <c r="AC26" s="77">
        <f t="shared" si="10"/>
        <v>519.51683333333335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0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69.426817982274002</v>
      </c>
      <c r="AQ26" s="77">
        <f t="shared" si="17"/>
        <v>3713.1118756094556</v>
      </c>
      <c r="AR26" s="144">
        <f t="shared" si="18"/>
        <v>14.676331524148045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7"/>
        <v>2613.7694595600001</v>
      </c>
      <c r="BB26" s="45">
        <f t="shared" si="101"/>
        <v>1.1422153501354697</v>
      </c>
      <c r="BC26" s="22"/>
      <c r="BD26" s="46"/>
      <c r="BE26" s="146">
        <f t="shared" si="102"/>
        <v>1899.3166666666666</v>
      </c>
      <c r="BF26" s="523">
        <f t="shared" si="103"/>
        <v>-714.45279289333348</v>
      </c>
      <c r="BG26" s="44">
        <f t="shared" si="104"/>
        <v>-0.37616307245237329</v>
      </c>
      <c r="BH26" s="149">
        <f t="shared" ref="BH26:BH28" si="132">SUM($BA26-SUM($BA26*0.1))</f>
        <v>2352.3925136040002</v>
      </c>
      <c r="BI26" s="149">
        <f t="shared" ref="BI26:BL26" si="133">SUM(BH26-SUM($BZ26*0.1))</f>
        <v>2117.1532622436002</v>
      </c>
      <c r="BJ26" s="149">
        <f t="shared" si="133"/>
        <v>1881.9140108832003</v>
      </c>
      <c r="BK26" s="149">
        <f t="shared" si="133"/>
        <v>1646.6747595228003</v>
      </c>
      <c r="BL26" s="149">
        <f t="shared" si="133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4">SUM(BQ26*1.03)</f>
        <v>2557.5734161794603</v>
      </c>
      <c r="BS26" s="149">
        <f t="shared" si="134"/>
        <v>2634.300618664844</v>
      </c>
      <c r="BT26" s="149">
        <f t="shared" si="134"/>
        <v>2713.3296372247896</v>
      </c>
      <c r="BU26" s="149">
        <f t="shared" si="134"/>
        <v>2794.7295263415335</v>
      </c>
      <c r="BV26" s="526"/>
      <c r="BW26" s="527">
        <f t="shared" ref="BW26:BW30" si="135">SUM(L26*$BA$63)+$BW$2</f>
        <v>4645.1290753829544</v>
      </c>
      <c r="BX26" s="523">
        <f t="shared" si="107"/>
        <v>2031.3596158229543</v>
      </c>
      <c r="BY26" s="44">
        <f t="shared" si="108"/>
        <v>0.43730961677431635</v>
      </c>
      <c r="BZ26" s="149">
        <f t="shared" ref="BZ26:BZ28" si="136">SUM($BA26-SUM($BA26*0.1))</f>
        <v>2352.3925136040002</v>
      </c>
      <c r="CA26" s="149">
        <f t="shared" ref="CA26:CD26" si="137">SUM(BZ26-SUM($BZ26*0.1))</f>
        <v>2117.1532622436002</v>
      </c>
      <c r="CB26" s="149">
        <f t="shared" si="137"/>
        <v>1881.9140108832003</v>
      </c>
      <c r="CC26" s="149">
        <f t="shared" si="137"/>
        <v>1646.6747595228003</v>
      </c>
      <c r="CD26" s="149">
        <f t="shared" si="137"/>
        <v>1411.4355081624003</v>
      </c>
      <c r="CE26" s="526"/>
      <c r="CF26" s="149">
        <f t="shared" si="34"/>
        <v>3325.3700000000003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0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175.20826895165791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0</v>
      </c>
      <c r="W27" s="65"/>
      <c r="X27" s="75"/>
      <c r="Y27" s="76"/>
      <c r="Z27" s="65"/>
      <c r="AA27" s="65"/>
      <c r="AB27" s="65"/>
      <c r="AC27" s="77">
        <f t="shared" si="10"/>
        <v>519.51683333333335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0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3.9916056618772471</v>
      </c>
      <c r="AQ27" s="77">
        <f t="shared" si="17"/>
        <v>698.7167079468685</v>
      </c>
      <c r="AR27" s="144">
        <f t="shared" si="18"/>
        <v>2.7617261183670689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7"/>
        <v>983.275177644</v>
      </c>
      <c r="BB27" s="45">
        <f t="shared" si="101"/>
        <v>7.6618845011220778</v>
      </c>
      <c r="BC27" s="22"/>
      <c r="BD27" s="46"/>
      <c r="BE27" s="146">
        <f t="shared" si="102"/>
        <v>106.51666666666667</v>
      </c>
      <c r="BF27" s="523">
        <f t="shared" si="103"/>
        <v>-876.75851097733334</v>
      </c>
      <c r="BG27" s="44">
        <f t="shared" si="104"/>
        <v>-8.2311861459302147</v>
      </c>
      <c r="BH27" s="149">
        <f t="shared" si="132"/>
        <v>884.9476598796</v>
      </c>
      <c r="BI27" s="149">
        <f t="shared" ref="BI27:BL27" si="138">SUM(BH27-SUM($BZ27*0.1))</f>
        <v>796.45289389163997</v>
      </c>
      <c r="BJ27" s="149">
        <f t="shared" si="138"/>
        <v>707.95812790367995</v>
      </c>
      <c r="BK27" s="149">
        <f t="shared" si="138"/>
        <v>619.46336191571993</v>
      </c>
      <c r="BL27" s="149">
        <f t="shared" si="138"/>
        <v>530.96859592775991</v>
      </c>
      <c r="BM27" s="46"/>
      <c r="BN27" s="146">
        <f t="shared" ref="BN27:BN28" si="139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0">SUM($BA27-SUM($BA27*0.1))</f>
        <v>884.9476598796</v>
      </c>
      <c r="BR27" s="149">
        <f t="shared" ref="BR27:BT27" si="141">SUM(BQ27-SUM($BZ27*0.1))</f>
        <v>796.45289389163997</v>
      </c>
      <c r="BS27" s="149">
        <f t="shared" si="141"/>
        <v>707.95812790367995</v>
      </c>
      <c r="BT27" s="149">
        <f t="shared" si="141"/>
        <v>619.46336191571993</v>
      </c>
      <c r="BU27" s="149">
        <f>SUM(BT27*1.03)</f>
        <v>638.04726277319151</v>
      </c>
      <c r="BV27" s="526"/>
      <c r="BW27" s="527">
        <f t="shared" si="135"/>
        <v>685.26943831353788</v>
      </c>
      <c r="BX27" s="523">
        <f t="shared" si="107"/>
        <v>-298.00573933046212</v>
      </c>
      <c r="BY27" s="44">
        <f t="shared" si="108"/>
        <v>-0.43487382140353487</v>
      </c>
      <c r="BZ27" s="149">
        <f t="shared" si="136"/>
        <v>884.9476598796</v>
      </c>
      <c r="CA27" s="149">
        <f t="shared" ref="CA27:CD27" si="142">SUM(BZ27-SUM($BZ27*0.1))</f>
        <v>796.45289389163997</v>
      </c>
      <c r="CB27" s="149">
        <f t="shared" si="142"/>
        <v>707.95812790367995</v>
      </c>
      <c r="CC27" s="149">
        <f t="shared" si="142"/>
        <v>619.46336191571993</v>
      </c>
      <c r="CD27" s="149">
        <f t="shared" si="142"/>
        <v>530.96859592775991</v>
      </c>
      <c r="CE27" s="526"/>
      <c r="CF27" s="149">
        <f t="shared" si="34"/>
        <v>1898.7300000000002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0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426.87105526403928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0</v>
      </c>
      <c r="W28" s="77"/>
      <c r="X28" s="75">
        <v>3629</v>
      </c>
      <c r="Y28" s="77">
        <f>SUM(X28*$Y$62)</f>
        <v>0</v>
      </c>
      <c r="Z28" s="77"/>
      <c r="AA28" s="65"/>
      <c r="AB28" s="65"/>
      <c r="AC28" s="77">
        <f t="shared" si="10"/>
        <v>519.51683333333335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0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225.14390357486087</v>
      </c>
      <c r="AQ28" s="77">
        <f t="shared" si="17"/>
        <v>1171.5317921722335</v>
      </c>
      <c r="AR28" s="144">
        <f t="shared" si="18"/>
        <v>4.6305604433685117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1"/>
        <v>5.0173081023454147</v>
      </c>
      <c r="BC28" s="22"/>
      <c r="BD28" s="46"/>
      <c r="BE28" s="146">
        <f t="shared" si="102"/>
        <v>259.51333333333332</v>
      </c>
      <c r="BF28" s="523">
        <f t="shared" si="103"/>
        <v>-1309.2316666666666</v>
      </c>
      <c r="BG28" s="44">
        <f t="shared" si="104"/>
        <v>-5.0449495208980908</v>
      </c>
      <c r="BH28" s="149">
        <f t="shared" si="132"/>
        <v>1411.8705</v>
      </c>
      <c r="BI28" s="149">
        <f t="shared" ref="BI28:BL28" si="143">SUM(BH28-SUM($BZ28*0.1))</f>
        <v>1270.68345</v>
      </c>
      <c r="BJ28" s="149">
        <f t="shared" si="143"/>
        <v>1129.4964</v>
      </c>
      <c r="BK28" s="149">
        <f t="shared" si="143"/>
        <v>988.30934999999999</v>
      </c>
      <c r="BL28" s="149">
        <f t="shared" si="143"/>
        <v>847.1223</v>
      </c>
      <c r="BM28" s="46"/>
      <c r="BN28" s="146">
        <f t="shared" si="139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0"/>
        <v>1411.8705</v>
      </c>
      <c r="BR28" s="149">
        <f t="shared" ref="BR28:BS28" si="144">SUM(BQ28-SUM($BZ28*0.1))</f>
        <v>1270.68345</v>
      </c>
      <c r="BS28" s="149">
        <f t="shared" si="144"/>
        <v>1129.4964</v>
      </c>
      <c r="BT28" s="149">
        <f t="shared" ref="BT28:BU28" si="145">SUM(BS28*1.03)</f>
        <v>1163.381292</v>
      </c>
      <c r="BU28" s="149">
        <f t="shared" si="145"/>
        <v>1198.28273076</v>
      </c>
      <c r="BV28" s="526"/>
      <c r="BW28" s="527">
        <f t="shared" si="135"/>
        <v>1023.2019042548014</v>
      </c>
      <c r="BX28" s="523">
        <f t="shared" si="107"/>
        <v>-545.54309574519846</v>
      </c>
      <c r="BY28" s="44">
        <f t="shared" si="108"/>
        <v>-0.53317247893759323</v>
      </c>
      <c r="BZ28" s="149">
        <f t="shared" si="136"/>
        <v>1411.8705</v>
      </c>
      <c r="CA28" s="149">
        <f t="shared" ref="CA28:CD28" si="146">SUM(BZ28-SUM($BZ28*0.1))</f>
        <v>1270.68345</v>
      </c>
      <c r="CB28" s="149">
        <f t="shared" si="146"/>
        <v>1129.4964</v>
      </c>
      <c r="CC28" s="149">
        <f t="shared" si="146"/>
        <v>988.30934999999999</v>
      </c>
      <c r="CD28" s="149">
        <f t="shared" si="146"/>
        <v>847.1223</v>
      </c>
      <c r="CE28" s="526"/>
      <c r="CF28" s="149">
        <f t="shared" si="34"/>
        <v>680</v>
      </c>
      <c r="CG28" s="145">
        <f>SUM(CF28-BA28)</f>
        <v>-888.74499999999989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2.7305184771686948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0</v>
      </c>
      <c r="W29" s="65"/>
      <c r="X29" s="75"/>
      <c r="Y29" s="76"/>
      <c r="Z29" s="65"/>
      <c r="AA29" s="65"/>
      <c r="AB29" s="65"/>
      <c r="AC29" s="77">
        <f t="shared" si="10"/>
        <v>519.51683333333335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0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42.992394670336843</v>
      </c>
      <c r="AQ29" s="77">
        <f t="shared" si="17"/>
        <v>565.2397464808389</v>
      </c>
      <c r="AR29" s="144">
        <f t="shared" si="18"/>
        <v>2.2341491955764385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47">SUM(AY29*(1+$BA$2))</f>
        <v>392.06541893400009</v>
      </c>
      <c r="BB29" s="45">
        <f t="shared" si="101"/>
        <v>196.03270946700005</v>
      </c>
      <c r="BC29" s="22"/>
      <c r="BD29" s="46"/>
      <c r="BE29" s="146">
        <f t="shared" si="102"/>
        <v>1.66</v>
      </c>
      <c r="BF29" s="523">
        <f t="shared" si="103"/>
        <v>-390.40541893400007</v>
      </c>
      <c r="BG29" s="44">
        <f t="shared" si="104"/>
        <v>-235.18398730963861</v>
      </c>
      <c r="BH29" s="149">
        <f>SUM($BA29+SUM($BA29*0.1))</f>
        <v>431.27196082740011</v>
      </c>
      <c r="BI29" s="149">
        <f t="shared" ref="BI29:BL29" si="148">SUM(BH29*1.03)</f>
        <v>444.21011965222215</v>
      </c>
      <c r="BJ29" s="149">
        <f t="shared" si="148"/>
        <v>457.53642324178884</v>
      </c>
      <c r="BK29" s="149">
        <f t="shared" si="148"/>
        <v>471.26251593904254</v>
      </c>
      <c r="BL29" s="149">
        <f t="shared" si="148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0"/>
        <v>352.85887704060008</v>
      </c>
      <c r="BR29" s="149">
        <f t="shared" ref="BR29:BT29" si="149">SUM(BQ29-SUM($BZ29*0.1))</f>
        <v>309.73168095786008</v>
      </c>
      <c r="BS29" s="149">
        <f t="shared" si="149"/>
        <v>266.60448487512008</v>
      </c>
      <c r="BT29" s="149">
        <f t="shared" si="149"/>
        <v>223.47728879238008</v>
      </c>
      <c r="BU29" s="149">
        <f>SUM(BT29*1.03)</f>
        <v>230.18160745615148</v>
      </c>
      <c r="BV29" s="526"/>
      <c r="BW29" s="527">
        <f t="shared" si="135"/>
        <v>453.66653670099021</v>
      </c>
      <c r="BX29" s="523">
        <f t="shared" si="107"/>
        <v>61.601117766990114</v>
      </c>
      <c r="BY29" s="44">
        <f t="shared" si="108"/>
        <v>0.13578501560848241</v>
      </c>
      <c r="BZ29" s="149">
        <f>SUM($BA29+SUM($BA29*0.1))</f>
        <v>431.27196082740011</v>
      </c>
      <c r="CA29" s="149">
        <f t="shared" ref="CA29:CD29" si="150">SUM(BZ29*1.03)</f>
        <v>444.21011965222215</v>
      </c>
      <c r="CB29" s="149">
        <f t="shared" si="150"/>
        <v>457.53642324178884</v>
      </c>
      <c r="CC29" s="149">
        <f t="shared" si="150"/>
        <v>471.26251593904254</v>
      </c>
      <c r="CD29" s="149">
        <f t="shared" si="150"/>
        <v>485.40039141721383</v>
      </c>
      <c r="CE29" s="526"/>
      <c r="CF29" s="149">
        <f t="shared" si="34"/>
        <v>332.18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0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869.21504856536774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0</v>
      </c>
      <c r="W30" s="77"/>
      <c r="X30" s="75">
        <v>9004</v>
      </c>
      <c r="Y30" s="77">
        <f>SUM(X30*$Y$62)</f>
        <v>0</v>
      </c>
      <c r="Z30" s="77"/>
      <c r="AA30" s="65"/>
      <c r="AB30" s="65"/>
      <c r="AC30" s="77">
        <f t="shared" si="10"/>
        <v>519.51683333333335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0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753.1619083919652</v>
      </c>
      <c r="AQ30" s="77">
        <f t="shared" si="17"/>
        <v>2141.8937902906664</v>
      </c>
      <c r="AR30" s="144">
        <f t="shared" si="18"/>
        <v>8.4659833608326736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47"/>
        <v>1568.7449999999999</v>
      </c>
      <c r="BB30" s="525">
        <f t="shared" si="101"/>
        <v>2.4639973821989529</v>
      </c>
      <c r="BC30" s="22"/>
      <c r="BD30" s="46"/>
      <c r="BE30" s="146">
        <f t="shared" si="102"/>
        <v>528.43333333333328</v>
      </c>
      <c r="BF30" s="523">
        <f t="shared" si="103"/>
        <v>-1040.3116666666665</v>
      </c>
      <c r="BG30" s="44">
        <f t="shared" si="104"/>
        <v>-1.9686715448180154</v>
      </c>
      <c r="BH30" s="149">
        <f>SUM($BA30-SUM($BA30*0.1))</f>
        <v>1411.8705</v>
      </c>
      <c r="BI30" s="149">
        <f t="shared" ref="BI30:BK30" si="151">SUM(BH30-SUM($BZ30*0.1))</f>
        <v>1270.68345</v>
      </c>
      <c r="BJ30" s="149">
        <f t="shared" si="151"/>
        <v>1129.4964</v>
      </c>
      <c r="BK30" s="149">
        <f t="shared" si="151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2">SUM(BR30*1.03)</f>
        <v>1922.8107464999998</v>
      </c>
      <c r="BT30" s="149">
        <f t="shared" si="152"/>
        <v>1980.4950688949998</v>
      </c>
      <c r="BU30" s="149">
        <f t="shared" si="152"/>
        <v>2039.9099209618498</v>
      </c>
      <c r="BV30" s="526"/>
      <c r="BW30" s="527">
        <f t="shared" si="135"/>
        <v>1617.1808498152138</v>
      </c>
      <c r="BX30" s="523">
        <f t="shared" si="107"/>
        <v>48.435849815213942</v>
      </c>
      <c r="BY30" s="44">
        <f t="shared" si="108"/>
        <v>2.9950793580537659E-2</v>
      </c>
      <c r="BZ30" s="149">
        <f>SUM($BA30-SUM($BA30*0.1))</f>
        <v>1411.8705</v>
      </c>
      <c r="CA30" s="149">
        <f t="shared" ref="CA30:CD30" si="153">SUM(BZ30*1.03)</f>
        <v>1454.226615</v>
      </c>
      <c r="CB30" s="149">
        <f t="shared" si="153"/>
        <v>1497.8534134500001</v>
      </c>
      <c r="CC30" s="149">
        <f t="shared" si="153"/>
        <v>1542.7890158535001</v>
      </c>
      <c r="CD30" s="149">
        <f t="shared" si="153"/>
        <v>1589.0726863291052</v>
      </c>
      <c r="CE30" s="526"/>
      <c r="CF30" s="149">
        <f t="shared" si="34"/>
        <v>2432.19</v>
      </c>
      <c r="CG30" s="145">
        <f>SUM(CF30-BA30)</f>
        <v>863.44500000000016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1.3652592385843474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0</v>
      </c>
      <c r="W31" s="65"/>
      <c r="X31" s="75"/>
      <c r="Y31" s="76"/>
      <c r="Z31" s="65"/>
      <c r="AA31" s="65"/>
      <c r="AB31" s="65"/>
      <c r="AC31" s="77">
        <f t="shared" si="10"/>
        <v>519.51683333333335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520.88209257191772</v>
      </c>
      <c r="AR31" s="144">
        <f t="shared" si="18"/>
        <v>2.0588225002842599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47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4">SUM(BH31*1.03)</f>
        <v>444.21011965222215</v>
      </c>
      <c r="BJ31" s="149">
        <f t="shared" si="154"/>
        <v>457.53642324178884</v>
      </c>
      <c r="BK31" s="149">
        <f t="shared" si="154"/>
        <v>471.26251593904254</v>
      </c>
      <c r="BL31" s="149">
        <f t="shared" si="154"/>
        <v>485.40039141721383</v>
      </c>
      <c r="BM31" s="46"/>
      <c r="BN31" s="540">
        <v>400</v>
      </c>
      <c r="BO31" s="22"/>
      <c r="BP31" s="22"/>
      <c r="BQ31" s="149">
        <f t="shared" ref="BQ31:BQ32" si="155">SUM($BA31-SUM($BA31*0.1))</f>
        <v>352.85887704060008</v>
      </c>
      <c r="BR31" s="149">
        <f t="shared" ref="BR31:BT31" si="156">SUM(BQ31-SUM($BZ31*0.1))</f>
        <v>309.73168095786008</v>
      </c>
      <c r="BS31" s="149">
        <f t="shared" si="156"/>
        <v>266.60448487512008</v>
      </c>
      <c r="BT31" s="149">
        <f t="shared" si="156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57">SUM(BZ31*1.03)</f>
        <v>444.21011965222215</v>
      </c>
      <c r="CB31" s="149">
        <f t="shared" si="157"/>
        <v>457.53642324178884</v>
      </c>
      <c r="CC31" s="149">
        <f t="shared" si="157"/>
        <v>471.26251593904254</v>
      </c>
      <c r="CD31" s="149">
        <f t="shared" si="157"/>
        <v>485.40039141721383</v>
      </c>
      <c r="CE31" s="521"/>
      <c r="CF31" s="149">
        <f t="shared" si="34"/>
        <v>325.72000000000003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0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2006.9310807189904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0</v>
      </c>
      <c r="W32" s="65"/>
      <c r="X32" s="75"/>
      <c r="Y32" s="76"/>
      <c r="Z32" s="65"/>
      <c r="AA32" s="65"/>
      <c r="AB32" s="65"/>
      <c r="AC32" s="77">
        <f t="shared" si="10"/>
        <v>519.51683333333335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0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-63.16867577091466</v>
      </c>
      <c r="AQ32" s="77">
        <f t="shared" si="17"/>
        <v>2463.2792382814087</v>
      </c>
      <c r="AR32" s="144">
        <f t="shared" si="18"/>
        <v>9.7362815742348161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47"/>
        <v>5227.5389191200002</v>
      </c>
      <c r="BB32" s="45">
        <f t="shared" ref="BB32:BB47" si="158">SUM(BA32/K32)</f>
        <v>3.5561489245714286</v>
      </c>
      <c r="BC32" s="45">
        <f>AVERAGE(BB31:BB32)</f>
        <v>3.5561489245714286</v>
      </c>
      <c r="BD32" s="46"/>
      <c r="BE32" s="146">
        <f t="shared" ref="BE32:BE47" si="159">SUM(K32*$BE$2)</f>
        <v>1220.0999999999999</v>
      </c>
      <c r="BF32" s="523">
        <f t="shared" ref="BF32:BF47" si="160">SUM(BE32-BA32)</f>
        <v>-4007.4389191200003</v>
      </c>
      <c r="BG32" s="44">
        <f t="shared" ref="BG32:BG47" si="161">SUM(BE32-BA32)/BE32</f>
        <v>-3.2845167765920831</v>
      </c>
      <c r="BH32" s="149">
        <f>SUM($BA32-SUM($BA32*0.1))</f>
        <v>4704.7850272080004</v>
      </c>
      <c r="BI32" s="149">
        <f t="shared" ref="BI32:BL32" si="162">SUM(BH32-SUM($BZ32*0.1))</f>
        <v>4234.3065244872005</v>
      </c>
      <c r="BJ32" s="149">
        <f t="shared" si="162"/>
        <v>3763.8280217664005</v>
      </c>
      <c r="BK32" s="149">
        <f t="shared" si="162"/>
        <v>3293.3495190456006</v>
      </c>
      <c r="BL32" s="149">
        <f t="shared" si="162"/>
        <v>2822.8710163248006</v>
      </c>
      <c r="BM32" s="46"/>
      <c r="BN32" s="146">
        <f>SUM(K32*$BN$2)+(12*300)</f>
        <v>4393.8</v>
      </c>
      <c r="BO32" s="523">
        <f t="shared" ref="BO32:BO47" si="163">SUM(BN32-BA32)</f>
        <v>-833.73891911999999</v>
      </c>
      <c r="BP32" s="44">
        <f t="shared" ref="BP32:BP47" si="164">SUM(BN32-BA32)/BN32</f>
        <v>-0.18975349791069232</v>
      </c>
      <c r="BQ32" s="149">
        <f t="shared" si="155"/>
        <v>4704.7850272080004</v>
      </c>
      <c r="BR32" s="149">
        <f t="shared" ref="BR32:BU32" si="165">SUM(BQ32*1.03)</f>
        <v>4845.9285780242408</v>
      </c>
      <c r="BS32" s="149">
        <f t="shared" si="165"/>
        <v>4991.3064353649679</v>
      </c>
      <c r="BT32" s="149">
        <f t="shared" si="165"/>
        <v>5141.0456284259171</v>
      </c>
      <c r="BU32" s="149">
        <f t="shared" si="165"/>
        <v>5295.2769972786946</v>
      </c>
      <c r="BV32" s="526"/>
      <c r="BW32" s="527">
        <f t="shared" ref="BW32:BW35" si="166">SUM(L32*$BA$63)</f>
        <v>2694.9044752277973</v>
      </c>
      <c r="BX32" s="523">
        <f t="shared" ref="BX32:BX47" si="167">SUM(BW32-$BA32)</f>
        <v>-2532.6344438922029</v>
      </c>
      <c r="BY32" s="44">
        <f t="shared" ref="BY32:BY47" si="168">SUM(BW32-$BA32)/BW32</f>
        <v>-0.93978635130587407</v>
      </c>
      <c r="BZ32" s="149">
        <f>SUM($BA32-SUM($BA32*0.1))</f>
        <v>4704.7850272080004</v>
      </c>
      <c r="CA32" s="149">
        <f t="shared" ref="CA32:CD32" si="169">SUM(BZ32-SUM($BZ32*0.1))</f>
        <v>4234.3065244872005</v>
      </c>
      <c r="CB32" s="149">
        <f t="shared" si="169"/>
        <v>3763.8280217664005</v>
      </c>
      <c r="CC32" s="149">
        <f t="shared" si="169"/>
        <v>3293.3495190456006</v>
      </c>
      <c r="CD32" s="149">
        <f t="shared" si="169"/>
        <v>2822.8710163248006</v>
      </c>
      <c r="CE32" s="526"/>
      <c r="CF32" s="149">
        <f t="shared" si="34"/>
        <v>1297.6100000000001</v>
      </c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0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14396.203584459079</v>
      </c>
      <c r="N33" s="66"/>
      <c r="O33" s="65">
        <v>10034</v>
      </c>
      <c r="P33" s="66">
        <f t="shared" ref="P33:P38" si="170">SUM(O33/$O$60)</f>
        <v>0.10179774368963558</v>
      </c>
      <c r="Q33" s="77">
        <f t="shared" ref="Q33:Q38" si="171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0</v>
      </c>
      <c r="W33" s="77"/>
      <c r="X33" s="75">
        <v>56102</v>
      </c>
      <c r="Y33" s="77">
        <f t="shared" ref="Y33:Y38" si="172">SUM(X33*$Y$62)</f>
        <v>0</v>
      </c>
      <c r="Z33" s="77"/>
      <c r="AA33" s="65"/>
      <c r="AB33" s="65"/>
      <c r="AC33" s="77">
        <f t="shared" si="10"/>
        <v>519.51683333333335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0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4222.0768675177678</v>
      </c>
      <c r="AQ33" s="77">
        <f t="shared" si="17"/>
        <v>19137.797285310182</v>
      </c>
      <c r="AR33" s="144">
        <f t="shared" si="18"/>
        <v>75.643467530870282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47"/>
        <v>13068.847297800003</v>
      </c>
      <c r="BB33" s="45">
        <f t="shared" si="158"/>
        <v>1.239379841101347</v>
      </c>
      <c r="BC33" s="22"/>
      <c r="BD33" s="46"/>
      <c r="BE33" s="146">
        <f t="shared" si="159"/>
        <v>8752.0733333333319</v>
      </c>
      <c r="BF33" s="523">
        <f t="shared" si="160"/>
        <v>-4316.7739644666708</v>
      </c>
      <c r="BG33" s="44">
        <f t="shared" si="161"/>
        <v>-0.49322872421849051</v>
      </c>
      <c r="BH33" s="149">
        <f>SUM($BA33+SUM($BA33*0.1))</f>
        <v>14375.732027580003</v>
      </c>
      <c r="BI33" s="149">
        <f t="shared" ref="BI33:BJ33" si="173">SUM(BH33+SUM($BZ33*0.1))</f>
        <v>15813.305230338003</v>
      </c>
      <c r="BJ33" s="149">
        <f t="shared" si="173"/>
        <v>17250.878433096004</v>
      </c>
      <c r="BK33" s="149">
        <f t="shared" ref="BK33:BL33" si="174">SUM(BJ33*1.03)</f>
        <v>17768.404786088886</v>
      </c>
      <c r="BL33" s="149">
        <f t="shared" si="174"/>
        <v>18301.456929671553</v>
      </c>
      <c r="BM33" s="46"/>
      <c r="BN33" s="146">
        <f>SUM(K33*$BN$2)+(12*250)</f>
        <v>8694.119999999999</v>
      </c>
      <c r="BO33" s="523">
        <f t="shared" si="163"/>
        <v>-4374.7272978000037</v>
      </c>
      <c r="BP33" s="44">
        <f t="shared" si="164"/>
        <v>-0.50318229996825492</v>
      </c>
      <c r="BQ33" s="149">
        <f>BN33</f>
        <v>8694.119999999999</v>
      </c>
      <c r="BR33" s="149">
        <f t="shared" ref="BR33:BU33" si="175">SUM(BQ33*1.03)</f>
        <v>8954.9435999999987</v>
      </c>
      <c r="BS33" s="149">
        <f t="shared" si="175"/>
        <v>9223.5919079999985</v>
      </c>
      <c r="BT33" s="149">
        <f t="shared" si="175"/>
        <v>9500.2996652399979</v>
      </c>
      <c r="BU33" s="149">
        <f t="shared" si="175"/>
        <v>9785.3086551971974</v>
      </c>
      <c r="BV33" s="526"/>
      <c r="BW33" s="527">
        <f t="shared" si="166"/>
        <v>19331.203666520665</v>
      </c>
      <c r="BX33" s="523">
        <f t="shared" si="167"/>
        <v>6262.3563687206624</v>
      </c>
      <c r="BY33" s="44">
        <f t="shared" si="168"/>
        <v>0.32395066943329121</v>
      </c>
      <c r="BZ33" s="149">
        <f>SUM($BA33+SUM($BA33*0.1))</f>
        <v>14375.732027580003</v>
      </c>
      <c r="CA33" s="149">
        <f t="shared" ref="CA33:CB33" si="176">SUM(BZ33+SUM($BZ33*0.1))</f>
        <v>15813.305230338003</v>
      </c>
      <c r="CB33" s="149">
        <f t="shared" si="176"/>
        <v>17250.878433096004</v>
      </c>
      <c r="CC33" s="149">
        <f t="shared" ref="CC33:CD33" si="177">SUM(CB33*1.03)</f>
        <v>17768.404786088886</v>
      </c>
      <c r="CD33" s="149">
        <f t="shared" si="177"/>
        <v>18301.456929671553</v>
      </c>
      <c r="CE33" s="526"/>
      <c r="CF33" s="149">
        <f t="shared" si="34"/>
        <v>10046.490000000002</v>
      </c>
      <c r="CG33" s="145">
        <f t="shared" ref="CG33:CG38" si="178">SUM(CF33-BA33)</f>
        <v>-3022.3572978000011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0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4125.3583325890359</v>
      </c>
      <c r="N34" s="66"/>
      <c r="O34" s="65">
        <v>3334</v>
      </c>
      <c r="P34" s="66">
        <f t="shared" si="170"/>
        <v>3.3824364905445985E-2</v>
      </c>
      <c r="Q34" s="77">
        <f t="shared" si="171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0</v>
      </c>
      <c r="W34" s="77"/>
      <c r="X34" s="75">
        <v>24794</v>
      </c>
      <c r="Y34" s="77">
        <f t="shared" si="172"/>
        <v>0</v>
      </c>
      <c r="Z34" s="77"/>
      <c r="AA34" s="65"/>
      <c r="AB34" s="65"/>
      <c r="AC34" s="77">
        <f t="shared" si="10"/>
        <v>519.51683333333335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0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1707.5390722328345</v>
      </c>
      <c r="AQ34" s="77">
        <f t="shared" si="17"/>
        <v>6352.4142381552037</v>
      </c>
      <c r="AR34" s="144">
        <f t="shared" si="18"/>
        <v>25.108356672550212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47"/>
        <v>10430.184795768002</v>
      </c>
      <c r="BB34" s="525">
        <f t="shared" si="158"/>
        <v>3.4517986086380592</v>
      </c>
      <c r="BC34" s="45">
        <f>AVERAGE(BB31:BB34)</f>
        <v>2.7491091247702784</v>
      </c>
      <c r="BD34" s="46"/>
      <c r="BE34" s="146">
        <f t="shared" si="159"/>
        <v>2507.9833333333331</v>
      </c>
      <c r="BF34" s="523">
        <f t="shared" si="160"/>
        <v>-7922.2014624346684</v>
      </c>
      <c r="BG34" s="44">
        <f t="shared" si="161"/>
        <v>-3.1587935043832038</v>
      </c>
      <c r="BH34" s="149">
        <f t="shared" ref="BH34:BH36" si="179">SUM($BA34-SUM($BA34*0.1))</f>
        <v>9387.166316191202</v>
      </c>
      <c r="BI34" s="149">
        <f t="shared" ref="BI34:BK34" si="180">SUM(BH34-SUM($BZ34*0.1))</f>
        <v>8448.4496845720823</v>
      </c>
      <c r="BJ34" s="149">
        <f t="shared" si="180"/>
        <v>7509.7330529529618</v>
      </c>
      <c r="BK34" s="149">
        <f t="shared" si="180"/>
        <v>6571.0164213338412</v>
      </c>
      <c r="BL34" s="149">
        <f>SUM(BK34*1.03)</f>
        <v>6768.1469139738565</v>
      </c>
      <c r="BM34" s="46"/>
      <c r="BN34" s="146">
        <f t="shared" ref="BN34:BN35" si="181">SUM(K34*$BN$2)+(12*200)</f>
        <v>4031.7</v>
      </c>
      <c r="BO34" s="523">
        <f t="shared" si="163"/>
        <v>-6398.4847957680022</v>
      </c>
      <c r="BP34" s="44">
        <f t="shared" si="164"/>
        <v>-1.587043876222934</v>
      </c>
      <c r="BQ34" s="149">
        <f t="shared" ref="BQ34:BQ36" si="182">SUM($BA34-SUM($BA34*0.1))</f>
        <v>9387.166316191202</v>
      </c>
      <c r="BR34" s="149">
        <f t="shared" ref="BR34:BT34" si="183">SUM(BQ34-SUM($BZ34*0.1))</f>
        <v>8448.4496845720823</v>
      </c>
      <c r="BS34" s="149">
        <f t="shared" si="183"/>
        <v>7509.7330529529618</v>
      </c>
      <c r="BT34" s="149">
        <f t="shared" si="183"/>
        <v>6571.0164213338412</v>
      </c>
      <c r="BU34" s="149">
        <f>SUM(BT34*1.03)</f>
        <v>6768.1469139738565</v>
      </c>
      <c r="BV34" s="526"/>
      <c r="BW34" s="527">
        <f t="shared" si="166"/>
        <v>5539.5258657460281</v>
      </c>
      <c r="BX34" s="523">
        <f t="shared" si="167"/>
        <v>-4890.6589300219739</v>
      </c>
      <c r="BY34" s="44">
        <f t="shared" si="168"/>
        <v>-0.88286597960732349</v>
      </c>
      <c r="BZ34" s="149">
        <f t="shared" ref="BZ34:BZ36" si="184">SUM($BA34-SUM($BA34*0.1))</f>
        <v>9387.166316191202</v>
      </c>
      <c r="CA34" s="149">
        <f t="shared" ref="CA34:CB34" si="185">SUM(BZ34-SUM($BZ34*0.1))</f>
        <v>8448.4496845720823</v>
      </c>
      <c r="CB34" s="149">
        <f t="shared" si="185"/>
        <v>7509.7330529529618</v>
      </c>
      <c r="CC34" s="149">
        <f t="shared" ref="CC34:CD34" si="186">SUM(CB34*1.03)</f>
        <v>7735.0250445415504</v>
      </c>
      <c r="CD34" s="149">
        <f t="shared" si="186"/>
        <v>7967.0757958777967</v>
      </c>
      <c r="CE34" s="526"/>
      <c r="CF34" s="149">
        <f t="shared" si="34"/>
        <v>8178.5300000000007</v>
      </c>
      <c r="CG34" s="145">
        <f t="shared" si="178"/>
        <v>-2251.6547957680013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0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5515.647323880763</v>
      </c>
      <c r="N35" s="66"/>
      <c r="O35" s="65">
        <v>4100</v>
      </c>
      <c r="P35" s="66">
        <f t="shared" si="170"/>
        <v>4.1595649703757814E-2</v>
      </c>
      <c r="Q35" s="77">
        <f t="shared" si="171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0</v>
      </c>
      <c r="W35" s="77"/>
      <c r="X35" s="75">
        <v>18600</v>
      </c>
      <c r="Y35" s="77">
        <f t="shared" si="172"/>
        <v>0</v>
      </c>
      <c r="Z35" s="77"/>
      <c r="AA35" s="65"/>
      <c r="AB35" s="65"/>
      <c r="AC35" s="77">
        <f t="shared" si="10"/>
        <v>519.51683333333335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0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1729.7745245185863</v>
      </c>
      <c r="AQ35" s="77">
        <f t="shared" si="17"/>
        <v>7764.9386817326822</v>
      </c>
      <c r="AR35" s="144">
        <f t="shared" si="18"/>
        <v>30.691457240050127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47"/>
        <v>10430.184795768002</v>
      </c>
      <c r="BB35" s="525">
        <f t="shared" si="158"/>
        <v>2.581728909843565</v>
      </c>
      <c r="BC35" s="22"/>
      <c r="BD35" s="46"/>
      <c r="BE35" s="146">
        <f t="shared" si="159"/>
        <v>3353.2</v>
      </c>
      <c r="BF35" s="523">
        <f t="shared" si="160"/>
        <v>-7076.9847957680022</v>
      </c>
      <c r="BG35" s="44">
        <f t="shared" si="161"/>
        <v>-2.1105167588476688</v>
      </c>
      <c r="BH35" s="149">
        <f t="shared" si="179"/>
        <v>9387.166316191202</v>
      </c>
      <c r="BI35" s="149">
        <f t="shared" ref="BI35:BJ35" si="187">SUM(BH35-SUM($BZ35*0.1))</f>
        <v>8448.4496845720823</v>
      </c>
      <c r="BJ35" s="149">
        <f t="shared" si="187"/>
        <v>7509.7330529529618</v>
      </c>
      <c r="BK35" s="149">
        <f t="shared" ref="BK35:BL35" si="188">SUM(BJ35*1.03)</f>
        <v>7735.0250445415504</v>
      </c>
      <c r="BL35" s="149">
        <f t="shared" si="188"/>
        <v>7967.0757958777967</v>
      </c>
      <c r="BM35" s="46"/>
      <c r="BN35" s="146">
        <f t="shared" si="181"/>
        <v>4581.6000000000004</v>
      </c>
      <c r="BO35" s="523">
        <f t="shared" si="163"/>
        <v>-5848.5847957680016</v>
      </c>
      <c r="BP35" s="44">
        <f t="shared" si="164"/>
        <v>-1.2765376278522789</v>
      </c>
      <c r="BQ35" s="149">
        <f t="shared" si="182"/>
        <v>9387.166316191202</v>
      </c>
      <c r="BR35" s="149">
        <f t="shared" ref="BR35:BS35" si="189">SUM(BQ35-SUM($BZ35*0.1))</f>
        <v>8448.4496845720823</v>
      </c>
      <c r="BS35" s="149">
        <f t="shared" si="189"/>
        <v>7509.7330529529618</v>
      </c>
      <c r="BT35" s="149">
        <f t="shared" ref="BT35:BU35" si="190">SUM(BS35*1.03)</f>
        <v>7735.0250445415504</v>
      </c>
      <c r="BU35" s="149">
        <f t="shared" si="190"/>
        <v>7967.0757958777967</v>
      </c>
      <c r="BV35" s="526"/>
      <c r="BW35" s="527">
        <f t="shared" si="166"/>
        <v>7406.4041360002057</v>
      </c>
      <c r="BX35" s="523">
        <f t="shared" si="167"/>
        <v>-3023.7806597677964</v>
      </c>
      <c r="BY35" s="44">
        <f t="shared" si="168"/>
        <v>-0.40826568524260615</v>
      </c>
      <c r="BZ35" s="149">
        <f t="shared" si="184"/>
        <v>9387.166316191202</v>
      </c>
      <c r="CA35" s="149">
        <f t="shared" ref="CA35:CA36" si="191">SUM(BZ35-SUM($BZ35*0.1))</f>
        <v>8448.4496845720823</v>
      </c>
      <c r="CB35" s="149">
        <f t="shared" ref="CB35:CD35" si="192">SUM(CA35*1.03)</f>
        <v>8701.9031751092443</v>
      </c>
      <c r="CC35" s="149">
        <f t="shared" si="192"/>
        <v>8962.9602703625224</v>
      </c>
      <c r="CD35" s="149">
        <f t="shared" si="192"/>
        <v>9231.8490784733985</v>
      </c>
      <c r="CE35" s="526"/>
      <c r="CF35" s="149">
        <f t="shared" si="34"/>
        <v>5711.8300000000008</v>
      </c>
      <c r="CG35" s="145">
        <f t="shared" si="178"/>
        <v>-4718.3547957680012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0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165.65145428156748</v>
      </c>
      <c r="N36" s="66"/>
      <c r="O36" s="65">
        <v>101</v>
      </c>
      <c r="P36" s="66">
        <f t="shared" si="170"/>
        <v>1.0246733219706193E-3</v>
      </c>
      <c r="Q36" s="77">
        <f t="shared" si="171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0</v>
      </c>
      <c r="W36" s="77"/>
      <c r="X36" s="75">
        <v>2772</v>
      </c>
      <c r="Y36" s="77">
        <f t="shared" si="172"/>
        <v>0</v>
      </c>
      <c r="Z36" s="77"/>
      <c r="AA36" s="65"/>
      <c r="AB36" s="65"/>
      <c r="AC36" s="77">
        <f t="shared" si="10"/>
        <v>519.51683333333335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0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86.073198331810687</v>
      </c>
      <c r="AQ36" s="77">
        <f t="shared" si="17"/>
        <v>771.24148594671146</v>
      </c>
      <c r="AR36" s="144">
        <f t="shared" si="18"/>
        <v>3.0483853199474762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47"/>
        <v>1306.88472978</v>
      </c>
      <c r="BB36" s="525">
        <f t="shared" si="158"/>
        <v>10.771027992692309</v>
      </c>
      <c r="BC36" s="22"/>
      <c r="BD36" s="46"/>
      <c r="BE36" s="146">
        <f t="shared" si="159"/>
        <v>100.70666666666666</v>
      </c>
      <c r="BF36" s="523">
        <f t="shared" si="160"/>
        <v>-1206.1780631133333</v>
      </c>
      <c r="BG36" s="44">
        <f t="shared" si="161"/>
        <v>-11.977142159870251</v>
      </c>
      <c r="BH36" s="149">
        <f t="shared" si="179"/>
        <v>1176.1962568020001</v>
      </c>
      <c r="BI36" s="149">
        <f t="shared" ref="BI36:BL36" si="193">SUM(BH36-SUM($BZ36*0.1))</f>
        <v>1058.5766311218001</v>
      </c>
      <c r="BJ36" s="149">
        <f t="shared" si="193"/>
        <v>940.95700544160013</v>
      </c>
      <c r="BK36" s="149">
        <f t="shared" si="193"/>
        <v>823.33737976140014</v>
      </c>
      <c r="BL36" s="149">
        <f t="shared" si="193"/>
        <v>705.71775408120016</v>
      </c>
      <c r="BM36" s="46"/>
      <c r="BN36" s="146">
        <f>SUM(K36*$BN$2)+(12*50)</f>
        <v>665.52</v>
      </c>
      <c r="BO36" s="523">
        <f t="shared" si="163"/>
        <v>-641.36472978000006</v>
      </c>
      <c r="BP36" s="44">
        <f t="shared" si="164"/>
        <v>-0.9637046666967185</v>
      </c>
      <c r="BQ36" s="149">
        <f t="shared" si="182"/>
        <v>1176.1962568020001</v>
      </c>
      <c r="BR36" s="149">
        <f t="shared" ref="BR36:BS36" si="194">SUM(BQ36-SUM($BZ36*0.1))</f>
        <v>1058.5766311218001</v>
      </c>
      <c r="BS36" s="149">
        <f t="shared" si="194"/>
        <v>940.95700544160013</v>
      </c>
      <c r="BT36" s="149">
        <f t="shared" ref="BT36:BU36" si="195">SUM(BS36*1.03)</f>
        <v>969.18571560484816</v>
      </c>
      <c r="BU36" s="149">
        <f t="shared" si="195"/>
        <v>998.26128707299358</v>
      </c>
      <c r="BV36" s="526"/>
      <c r="BW36" s="527">
        <f>SUM(L36*$BA$63)+$BW$2</f>
        <v>672.43655986007218</v>
      </c>
      <c r="BX36" s="523">
        <f t="shared" si="167"/>
        <v>-634.44816991992786</v>
      </c>
      <c r="BY36" s="44">
        <f t="shared" si="168"/>
        <v>-0.94350635850607323</v>
      </c>
      <c r="BZ36" s="149">
        <f t="shared" si="184"/>
        <v>1176.1962568020001</v>
      </c>
      <c r="CA36" s="149">
        <f t="shared" si="191"/>
        <v>1058.5766311218001</v>
      </c>
      <c r="CB36" s="149">
        <f t="shared" ref="CB36:CD36" si="196">SUM(CA36-SUM($BZ36*0.1))</f>
        <v>940.95700544160013</v>
      </c>
      <c r="CC36" s="149">
        <f t="shared" si="196"/>
        <v>823.33737976140014</v>
      </c>
      <c r="CD36" s="149">
        <f t="shared" si="196"/>
        <v>705.71775408120016</v>
      </c>
      <c r="CE36" s="526"/>
      <c r="CF36" s="149">
        <f t="shared" si="34"/>
        <v>1063.18</v>
      </c>
      <c r="CG36" s="145">
        <f t="shared" si="178"/>
        <v>-243.70472977999998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0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1489.9529157083841</v>
      </c>
      <c r="N37" s="66"/>
      <c r="O37" s="65">
        <v>1189</v>
      </c>
      <c r="P37" s="66">
        <f t="shared" si="170"/>
        <v>1.2062738414089766E-2</v>
      </c>
      <c r="Q37" s="77">
        <f t="shared" si="171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0</v>
      </c>
      <c r="W37" s="77"/>
      <c r="X37" s="75">
        <v>6100</v>
      </c>
      <c r="Y37" s="77">
        <f t="shared" si="172"/>
        <v>0</v>
      </c>
      <c r="Z37" s="77"/>
      <c r="AA37" s="65"/>
      <c r="AB37" s="65"/>
      <c r="AC37" s="77">
        <f t="shared" si="10"/>
        <v>519.51683333333335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0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615.08071022626154</v>
      </c>
      <c r="AQ37" s="77">
        <f t="shared" si="17"/>
        <v>2624.550459267979</v>
      </c>
      <c r="AR37" s="144">
        <f t="shared" si="18"/>
        <v>10.373717230308218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47"/>
        <v>1767.4060155120001</v>
      </c>
      <c r="BB37" s="45">
        <f t="shared" si="158"/>
        <v>1.6194923782944413</v>
      </c>
      <c r="BC37" s="22"/>
      <c r="BD37" s="46"/>
      <c r="BE37" s="146">
        <f t="shared" si="159"/>
        <v>905.80666666666662</v>
      </c>
      <c r="BF37" s="523">
        <f t="shared" si="160"/>
        <v>-861.59934884533345</v>
      </c>
      <c r="BG37" s="44">
        <f t="shared" si="161"/>
        <v>-0.9511956364993267</v>
      </c>
      <c r="BH37" s="149">
        <f t="shared" ref="BH37:BH38" si="197">SUM($BA37+SUM($BA37*0.1))</f>
        <v>1944.1466170632002</v>
      </c>
      <c r="BI37" s="149">
        <f t="shared" ref="BI37:BL37" si="198">SUM(BH37+SUM($BZ37*0.1))</f>
        <v>2138.5612787695204</v>
      </c>
      <c r="BJ37" s="149">
        <f t="shared" si="198"/>
        <v>2332.9759404758406</v>
      </c>
      <c r="BK37" s="149">
        <f t="shared" si="198"/>
        <v>2527.3906021821608</v>
      </c>
      <c r="BL37" s="149">
        <f t="shared" si="198"/>
        <v>2721.805263888481</v>
      </c>
      <c r="BM37" s="46"/>
      <c r="BN37" s="146">
        <f>SUM(K37*$BN$2)+(12*100)</f>
        <v>1789.3200000000002</v>
      </c>
      <c r="BO37" s="523">
        <f t="shared" si="163"/>
        <v>21.913984488000096</v>
      </c>
      <c r="BP37" s="44">
        <f t="shared" si="164"/>
        <v>1.2247101964992341E-2</v>
      </c>
      <c r="BQ37" s="149">
        <f t="shared" ref="BQ37:BQ38" si="199">SUM($BA37+SUM($BA37*0.1))</f>
        <v>1944.1466170632002</v>
      </c>
      <c r="BR37" s="149">
        <f t="shared" ref="BR37:BU37" si="200">SUM(BQ37+SUM($BZ37*0.1))</f>
        <v>2138.5612787695204</v>
      </c>
      <c r="BS37" s="149">
        <f t="shared" si="200"/>
        <v>2332.9759404758406</v>
      </c>
      <c r="BT37" s="149">
        <f t="shared" si="200"/>
        <v>2527.3906021821608</v>
      </c>
      <c r="BU37" s="348">
        <f t="shared" si="200"/>
        <v>2721.805263888481</v>
      </c>
      <c r="BV37" s="526"/>
      <c r="BW37" s="527">
        <f t="shared" ref="BW37:BW38" si="201">SUM(L37*$BA$63)</f>
        <v>2000.7068598403193</v>
      </c>
      <c r="BX37" s="523">
        <f t="shared" si="167"/>
        <v>233.30084432831927</v>
      </c>
      <c r="BY37" s="44">
        <f t="shared" si="168"/>
        <v>0.11660920898073969</v>
      </c>
      <c r="BZ37" s="149">
        <f t="shared" ref="BZ37:BZ38" si="202">SUM($BA37+SUM($BA37*0.1))</f>
        <v>1944.1466170632002</v>
      </c>
      <c r="CA37" s="149">
        <f t="shared" ref="CA37:CC37" si="203">SUM(BZ37+SUM($BZ37*0.1))</f>
        <v>2138.5612787695204</v>
      </c>
      <c r="CB37" s="149">
        <f t="shared" si="203"/>
        <v>2332.9759404758406</v>
      </c>
      <c r="CC37" s="149">
        <f t="shared" si="203"/>
        <v>2527.3906021821608</v>
      </c>
      <c r="CD37" s="149">
        <f>SUM(CC37*1.03)</f>
        <v>2603.2123202476255</v>
      </c>
      <c r="CE37" s="526"/>
      <c r="CF37" s="149">
        <f t="shared" si="34"/>
        <v>4797.5700000000006</v>
      </c>
      <c r="CG37" s="145">
        <f t="shared" si="178"/>
        <v>3030.1639844880006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0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7802.0014620966831</v>
      </c>
      <c r="N38" s="66"/>
      <c r="O38" s="65">
        <v>6007</v>
      </c>
      <c r="P38" s="66">
        <f t="shared" si="170"/>
        <v>6.0942699456212973E-2</v>
      </c>
      <c r="Q38" s="77">
        <f t="shared" si="171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0</v>
      </c>
      <c r="W38" s="77"/>
      <c r="X38" s="75">
        <v>39298</v>
      </c>
      <c r="Y38" s="77">
        <f t="shared" si="172"/>
        <v>0</v>
      </c>
      <c r="Z38" s="77"/>
      <c r="AA38" s="65"/>
      <c r="AB38" s="65"/>
      <c r="AC38" s="77">
        <f t="shared" si="10"/>
        <v>519.51683333333335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0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917.27293018758223</v>
      </c>
      <c r="AQ38" s="77">
        <f t="shared" si="17"/>
        <v>9238.7912256175987</v>
      </c>
      <c r="AR38" s="144">
        <f t="shared" si="18"/>
        <v>36.516961366077467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47"/>
        <v>13068.847297800003</v>
      </c>
      <c r="BB38" s="45">
        <f t="shared" si="158"/>
        <v>2.286895817393841</v>
      </c>
      <c r="BC38" s="22"/>
      <c r="BD38" s="46"/>
      <c r="BE38" s="146">
        <f t="shared" si="159"/>
        <v>4743.1733333333332</v>
      </c>
      <c r="BF38" s="523">
        <f t="shared" si="160"/>
        <v>-8325.6739644666704</v>
      </c>
      <c r="BG38" s="44">
        <f t="shared" si="161"/>
        <v>-1.7552961655347483</v>
      </c>
      <c r="BH38" s="149">
        <f t="shared" si="197"/>
        <v>14375.732027580003</v>
      </c>
      <c r="BI38" s="149">
        <f t="shared" ref="BI38:BL38" si="204">SUM(BH38+SUM($BZ38*0.1))</f>
        <v>15813.305230338003</v>
      </c>
      <c r="BJ38" s="149">
        <f t="shared" si="204"/>
        <v>17250.878433096004</v>
      </c>
      <c r="BK38" s="149">
        <f t="shared" si="204"/>
        <v>18688.451635854006</v>
      </c>
      <c r="BL38" s="149">
        <f t="shared" si="204"/>
        <v>20126.024838612007</v>
      </c>
      <c r="BM38" s="46"/>
      <c r="BN38" s="146">
        <f>SUM(K38*$BN$2)+(12*250)</f>
        <v>6085.92</v>
      </c>
      <c r="BO38" s="523">
        <f t="shared" si="163"/>
        <v>-6982.9272978000026</v>
      </c>
      <c r="BP38" s="44">
        <f t="shared" si="164"/>
        <v>-1.1473905831493023</v>
      </c>
      <c r="BQ38" s="149">
        <f t="shared" si="199"/>
        <v>14375.732027580003</v>
      </c>
      <c r="BR38" s="149">
        <f t="shared" ref="BR38:BT38" si="205">SUM(BQ38+SUM($BZ38*0.1))</f>
        <v>15813.305230338003</v>
      </c>
      <c r="BS38" s="149">
        <f t="shared" si="205"/>
        <v>17250.878433096004</v>
      </c>
      <c r="BT38" s="149">
        <f t="shared" si="205"/>
        <v>18688.451635854006</v>
      </c>
      <c r="BU38" s="149">
        <f>SUM(BT38*1.03)</f>
        <v>19249.105184929627</v>
      </c>
      <c r="BV38" s="526"/>
      <c r="BW38" s="527">
        <f t="shared" si="201"/>
        <v>10476.517533629334</v>
      </c>
      <c r="BX38" s="523">
        <f t="shared" si="167"/>
        <v>-2592.3297641706686</v>
      </c>
      <c r="BY38" s="44">
        <f t="shared" si="168"/>
        <v>-0.24744193438796441</v>
      </c>
      <c r="BZ38" s="149">
        <f t="shared" si="202"/>
        <v>14375.732027580003</v>
      </c>
      <c r="CA38" s="149">
        <f t="shared" ref="CA38:CD38" si="206">SUM(BZ38+SUM($BZ38*0.1))</f>
        <v>15813.305230338003</v>
      </c>
      <c r="CB38" s="149">
        <f t="shared" si="206"/>
        <v>17250.878433096004</v>
      </c>
      <c r="CC38" s="149">
        <f t="shared" si="206"/>
        <v>18688.451635854006</v>
      </c>
      <c r="CD38" s="149">
        <f t="shared" si="206"/>
        <v>20126.024838612007</v>
      </c>
      <c r="CE38" s="526"/>
      <c r="CF38" s="149">
        <f t="shared" si="34"/>
        <v>20784.88</v>
      </c>
      <c r="CG38" s="145">
        <f t="shared" si="178"/>
        <v>7716.0327021999983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0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1248.302030478955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0</v>
      </c>
      <c r="W39" s="65"/>
      <c r="X39" s="75"/>
      <c r="Y39" s="76"/>
      <c r="Z39" s="65"/>
      <c r="AA39" s="65"/>
      <c r="AB39" s="65"/>
      <c r="AC39" s="77">
        <f t="shared" si="10"/>
        <v>519.51683333333335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0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101.70200099664225</v>
      </c>
      <c r="AQ39" s="77">
        <f t="shared" si="17"/>
        <v>1869.5208648089306</v>
      </c>
      <c r="AR39" s="144">
        <f t="shared" si="18"/>
        <v>7.3894105328416231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47"/>
        <v>2613.7694595600001</v>
      </c>
      <c r="BB39" s="45">
        <f t="shared" si="158"/>
        <v>2.8586614577761575</v>
      </c>
      <c r="BC39" s="22"/>
      <c r="BD39" s="46"/>
      <c r="BE39" s="146">
        <f t="shared" si="159"/>
        <v>758.89666666666665</v>
      </c>
      <c r="BF39" s="523">
        <f t="shared" si="160"/>
        <v>-1854.8727928933336</v>
      </c>
      <c r="BG39" s="44">
        <f t="shared" si="161"/>
        <v>-2.4441704310556118</v>
      </c>
      <c r="BH39" s="149">
        <f t="shared" ref="BH39:BH41" si="207">SUM($BA39-SUM($BA39*0.1))</f>
        <v>2352.3925136040002</v>
      </c>
      <c r="BI39" s="149">
        <f t="shared" ref="BI39:BL39" si="208">SUM(BH39-SUM($BZ39*0.1))</f>
        <v>2117.1532622436002</v>
      </c>
      <c r="BJ39" s="149">
        <f t="shared" si="208"/>
        <v>1881.9140108832003</v>
      </c>
      <c r="BK39" s="149">
        <f t="shared" si="208"/>
        <v>1646.6747595228003</v>
      </c>
      <c r="BL39" s="149">
        <f t="shared" si="208"/>
        <v>1411.4355081624003</v>
      </c>
      <c r="BM39" s="46"/>
      <c r="BN39" s="146">
        <f>SUM(K39*$BN$2)+(12*150)</f>
        <v>2293.7400000000002</v>
      </c>
      <c r="BO39" s="523">
        <f t="shared" si="163"/>
        <v>-320.02945955999985</v>
      </c>
      <c r="BP39" s="44">
        <f t="shared" si="164"/>
        <v>-0.13952298846425482</v>
      </c>
      <c r="BQ39" s="149">
        <f t="shared" ref="BQ39:BQ41" si="209">SUM($BA39-SUM($BA39*0.1))</f>
        <v>2352.3925136040002</v>
      </c>
      <c r="BR39" s="149">
        <f t="shared" ref="BR39:BR41" si="210">SUM(BQ39-SUM($BZ39*0.1))</f>
        <v>2117.1532622436002</v>
      </c>
      <c r="BS39" s="149">
        <f t="shared" ref="BS39:BU39" si="211">SUM(BR39*1.03)</f>
        <v>2180.6678601109084</v>
      </c>
      <c r="BT39" s="149">
        <f t="shared" si="211"/>
        <v>2246.0878959142356</v>
      </c>
      <c r="BU39" s="149">
        <f t="shared" si="211"/>
        <v>2313.4705327916627</v>
      </c>
      <c r="BV39" s="526"/>
      <c r="BW39" s="527">
        <f t="shared" ref="BW39:BW40" si="212">SUM(L39*$BA$63)+$BW$2</f>
        <v>2126.2183618026866</v>
      </c>
      <c r="BX39" s="523">
        <f t="shared" si="167"/>
        <v>-487.55109775731353</v>
      </c>
      <c r="BY39" s="44">
        <f t="shared" si="168"/>
        <v>-0.22930433981576082</v>
      </c>
      <c r="BZ39" s="149">
        <f t="shared" ref="BZ39:BZ41" si="213">SUM($BA39-SUM($BA39*0.1))</f>
        <v>2352.3925136040002</v>
      </c>
      <c r="CA39" s="149">
        <f t="shared" ref="CA39:CD39" si="214">SUM(BZ39-SUM($BZ39*0.1))</f>
        <v>2117.1532622436002</v>
      </c>
      <c r="CB39" s="149">
        <f t="shared" si="214"/>
        <v>1881.9140108832003</v>
      </c>
      <c r="CC39" s="149">
        <f t="shared" si="214"/>
        <v>1646.6747595228003</v>
      </c>
      <c r="CD39" s="149">
        <f t="shared" si="214"/>
        <v>1411.4355081624003</v>
      </c>
      <c r="CE39" s="526"/>
      <c r="CF39" s="149">
        <f t="shared" si="34"/>
        <v>2233.1200000000003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0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504.23574545048558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0</v>
      </c>
      <c r="W40" s="65"/>
      <c r="X40" s="75"/>
      <c r="Y40" s="76"/>
      <c r="Z40" s="65"/>
      <c r="AA40" s="65"/>
      <c r="AB40" s="65"/>
      <c r="AC40" s="77">
        <f t="shared" si="10"/>
        <v>519.51683333333335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0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-1.3389295587485022</v>
      </c>
      <c r="AQ40" s="77">
        <f t="shared" si="17"/>
        <v>1022.4136492250705</v>
      </c>
      <c r="AR40" s="144">
        <f t="shared" si="18"/>
        <v>4.041160668873796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47"/>
        <v>1306.88472978</v>
      </c>
      <c r="BB40" s="45">
        <f t="shared" si="158"/>
        <v>3.5384965607761738</v>
      </c>
      <c r="BC40" s="22"/>
      <c r="BD40" s="46"/>
      <c r="BE40" s="146">
        <f t="shared" si="159"/>
        <v>306.54666666666662</v>
      </c>
      <c r="BF40" s="523">
        <f t="shared" si="160"/>
        <v>-1000.3380631133334</v>
      </c>
      <c r="BG40" s="44">
        <f t="shared" si="161"/>
        <v>-3.2632488684050287</v>
      </c>
      <c r="BH40" s="149">
        <f t="shared" si="207"/>
        <v>1176.1962568020001</v>
      </c>
      <c r="BI40" s="149">
        <f t="shared" ref="BI40:BL40" si="215">SUM(BH40-SUM($BZ40*0.1))</f>
        <v>1058.5766311218001</v>
      </c>
      <c r="BJ40" s="149">
        <f t="shared" si="215"/>
        <v>940.95700544160013</v>
      </c>
      <c r="BK40" s="149">
        <f t="shared" si="215"/>
        <v>823.33737976140014</v>
      </c>
      <c r="BL40" s="149">
        <f t="shared" si="215"/>
        <v>705.71775408120016</v>
      </c>
      <c r="BM40" s="46"/>
      <c r="BN40" s="146">
        <f>SUM(K40*$BN$2)+(12*75)</f>
        <v>1099.44</v>
      </c>
      <c r="BO40" s="523">
        <f t="shared" si="163"/>
        <v>-207.44472977999999</v>
      </c>
      <c r="BP40" s="44">
        <f t="shared" si="164"/>
        <v>-0.18868217436149309</v>
      </c>
      <c r="BQ40" s="149">
        <f t="shared" si="209"/>
        <v>1176.1962568020001</v>
      </c>
      <c r="BR40" s="149">
        <f t="shared" si="210"/>
        <v>1058.5766311218001</v>
      </c>
      <c r="BS40" s="149">
        <f t="shared" ref="BS40:BU40" si="216">SUM(BR40*1.03)</f>
        <v>1090.3339300554542</v>
      </c>
      <c r="BT40" s="149">
        <f t="shared" si="216"/>
        <v>1123.0439479571178</v>
      </c>
      <c r="BU40" s="149">
        <f t="shared" si="216"/>
        <v>1156.7352663958313</v>
      </c>
      <c r="BV40" s="526"/>
      <c r="BW40" s="527">
        <f t="shared" si="212"/>
        <v>1127.0871107828571</v>
      </c>
      <c r="BX40" s="523">
        <f t="shared" si="167"/>
        <v>-179.79761899714299</v>
      </c>
      <c r="BY40" s="44">
        <f t="shared" si="168"/>
        <v>-0.15952415503381845</v>
      </c>
      <c r="BZ40" s="149">
        <f t="shared" si="213"/>
        <v>1176.1962568020001</v>
      </c>
      <c r="CA40" s="149">
        <f t="shared" ref="CA40:CD40" si="217">SUM(BZ40-SUM($BZ40*0.1))</f>
        <v>1058.5766311218001</v>
      </c>
      <c r="CB40" s="149">
        <f t="shared" si="217"/>
        <v>940.95700544160013</v>
      </c>
      <c r="CC40" s="149">
        <f t="shared" si="217"/>
        <v>823.33737976140014</v>
      </c>
      <c r="CD40" s="149">
        <f t="shared" si="217"/>
        <v>705.71775408120016</v>
      </c>
      <c r="CE40" s="526"/>
      <c r="CF40" s="149">
        <f t="shared" si="34"/>
        <v>2417.9100000000003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0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4813.4489888355474</v>
      </c>
      <c r="N41" s="66"/>
      <c r="O41" s="65">
        <v>3296</v>
      </c>
      <c r="P41" s="66">
        <f t="shared" ref="P41:P44" si="218">SUM(O41/$O$60)</f>
        <v>3.3438844249655063E-2</v>
      </c>
      <c r="Q41" s="77">
        <f t="shared" ref="Q41:Q44" si="219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0</v>
      </c>
      <c r="W41" s="77"/>
      <c r="X41" s="75">
        <v>39298</v>
      </c>
      <c r="Y41" s="77">
        <f t="shared" ref="Y41:Y44" si="220">SUM(X41*$Y$62)</f>
        <v>0</v>
      </c>
      <c r="Z41" s="77"/>
      <c r="AA41" s="65"/>
      <c r="AB41" s="65"/>
      <c r="AC41" s="77">
        <f t="shared" si="10"/>
        <v>519.51683333333335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0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1589.3115100316788</v>
      </c>
      <c r="AQ41" s="77">
        <f t="shared" si="17"/>
        <v>6922.2773322005596</v>
      </c>
      <c r="AR41" s="144">
        <f t="shared" si="18"/>
        <v>27.360779969172171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47"/>
        <v>10430.184795768002</v>
      </c>
      <c r="BB41" s="525">
        <f t="shared" si="158"/>
        <v>2.9583581721947629</v>
      </c>
      <c r="BC41" s="22"/>
      <c r="BD41" s="46"/>
      <c r="BE41" s="146">
        <f t="shared" si="159"/>
        <v>2926.3033333333333</v>
      </c>
      <c r="BF41" s="523">
        <f t="shared" si="160"/>
        <v>-7503.8814624346687</v>
      </c>
      <c r="BG41" s="44">
        <f t="shared" si="161"/>
        <v>-2.5642869544515214</v>
      </c>
      <c r="BH41" s="149">
        <f t="shared" si="207"/>
        <v>9387.166316191202</v>
      </c>
      <c r="BI41" s="149">
        <f t="shared" ref="BI41:BJ41" si="221">SUM(BH41-SUM($BZ41*0.1))</f>
        <v>8448.4496845720823</v>
      </c>
      <c r="BJ41" s="149">
        <f t="shared" si="221"/>
        <v>7509.7330529529618</v>
      </c>
      <c r="BK41" s="149">
        <f t="shared" ref="BK41:BL41" si="222">SUM(BJ41*1.03)</f>
        <v>7735.0250445415504</v>
      </c>
      <c r="BL41" s="149">
        <f t="shared" si="222"/>
        <v>7967.0757958777967</v>
      </c>
      <c r="BM41" s="46"/>
      <c r="BN41" s="146">
        <f>SUM(K41*$BN$2)+(12*200)</f>
        <v>4303.8600000000006</v>
      </c>
      <c r="BO41" s="523">
        <f t="shared" si="163"/>
        <v>-6126.3247957680014</v>
      </c>
      <c r="BP41" s="44">
        <f t="shared" si="164"/>
        <v>-1.4234489030237973</v>
      </c>
      <c r="BQ41" s="149">
        <f t="shared" si="209"/>
        <v>9387.166316191202</v>
      </c>
      <c r="BR41" s="149">
        <f t="shared" si="210"/>
        <v>8448.4496845720823</v>
      </c>
      <c r="BS41" s="149">
        <f>SUM(BR41-SUM($BZ41*0.1))</f>
        <v>7509.7330529529618</v>
      </c>
      <c r="BT41" s="149">
        <f t="shared" ref="BT41:BU41" si="223">SUM(BS41*1.03)</f>
        <v>7735.0250445415504</v>
      </c>
      <c r="BU41" s="149">
        <f t="shared" si="223"/>
        <v>7967.0757958777967</v>
      </c>
      <c r="BV41" s="526"/>
      <c r="BW41" s="527">
        <f t="shared" ref="BW41:BW44" si="224">SUM(L41*$BA$63)</f>
        <v>6463.4931143955582</v>
      </c>
      <c r="BX41" s="523">
        <f t="shared" si="167"/>
        <v>-3966.6916813724438</v>
      </c>
      <c r="BY41" s="44">
        <f t="shared" si="168"/>
        <v>-0.61370711025247127</v>
      </c>
      <c r="BZ41" s="149">
        <f t="shared" si="213"/>
        <v>9387.166316191202</v>
      </c>
      <c r="CA41" s="149">
        <f>SUM(BZ41-SUM($BZ41*0.1))</f>
        <v>8448.4496845720823</v>
      </c>
      <c r="CB41" s="149">
        <f t="shared" ref="CB41:CD41" si="225">SUM(CA41*1.03)</f>
        <v>8701.9031751092443</v>
      </c>
      <c r="CC41" s="149">
        <f t="shared" si="225"/>
        <v>8962.9602703625224</v>
      </c>
      <c r="CD41" s="149">
        <f t="shared" si="225"/>
        <v>9231.8490784733985</v>
      </c>
      <c r="CE41" s="526"/>
      <c r="CF41" s="149">
        <f t="shared" si="34"/>
        <v>7392.2800000000007</v>
      </c>
      <c r="CG41" s="145">
        <f t="shared" ref="CG41:CG44" si="226">SUM(CF41-BA41)</f>
        <v>-3037.9047957680013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0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9838.0580732388062</v>
      </c>
      <c r="N42" s="66"/>
      <c r="O42" s="65">
        <v>7562</v>
      </c>
      <c r="P42" s="66">
        <f t="shared" si="218"/>
        <v>7.6718610502394285E-2</v>
      </c>
      <c r="Q42" s="77">
        <f t="shared" si="219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0</v>
      </c>
      <c r="W42" s="77"/>
      <c r="X42" s="75">
        <v>40212</v>
      </c>
      <c r="Y42" s="77">
        <f t="shared" si="220"/>
        <v>0</v>
      </c>
      <c r="Z42" s="77"/>
      <c r="AA42" s="65"/>
      <c r="AB42" s="65"/>
      <c r="AC42" s="77">
        <f t="shared" si="10"/>
        <v>519.51683333333335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0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3797.2589074902412</v>
      </c>
      <c r="AQ42" s="77">
        <f t="shared" si="17"/>
        <v>14154.83381406238</v>
      </c>
      <c r="AR42" s="144">
        <f t="shared" si="18"/>
        <v>55.947959739376998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47"/>
        <v>13068.847297800003</v>
      </c>
      <c r="BB42" s="45">
        <f t="shared" si="158"/>
        <v>1.8136063416319737</v>
      </c>
      <c r="BC42" s="22"/>
      <c r="BD42" s="46"/>
      <c r="BE42" s="146">
        <f t="shared" si="159"/>
        <v>5980.98</v>
      </c>
      <c r="BF42" s="523">
        <f t="shared" si="160"/>
        <v>-7087.8672978000031</v>
      </c>
      <c r="BG42" s="44">
        <f t="shared" si="161"/>
        <v>-1.1850678814843059</v>
      </c>
      <c r="BH42" s="149">
        <f>SUM($BA42+SUM($BA42*0.1))</f>
        <v>14375.732027580003</v>
      </c>
      <c r="BI42" s="149">
        <f t="shared" ref="BI42:BL42" si="227">SUM(BH42+SUM($BZ42*0.1))</f>
        <v>15813.305230338003</v>
      </c>
      <c r="BJ42" s="149">
        <f t="shared" si="227"/>
        <v>17250.878433096004</v>
      </c>
      <c r="BK42" s="149">
        <f t="shared" si="227"/>
        <v>18688.451635854006</v>
      </c>
      <c r="BL42" s="149">
        <f t="shared" si="227"/>
        <v>20126.024838612007</v>
      </c>
      <c r="BM42" s="46"/>
      <c r="BN42" s="146">
        <f>SUM(K42*$BN$2)+(12*250)</f>
        <v>6891.24</v>
      </c>
      <c r="BO42" s="523">
        <f t="shared" si="163"/>
        <v>-6177.6072978000029</v>
      </c>
      <c r="BP42" s="44">
        <f t="shared" si="164"/>
        <v>-0.89644349896390241</v>
      </c>
      <c r="BQ42" s="149">
        <f t="shared" ref="BQ42:BQ44" si="228">SUM($BA42+SUM($BA42*0.1))</f>
        <v>14375.732027580003</v>
      </c>
      <c r="BR42" s="149">
        <f t="shared" ref="BR42:BS42" si="229">SUM(BQ42+SUM($BZ42*0.1))</f>
        <v>15813.305230338003</v>
      </c>
      <c r="BS42" s="149">
        <f t="shared" si="229"/>
        <v>17250.878433096004</v>
      </c>
      <c r="BT42" s="149">
        <f t="shared" ref="BT42:BU42" si="230">SUM(BS42*1.03)</f>
        <v>17768.404786088886</v>
      </c>
      <c r="BU42" s="149">
        <f t="shared" si="230"/>
        <v>18301.456929671553</v>
      </c>
      <c r="BV42" s="526"/>
      <c r="BW42" s="527">
        <f t="shared" si="224"/>
        <v>13210.531733667693</v>
      </c>
      <c r="BX42" s="523">
        <f t="shared" si="167"/>
        <v>141.6844358676899</v>
      </c>
      <c r="BY42" s="44">
        <f t="shared" si="168"/>
        <v>1.07251122607427E-2</v>
      </c>
      <c r="BZ42" s="149">
        <f t="shared" ref="BZ42:BZ43" si="231">SUM($BA42+SUM($BA42*0.1))</f>
        <v>14375.732027580003</v>
      </c>
      <c r="CA42" s="149">
        <f t="shared" ref="CA42:CD42" si="232">SUM(BZ42+SUM($BZ42*0.1))</f>
        <v>15813.305230338003</v>
      </c>
      <c r="CB42" s="149">
        <f t="shared" si="232"/>
        <v>17250.878433096004</v>
      </c>
      <c r="CC42" s="149">
        <f t="shared" si="232"/>
        <v>18688.451635854006</v>
      </c>
      <c r="CD42" s="149">
        <f t="shared" si="232"/>
        <v>20126.024838612007</v>
      </c>
      <c r="CE42" s="526"/>
      <c r="CF42" s="149">
        <f t="shared" si="34"/>
        <v>8896.44</v>
      </c>
      <c r="CG42" s="145">
        <f t="shared" si="226"/>
        <v>-4172.4072978000022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0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817.33519749916252</v>
      </c>
      <c r="N43" s="66"/>
      <c r="O43" s="65">
        <v>566</v>
      </c>
      <c r="P43" s="66">
        <f t="shared" si="218"/>
        <v>5.7422287152016881E-3</v>
      </c>
      <c r="Q43" s="77">
        <f t="shared" si="219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0</v>
      </c>
      <c r="W43" s="77"/>
      <c r="X43" s="75">
        <v>10782</v>
      </c>
      <c r="Y43" s="77">
        <f t="shared" si="220"/>
        <v>0</v>
      </c>
      <c r="Z43" s="77"/>
      <c r="AA43" s="65"/>
      <c r="AB43" s="65"/>
      <c r="AC43" s="77">
        <f t="shared" si="10"/>
        <v>519.51683333333335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0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106.67984795273068</v>
      </c>
      <c r="AQ43" s="77">
        <f t="shared" si="17"/>
        <v>1443.5318787852266</v>
      </c>
      <c r="AR43" s="144">
        <f t="shared" si="18"/>
        <v>5.7056595999416073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47"/>
        <v>1767.4060155120001</v>
      </c>
      <c r="BB43" s="45">
        <f t="shared" si="158"/>
        <v>2.9522372196748332</v>
      </c>
      <c r="BC43" s="22"/>
      <c r="BD43" s="46"/>
      <c r="BE43" s="146">
        <f t="shared" si="159"/>
        <v>496.89333333333326</v>
      </c>
      <c r="BF43" s="523">
        <f t="shared" si="160"/>
        <v>-1270.5126821786669</v>
      </c>
      <c r="BG43" s="44">
        <f t="shared" si="161"/>
        <v>-2.5569123128612454</v>
      </c>
      <c r="BH43" s="149">
        <f t="shared" ref="BH43:BH44" si="233">BE43</f>
        <v>496.89333333333326</v>
      </c>
      <c r="BI43" s="149">
        <f t="shared" ref="BI43:BL43" si="234">SUM(BH43*1.03)</f>
        <v>511.80013333333329</v>
      </c>
      <c r="BJ43" s="149">
        <f t="shared" si="234"/>
        <v>527.15413733333332</v>
      </c>
      <c r="BK43" s="149">
        <f t="shared" si="234"/>
        <v>542.96876145333329</v>
      </c>
      <c r="BL43" s="149">
        <f t="shared" si="234"/>
        <v>559.25782429693334</v>
      </c>
      <c r="BM43" s="46"/>
      <c r="BN43" s="146">
        <f>SUM(K43*$BN$2)+(12*100)</f>
        <v>1523.28</v>
      </c>
      <c r="BO43" s="523">
        <f t="shared" si="163"/>
        <v>-244.12601551200009</v>
      </c>
      <c r="BP43" s="44">
        <f t="shared" si="164"/>
        <v>-0.16026338920749966</v>
      </c>
      <c r="BQ43" s="149">
        <f t="shared" si="228"/>
        <v>1944.1466170632002</v>
      </c>
      <c r="BR43" s="149">
        <f t="shared" ref="BR43:BS43" si="235">SUM(BQ43+SUM($BZ43*0.1))</f>
        <v>2138.5612787695204</v>
      </c>
      <c r="BS43" s="149">
        <f t="shared" si="235"/>
        <v>2332.9759404758406</v>
      </c>
      <c r="BT43" s="149">
        <f t="shared" ref="BT43:BU43" si="236">SUM(BS43*1.03)</f>
        <v>2402.9652186901158</v>
      </c>
      <c r="BU43" s="149">
        <f t="shared" si="236"/>
        <v>2475.0541752508193</v>
      </c>
      <c r="BV43" s="526"/>
      <c r="BW43" s="527">
        <f t="shared" si="224"/>
        <v>1097.5166524964</v>
      </c>
      <c r="BX43" s="523">
        <f t="shared" si="167"/>
        <v>-669.88936301560011</v>
      </c>
      <c r="BY43" s="44">
        <f t="shared" si="168"/>
        <v>-0.61036829053288322</v>
      </c>
      <c r="BZ43" s="149">
        <f t="shared" si="231"/>
        <v>1944.1466170632002</v>
      </c>
      <c r="CA43" s="149">
        <f t="shared" ref="CA43:CD43" si="237">SUM(BZ43*1.03)</f>
        <v>2002.4710155750963</v>
      </c>
      <c r="CB43" s="149">
        <f t="shared" si="237"/>
        <v>2062.5451460423492</v>
      </c>
      <c r="CC43" s="149">
        <f t="shared" si="237"/>
        <v>2124.4215004236198</v>
      </c>
      <c r="CD43" s="149">
        <f t="shared" si="237"/>
        <v>2188.1541454363287</v>
      </c>
      <c r="CE43" s="526"/>
      <c r="CF43" s="149">
        <f t="shared" si="34"/>
        <v>1680.1100000000001</v>
      </c>
      <c r="CG43" s="145">
        <f t="shared" si="226"/>
        <v>-87.29601551199994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0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1770.7412324438983</v>
      </c>
      <c r="N44" s="66"/>
      <c r="O44" s="65">
        <v>1304</v>
      </c>
      <c r="P44" s="66">
        <f t="shared" si="218"/>
        <v>1.3229445661878095E-2</v>
      </c>
      <c r="Q44" s="77">
        <f t="shared" si="219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0</v>
      </c>
      <c r="W44" s="77"/>
      <c r="X44" s="75">
        <v>13791</v>
      </c>
      <c r="Y44" s="77">
        <f t="shared" si="220"/>
        <v>0</v>
      </c>
      <c r="Z44" s="77"/>
      <c r="AA44" s="65"/>
      <c r="AB44" s="65"/>
      <c r="AC44" s="77">
        <f t="shared" si="10"/>
        <v>519.51683333333335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0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104.45883363193053</v>
      </c>
      <c r="AQ44" s="77">
        <f t="shared" si="17"/>
        <v>2394.7168994091621</v>
      </c>
      <c r="AR44" s="144">
        <f t="shared" si="18"/>
        <v>9.4652841873879918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47"/>
        <v>1568.2616757360004</v>
      </c>
      <c r="BB44" s="45">
        <f t="shared" si="158"/>
        <v>1.2091454708835778</v>
      </c>
      <c r="BC44" s="22"/>
      <c r="BD44" s="46"/>
      <c r="BE44" s="146">
        <f t="shared" si="159"/>
        <v>1076.51</v>
      </c>
      <c r="BF44" s="523">
        <f t="shared" si="160"/>
        <v>-491.75167573600038</v>
      </c>
      <c r="BG44" s="44">
        <f t="shared" si="161"/>
        <v>-0.4568017721488889</v>
      </c>
      <c r="BH44" s="149">
        <f t="shared" si="233"/>
        <v>1076.51</v>
      </c>
      <c r="BI44" s="149">
        <f t="shared" ref="BI44:BL44" si="238">SUM(BH44*1.03)</f>
        <v>1108.8053</v>
      </c>
      <c r="BJ44" s="149">
        <f t="shared" si="238"/>
        <v>1142.0694590000001</v>
      </c>
      <c r="BK44" s="149">
        <f t="shared" si="238"/>
        <v>1176.3315427700002</v>
      </c>
      <c r="BL44" s="149">
        <f t="shared" si="238"/>
        <v>1211.6214890531003</v>
      </c>
      <c r="BM44" s="46"/>
      <c r="BN44" s="146">
        <f t="shared" ref="BN44:BN45" si="239">SUM(K44*$BN$2)+(12*75)</f>
        <v>1600.38</v>
      </c>
      <c r="BO44" s="523">
        <f t="shared" si="163"/>
        <v>32.118324263999739</v>
      </c>
      <c r="BP44" s="44">
        <f t="shared" si="164"/>
        <v>2.0069186233269434E-2</v>
      </c>
      <c r="BQ44" s="149">
        <f t="shared" si="228"/>
        <v>1725.0878433096004</v>
      </c>
      <c r="BR44" s="149">
        <f>SUM(BQ44+SUM($BZ44*0.1))</f>
        <v>1962.8627483688149</v>
      </c>
      <c r="BS44" s="149">
        <f t="shared" ref="BS44:BU44" si="240">SUM(BR44*1.03)</f>
        <v>2021.7486308198793</v>
      </c>
      <c r="BT44" s="149">
        <f t="shared" si="240"/>
        <v>2082.4010897444759</v>
      </c>
      <c r="BU44" s="149">
        <f t="shared" si="240"/>
        <v>2144.8731224368103</v>
      </c>
      <c r="BV44" s="526"/>
      <c r="BW44" s="527">
        <f t="shared" si="224"/>
        <v>2377.7490505921451</v>
      </c>
      <c r="BX44" s="523">
        <f t="shared" si="167"/>
        <v>809.4873748561447</v>
      </c>
      <c r="BY44" s="44">
        <f t="shared" si="168"/>
        <v>0.34044272866161096</v>
      </c>
      <c r="BZ44" s="149">
        <f>BW44</f>
        <v>2377.7490505921451</v>
      </c>
      <c r="CA44" s="149">
        <f t="shared" ref="CA44:CD44" si="241">SUM(BZ44*1.03)</f>
        <v>2449.0815221099097</v>
      </c>
      <c r="CB44" s="149">
        <f t="shared" si="241"/>
        <v>2522.5539677732072</v>
      </c>
      <c r="CC44" s="149">
        <f t="shared" si="241"/>
        <v>2598.2305868064036</v>
      </c>
      <c r="CD44" s="149">
        <f t="shared" si="241"/>
        <v>2676.1775044105957</v>
      </c>
      <c r="CE44" s="526"/>
      <c r="CF44" s="149">
        <f t="shared" si="34"/>
        <v>3945.1900000000005</v>
      </c>
      <c r="CG44" s="145">
        <f t="shared" si="226"/>
        <v>2376.9283242640004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0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668.97702690633014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0</v>
      </c>
      <c r="W45" s="65"/>
      <c r="X45" s="75"/>
      <c r="Y45" s="76"/>
      <c r="Z45" s="65"/>
      <c r="AA45" s="65"/>
      <c r="AB45" s="65"/>
      <c r="AC45" s="77">
        <f t="shared" si="10"/>
        <v>519.51683333333335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0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365.11360831958996</v>
      </c>
      <c r="AQ45" s="77">
        <f t="shared" si="17"/>
        <v>1553.6074685592534</v>
      </c>
      <c r="AR45" s="144">
        <f t="shared" si="18"/>
        <v>6.1407409824476424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47"/>
        <v>1306.88472978</v>
      </c>
      <c r="BB45" s="45">
        <f t="shared" si="158"/>
        <v>2.6671116934285717</v>
      </c>
      <c r="BC45" s="22"/>
      <c r="BD45" s="46"/>
      <c r="BE45" s="146">
        <f t="shared" si="159"/>
        <v>406.7</v>
      </c>
      <c r="BF45" s="523">
        <f t="shared" si="160"/>
        <v>-900.18472978</v>
      </c>
      <c r="BG45" s="44">
        <f t="shared" si="161"/>
        <v>-2.2133875824440619</v>
      </c>
      <c r="BH45" s="149">
        <f>SUM($BA45-SUM($BA45*0.1))</f>
        <v>1176.1962568020001</v>
      </c>
      <c r="BI45" s="149">
        <f t="shared" ref="BI45:BL45" si="242">SUM(BH45-SUM($BZ45*0.1))</f>
        <v>1058.5766311218001</v>
      </c>
      <c r="BJ45" s="149">
        <f t="shared" si="242"/>
        <v>940.95700544160013</v>
      </c>
      <c r="BK45" s="149">
        <f t="shared" si="242"/>
        <v>823.33737976140014</v>
      </c>
      <c r="BL45" s="149">
        <f t="shared" si="242"/>
        <v>705.71775408120016</v>
      </c>
      <c r="BM45" s="46"/>
      <c r="BN45" s="146">
        <f t="shared" si="239"/>
        <v>1164.5999999999999</v>
      </c>
      <c r="BO45" s="523">
        <f t="shared" si="163"/>
        <v>-142.28472978000013</v>
      </c>
      <c r="BP45" s="44">
        <f t="shared" si="164"/>
        <v>-0.12217476367851636</v>
      </c>
      <c r="BQ45" s="149">
        <f>SUM($BA45-SUM($BA45*0.1))</f>
        <v>1176.1962568020001</v>
      </c>
      <c r="BR45" s="149">
        <f t="shared" ref="BR45:BU45" si="243">SUM(BQ45*1.03)</f>
        <v>1211.4821445060602</v>
      </c>
      <c r="BS45" s="149">
        <f t="shared" si="243"/>
        <v>1247.826608841242</v>
      </c>
      <c r="BT45" s="149">
        <f t="shared" si="243"/>
        <v>1285.2614071064793</v>
      </c>
      <c r="BU45" s="149">
        <f t="shared" si="243"/>
        <v>1323.8192493196736</v>
      </c>
      <c r="BV45" s="526"/>
      <c r="BW45" s="527">
        <f>SUM(L45*$BA$63)+$BW$2</f>
        <v>1348.301491742599</v>
      </c>
      <c r="BX45" s="523">
        <f t="shared" si="167"/>
        <v>41.416761962598912</v>
      </c>
      <c r="BY45" s="44">
        <f t="shared" si="168"/>
        <v>3.0717730578989591E-2</v>
      </c>
      <c r="BZ45" s="149">
        <f>SUM($BA45-SUM($BA45*0.1))</f>
        <v>1176.1962568020001</v>
      </c>
      <c r="CA45" s="149">
        <f t="shared" ref="CA45:CD45" si="244">SUM(BZ45-SUM($BZ45*0.1))</f>
        <v>1058.5766311218001</v>
      </c>
      <c r="CB45" s="149">
        <f t="shared" si="244"/>
        <v>940.95700544160013</v>
      </c>
      <c r="CC45" s="149">
        <f t="shared" si="244"/>
        <v>823.33737976140014</v>
      </c>
      <c r="CD45" s="149">
        <f t="shared" si="244"/>
        <v>705.71775408120016</v>
      </c>
      <c r="CE45" s="526"/>
      <c r="CF45" s="149">
        <f t="shared" si="34"/>
        <v>1157.3600000000001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0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1335.678621748353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0</v>
      </c>
      <c r="W46" s="77"/>
      <c r="X46" s="75">
        <v>4699</v>
      </c>
      <c r="Y46" s="77">
        <f>SUM(X46*$Y$62)</f>
        <v>0</v>
      </c>
      <c r="Z46" s="77"/>
      <c r="AA46" s="65"/>
      <c r="AB46" s="65"/>
      <c r="AC46" s="77">
        <f t="shared" si="10"/>
        <v>519.51683333333335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0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187.72117301235124</v>
      </c>
      <c r="AQ46" s="77">
        <f t="shared" si="17"/>
        <v>2042.9166280940376</v>
      </c>
      <c r="AR46" s="144">
        <f t="shared" si="18"/>
        <v>8.0747692810041016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47"/>
        <v>1767.4060155120001</v>
      </c>
      <c r="BB46" s="45">
        <f t="shared" si="158"/>
        <v>1.8065478863836457</v>
      </c>
      <c r="BC46" s="22"/>
      <c r="BD46" s="46"/>
      <c r="BE46" s="146">
        <f t="shared" si="159"/>
        <v>812.01666666666665</v>
      </c>
      <c r="BF46" s="523">
        <f t="shared" si="160"/>
        <v>-955.38934884533342</v>
      </c>
      <c r="BG46" s="44">
        <f t="shared" si="161"/>
        <v>-1.176563718534513</v>
      </c>
      <c r="BH46" s="149">
        <f t="shared" ref="BH46:BH49" si="245">SUM($BA46+SUM($BA46*0.1))</f>
        <v>1944.1466170632002</v>
      </c>
      <c r="BI46" s="149">
        <f t="shared" ref="BI46:BK46" si="246">SUM(BH46+SUM($BZ46*0.1))</f>
        <v>2138.5612787695204</v>
      </c>
      <c r="BJ46" s="149">
        <f t="shared" si="246"/>
        <v>2332.9759404758406</v>
      </c>
      <c r="BK46" s="149">
        <f t="shared" si="246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3"/>
        <v>-39.106015511999885</v>
      </c>
      <c r="BP46" s="44">
        <f t="shared" si="164"/>
        <v>-2.2626867738239822E-2</v>
      </c>
      <c r="BQ46" s="149">
        <f>SUM($BA46+SUM($BA46*0.1))</f>
        <v>1944.1466170632002</v>
      </c>
      <c r="BR46" s="149">
        <f t="shared" ref="BR46:BU46" si="247">SUM(BQ46+SUM($BZ46*0.1))</f>
        <v>2138.5612787695204</v>
      </c>
      <c r="BS46" s="149">
        <f t="shared" si="247"/>
        <v>2332.9759404758406</v>
      </c>
      <c r="BT46" s="149">
        <f t="shared" si="247"/>
        <v>2527.3906021821608</v>
      </c>
      <c r="BU46" s="348">
        <f t="shared" si="247"/>
        <v>2721.805263888481</v>
      </c>
      <c r="BV46" s="526"/>
      <c r="BW46" s="527">
        <f>SUM(L46*$BA$63)</f>
        <v>1793.547536234373</v>
      </c>
      <c r="BX46" s="523">
        <f t="shared" si="167"/>
        <v>26.141520722372888</v>
      </c>
      <c r="BY46" s="44">
        <f t="shared" si="168"/>
        <v>1.4575315230985229E-2</v>
      </c>
      <c r="BZ46" s="149">
        <f t="shared" ref="BZ46:BZ49" si="248">SUM($BA46+SUM($BA46*0.1))</f>
        <v>1944.1466170632002</v>
      </c>
      <c r="CA46" s="149">
        <f t="shared" ref="CA46:CC46" si="249">SUM(BZ46+SUM($BZ46*0.1))</f>
        <v>2138.5612787695204</v>
      </c>
      <c r="CB46" s="149">
        <f t="shared" si="249"/>
        <v>2332.9759404758406</v>
      </c>
      <c r="CC46" s="149">
        <f t="shared" si="249"/>
        <v>2527.3906021821608</v>
      </c>
      <c r="CD46" s="149">
        <f>SUM(CC46*1.03)</f>
        <v>2603.2123202476255</v>
      </c>
      <c r="CE46" s="526"/>
      <c r="CF46" s="149">
        <f t="shared" si="34"/>
        <v>1230.46</v>
      </c>
      <c r="CG46" s="145">
        <f>SUM(CF46-BA46)</f>
        <v>-536.94601551200003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2.7305184771686948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0</v>
      </c>
      <c r="W47" s="65"/>
      <c r="X47" s="75"/>
      <c r="Y47" s="76"/>
      <c r="Z47" s="65"/>
      <c r="AA47" s="65"/>
      <c r="AB47" s="65"/>
      <c r="AC47" s="77">
        <f t="shared" si="10"/>
        <v>519.51683333333335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0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22.364901581576355</v>
      </c>
      <c r="AQ47" s="77">
        <f t="shared" si="17"/>
        <v>544.6122533920784</v>
      </c>
      <c r="AR47" s="144">
        <f t="shared" si="18"/>
        <v>2.1526176023402308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47"/>
        <v>392.06541893400009</v>
      </c>
      <c r="BB47" s="45">
        <f t="shared" si="158"/>
        <v>196.03270946700005</v>
      </c>
      <c r="BC47" s="22"/>
      <c r="BD47" s="46"/>
      <c r="BE47" s="146">
        <f t="shared" si="159"/>
        <v>1.66</v>
      </c>
      <c r="BF47" s="523">
        <f t="shared" si="160"/>
        <v>-390.40541893400007</v>
      </c>
      <c r="BG47" s="44">
        <f t="shared" si="161"/>
        <v>-235.18398730963861</v>
      </c>
      <c r="BH47" s="149">
        <f t="shared" si="245"/>
        <v>431.27196082740011</v>
      </c>
      <c r="BI47" s="149">
        <f t="shared" ref="BI47:BL47" si="250">SUM(BH47*1.03)</f>
        <v>444.21011965222215</v>
      </c>
      <c r="BJ47" s="149">
        <f t="shared" si="250"/>
        <v>457.53642324178884</v>
      </c>
      <c r="BK47" s="149">
        <f t="shared" si="250"/>
        <v>471.26251593904254</v>
      </c>
      <c r="BL47" s="149">
        <f t="shared" si="250"/>
        <v>485.40039141721383</v>
      </c>
      <c r="BM47" s="46"/>
      <c r="BN47" s="146">
        <f>SUM(K47*$BN$2)+(12*10)</f>
        <v>121.08</v>
      </c>
      <c r="BO47" s="523">
        <f t="shared" si="163"/>
        <v>-270.98541893400011</v>
      </c>
      <c r="BP47" s="44">
        <f t="shared" si="164"/>
        <v>-2.2380692016352834</v>
      </c>
      <c r="BQ47" s="149">
        <f t="shared" ref="BQ47:BQ48" si="251">SUM($BA47-SUM($BA47*0.1))</f>
        <v>352.85887704060008</v>
      </c>
      <c r="BR47" s="149">
        <f t="shared" ref="BR47:BT47" si="252">SUM(BQ47-SUM($BZ47*0.1))</f>
        <v>309.73168095786008</v>
      </c>
      <c r="BS47" s="149">
        <f t="shared" si="252"/>
        <v>266.60448487512008</v>
      </c>
      <c r="BT47" s="149">
        <f t="shared" si="252"/>
        <v>223.47728879238008</v>
      </c>
      <c r="BU47" s="149">
        <f t="shared" ref="BU47:BU48" si="253">SUM(BT47*1.03)</f>
        <v>230.18160745615148</v>
      </c>
      <c r="BV47" s="526"/>
      <c r="BW47" s="53">
        <v>450</v>
      </c>
      <c r="BX47" s="523">
        <f t="shared" si="167"/>
        <v>57.934581065999907</v>
      </c>
      <c r="BY47" s="44">
        <f t="shared" si="168"/>
        <v>0.12874351347999979</v>
      </c>
      <c r="BZ47" s="149">
        <f t="shared" si="248"/>
        <v>431.27196082740011</v>
      </c>
      <c r="CA47" s="149">
        <f t="shared" ref="CA47:CD47" si="254">SUM(BZ47*1.03)</f>
        <v>444.21011965222215</v>
      </c>
      <c r="CB47" s="149">
        <f t="shared" si="254"/>
        <v>457.53642324178884</v>
      </c>
      <c r="CC47" s="149">
        <f t="shared" si="254"/>
        <v>471.26251593904254</v>
      </c>
      <c r="CD47" s="149">
        <f t="shared" si="254"/>
        <v>485.40039141721383</v>
      </c>
      <c r="CE47" s="526"/>
      <c r="CF47" s="149">
        <f t="shared" si="34"/>
        <v>192.44000000000003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1.3652592385843474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0</v>
      </c>
      <c r="W48" s="65"/>
      <c r="X48" s="75"/>
      <c r="Y48" s="76"/>
      <c r="Z48" s="65"/>
      <c r="AA48" s="65"/>
      <c r="AB48" s="65"/>
      <c r="AC48" s="77">
        <f t="shared" si="10"/>
        <v>519.51683333333335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520.88209257191772</v>
      </c>
      <c r="AR48" s="144">
        <f t="shared" si="18"/>
        <v>2.0588225002842599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47"/>
        <v>392.06541893400009</v>
      </c>
      <c r="BB48" s="45"/>
      <c r="BC48" s="22"/>
      <c r="BD48" s="46"/>
      <c r="BE48" s="52"/>
      <c r="BF48" s="22"/>
      <c r="BG48" s="22"/>
      <c r="BH48" s="149">
        <f t="shared" si="245"/>
        <v>431.27196082740011</v>
      </c>
      <c r="BI48" s="149">
        <f t="shared" ref="BI48:BL48" si="255">SUM(BH48*1.03)</f>
        <v>444.21011965222215</v>
      </c>
      <c r="BJ48" s="149">
        <f t="shared" si="255"/>
        <v>457.53642324178884</v>
      </c>
      <c r="BK48" s="149">
        <f t="shared" si="255"/>
        <v>471.26251593904254</v>
      </c>
      <c r="BL48" s="149">
        <f t="shared" si="255"/>
        <v>485.40039141721383</v>
      </c>
      <c r="BM48" s="46"/>
      <c r="BN48" s="540">
        <v>400</v>
      </c>
      <c r="BO48" s="22"/>
      <c r="BP48" s="22"/>
      <c r="BQ48" s="149">
        <f t="shared" si="251"/>
        <v>352.85887704060008</v>
      </c>
      <c r="BR48" s="149">
        <f t="shared" ref="BR48:BT48" si="256">SUM(BQ48-SUM($BZ48*0.1))</f>
        <v>309.73168095786008</v>
      </c>
      <c r="BS48" s="149">
        <f t="shared" si="256"/>
        <v>266.60448487512008</v>
      </c>
      <c r="BT48" s="149">
        <f t="shared" si="256"/>
        <v>223.47728879238008</v>
      </c>
      <c r="BU48" s="149">
        <f t="shared" si="253"/>
        <v>230.18160745615148</v>
      </c>
      <c r="BV48" s="521"/>
      <c r="BW48" s="22">
        <v>450</v>
      </c>
      <c r="BX48" s="22"/>
      <c r="BY48" s="22"/>
      <c r="BZ48" s="149">
        <f t="shared" si="248"/>
        <v>431.27196082740011</v>
      </c>
      <c r="CA48" s="149">
        <f t="shared" ref="CA48:CD48" si="257">SUM(BZ48*1.03)</f>
        <v>444.21011965222215</v>
      </c>
      <c r="CB48" s="149">
        <f t="shared" si="257"/>
        <v>457.53642324178884</v>
      </c>
      <c r="CC48" s="149">
        <f t="shared" si="257"/>
        <v>471.26251593904254</v>
      </c>
      <c r="CD48" s="149">
        <f t="shared" si="257"/>
        <v>485.40039141721383</v>
      </c>
      <c r="CE48" s="521"/>
      <c r="CF48" s="149">
        <f t="shared" si="34"/>
        <v>245.82000000000002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0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20492.086084738192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0</v>
      </c>
      <c r="W49" s="77"/>
      <c r="X49" s="75">
        <v>143207</v>
      </c>
      <c r="Y49" s="77">
        <f>SUM(X49*$Y$62)</f>
        <v>0</v>
      </c>
      <c r="Z49" s="77"/>
      <c r="AA49" s="65"/>
      <c r="AB49" s="65"/>
      <c r="AC49" s="77">
        <f t="shared" si="10"/>
        <v>519.51683333333335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0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2141.0587855795357</v>
      </c>
      <c r="AQ49" s="77">
        <f t="shared" si="17"/>
        <v>23152.661703651062</v>
      </c>
      <c r="AR49" s="144">
        <f t="shared" si="18"/>
        <v>91.512496852375733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47"/>
        <v>13068.847297800003</v>
      </c>
      <c r="BB49" s="45">
        <f t="shared" ref="BB49:BB57" si="258">SUM(BA49/K49)</f>
        <v>0.87069537172488864</v>
      </c>
      <c r="BC49" s="22"/>
      <c r="BD49" s="46"/>
      <c r="BE49" s="146">
        <f t="shared" ref="BE49:BE57" si="259">SUM(K49*$BE$2)</f>
        <v>12458.023333333333</v>
      </c>
      <c r="BF49" s="523">
        <f t="shared" ref="BF49:BF57" si="260">SUM(BE49-BA49)</f>
        <v>-610.82396446667008</v>
      </c>
      <c r="BG49" s="44">
        <f t="shared" ref="BG49:BG57" si="261">SUM(BE49-BA49)/BE49</f>
        <v>-4.9030568343239322E-2</v>
      </c>
      <c r="BH49" s="149">
        <f t="shared" si="245"/>
        <v>14375.732027580003</v>
      </c>
      <c r="BI49" s="149">
        <f t="shared" ref="BI49:BL49" si="262">SUM(BH49+SUM($BZ49*0.1))</f>
        <v>15813.305230338003</v>
      </c>
      <c r="BJ49" s="149">
        <f t="shared" si="262"/>
        <v>17250.878433096004</v>
      </c>
      <c r="BK49" s="149">
        <f t="shared" si="262"/>
        <v>18688.451635854006</v>
      </c>
      <c r="BL49" s="149">
        <f t="shared" si="262"/>
        <v>20126.024838612007</v>
      </c>
      <c r="BM49" s="46"/>
      <c r="BN49" s="146">
        <f>SUM(K49*$BN$2)+(12*250)</f>
        <v>11105.220000000001</v>
      </c>
      <c r="BO49" s="523">
        <f t="shared" ref="BO49:BO56" si="263">SUM(BN49-BA49)</f>
        <v>-1963.6272978000015</v>
      </c>
      <c r="BP49" s="44">
        <f t="shared" ref="BP49:BP56" si="264">SUM(BN49-BA49)/BN49</f>
        <v>-0.17682020687568561</v>
      </c>
      <c r="BQ49" s="149">
        <f>SUM($BA49+SUM($BA49*0.1))</f>
        <v>14375.732027580003</v>
      </c>
      <c r="BR49" s="149">
        <f t="shared" ref="BR49:BS49" si="265">SUM(BQ49+SUM($BZ49*0.1))</f>
        <v>15813.305230338003</v>
      </c>
      <c r="BS49" s="149">
        <f t="shared" si="265"/>
        <v>17250.878433096004</v>
      </c>
      <c r="BT49" s="149">
        <f t="shared" ref="BT49:BU49" si="266">SUM(BS49*1.03)</f>
        <v>17768.404786088886</v>
      </c>
      <c r="BU49" s="149">
        <f t="shared" si="266"/>
        <v>18301.456929671553</v>
      </c>
      <c r="BV49" s="526"/>
      <c r="BW49" s="527">
        <f t="shared" ref="BW49:BW50" si="267">SUM(L49*$BA$63)</f>
        <v>27516.74685148129</v>
      </c>
      <c r="BX49" s="523">
        <f t="shared" ref="BX49:BX56" si="268">SUM(BW49-$BA49)</f>
        <v>14447.899553681287</v>
      </c>
      <c r="BY49" s="44">
        <f t="shared" ref="BY49:BY56" si="269">SUM(BW49-$BA49)/BW49</f>
        <v>0.52505841739440662</v>
      </c>
      <c r="BZ49" s="149">
        <f t="shared" si="248"/>
        <v>14375.732027580003</v>
      </c>
      <c r="CA49" s="149">
        <f t="shared" ref="CA49:CD49" si="270">SUM(BZ49+SUM($BZ49*0.1))</f>
        <v>15813.305230338003</v>
      </c>
      <c r="CB49" s="149">
        <f t="shared" si="270"/>
        <v>17250.878433096004</v>
      </c>
      <c r="CC49" s="149">
        <f t="shared" si="270"/>
        <v>18688.451635854006</v>
      </c>
      <c r="CD49" s="149">
        <f t="shared" si="270"/>
        <v>20126.024838612007</v>
      </c>
      <c r="CE49" s="526"/>
      <c r="CF49" s="149">
        <f t="shared" si="34"/>
        <v>18218.22</v>
      </c>
      <c r="CG49" s="145">
        <f>SUM(CF49-BA49)</f>
        <v>5149.3727021999985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0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3395.3997263592719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0</v>
      </c>
      <c r="W50" s="65"/>
      <c r="X50" s="75"/>
      <c r="Y50" s="76"/>
      <c r="Z50" s="65"/>
      <c r="AA50" s="65"/>
      <c r="AB50" s="65"/>
      <c r="AC50" s="77">
        <f t="shared" si="10"/>
        <v>519.51683333333335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0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-70.693321903586735</v>
      </c>
      <c r="AQ50" s="77">
        <f t="shared" si="17"/>
        <v>3844.2232377890182</v>
      </c>
      <c r="AR50" s="144">
        <f t="shared" si="18"/>
        <v>15.194558252130507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47"/>
        <v>6534.4236489000014</v>
      </c>
      <c r="BB50" s="45">
        <f t="shared" si="258"/>
        <v>2.6274321065138726</v>
      </c>
      <c r="BC50" s="45">
        <f>AVERAGE(BB49:BB50)</f>
        <v>1.7490637391193806</v>
      </c>
      <c r="BD50" s="46"/>
      <c r="BE50" s="146">
        <f t="shared" si="259"/>
        <v>2064.21</v>
      </c>
      <c r="BF50" s="523">
        <f t="shared" si="260"/>
        <v>-4470.2136489000013</v>
      </c>
      <c r="BG50" s="44">
        <f t="shared" si="261"/>
        <v>-2.1655808512215331</v>
      </c>
      <c r="BH50" s="149">
        <f t="shared" ref="BH50:BH52" si="271">SUM($BA50-SUM($BA50*0.1))</f>
        <v>5880.9812840100012</v>
      </c>
      <c r="BI50" s="149">
        <f t="shared" ref="BI50:BL50" si="272">SUM(BH50-SUM($BZ50*0.1))</f>
        <v>5292.8831556090008</v>
      </c>
      <c r="BJ50" s="149">
        <f t="shared" si="272"/>
        <v>4704.7850272080004</v>
      </c>
      <c r="BK50" s="149">
        <f t="shared" si="272"/>
        <v>4116.686898807</v>
      </c>
      <c r="BL50" s="149">
        <f t="shared" si="272"/>
        <v>3528.5887704059996</v>
      </c>
      <c r="BM50" s="46"/>
      <c r="BN50" s="146">
        <f>SUM(K50*$BN$2)+(12*350)</f>
        <v>5542.98</v>
      </c>
      <c r="BO50" s="523">
        <f t="shared" si="263"/>
        <v>-991.44364890000179</v>
      </c>
      <c r="BP50" s="44">
        <f t="shared" si="264"/>
        <v>-0.17886473501618297</v>
      </c>
      <c r="BQ50" s="149">
        <f t="shared" ref="BQ50:BQ52" si="273">SUM($BA50-SUM($BA50*0.1))</f>
        <v>5880.9812840100012</v>
      </c>
      <c r="BR50" s="149">
        <f t="shared" ref="BR50:BR52" si="274">SUM(BQ50-SUM($BZ50*0.1))</f>
        <v>5292.8831556090008</v>
      </c>
      <c r="BS50" s="149">
        <f t="shared" ref="BS50:BU50" si="275">SUM(BR50*1.03)</f>
        <v>5451.6696502772711</v>
      </c>
      <c r="BT50" s="149">
        <f t="shared" si="275"/>
        <v>5615.2197397855898</v>
      </c>
      <c r="BU50" s="149">
        <f t="shared" si="275"/>
        <v>5783.676331979158</v>
      </c>
      <c r="BV50" s="526"/>
      <c r="BW50" s="527">
        <f t="shared" si="267"/>
        <v>4559.338387681315</v>
      </c>
      <c r="BX50" s="523">
        <f t="shared" si="268"/>
        <v>-1975.0852612186864</v>
      </c>
      <c r="BY50" s="44">
        <f t="shared" si="269"/>
        <v>-0.43319558525313373</v>
      </c>
      <c r="BZ50" s="149">
        <f t="shared" ref="BZ50:BZ52" si="276">SUM($BA50-SUM($BA50*0.1))</f>
        <v>5880.9812840100012</v>
      </c>
      <c r="CA50" s="149">
        <f t="shared" ref="CA50:CD50" si="277">SUM(BZ50-SUM($BZ50*0.1))</f>
        <v>5292.8831556090008</v>
      </c>
      <c r="CB50" s="149">
        <f t="shared" si="277"/>
        <v>4704.7850272080004</v>
      </c>
      <c r="CC50" s="149">
        <f t="shared" si="277"/>
        <v>4116.686898807</v>
      </c>
      <c r="CD50" s="149">
        <f t="shared" si="277"/>
        <v>3528.5887704059996</v>
      </c>
      <c r="CE50" s="526"/>
      <c r="CF50" s="149">
        <f t="shared" si="34"/>
        <v>6239.17</v>
      </c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0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126.51402277548286</v>
      </c>
      <c r="N51" s="66"/>
      <c r="O51" s="65">
        <v>140</v>
      </c>
      <c r="P51" s="66">
        <f t="shared" ref="P51:P54" si="278">SUM(O51/$O$60)</f>
        <v>1.4203392581770961E-3</v>
      </c>
      <c r="Q51" s="77">
        <f t="shared" ref="Q51:Q54" si="279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0</v>
      </c>
      <c r="W51" s="77"/>
      <c r="X51" s="75">
        <v>16880</v>
      </c>
      <c r="Y51" s="77">
        <f t="shared" ref="Y51:Y54" si="280">SUM(X51*$Y$62)</f>
        <v>0</v>
      </c>
      <c r="Z51" s="77"/>
      <c r="AA51" s="65"/>
      <c r="AB51" s="65"/>
      <c r="AC51" s="77">
        <f t="shared" si="10"/>
        <v>519.51683333333335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0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127.82687493326057</v>
      </c>
      <c r="AQ51" s="77">
        <f t="shared" si="17"/>
        <v>773.85773104207681</v>
      </c>
      <c r="AR51" s="144">
        <f t="shared" si="18"/>
        <v>3.0587262096524777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47"/>
        <v>1306.88472978</v>
      </c>
      <c r="BB51" s="525">
        <f t="shared" si="258"/>
        <v>14.103072623525179</v>
      </c>
      <c r="BC51" s="45">
        <f>AVERAGE(BB47:BB51)</f>
        <v>53.408477392190996</v>
      </c>
      <c r="BD51" s="46"/>
      <c r="BE51" s="146">
        <f t="shared" si="259"/>
        <v>76.913333333333327</v>
      </c>
      <c r="BF51" s="523">
        <f t="shared" si="260"/>
        <v>-1229.9713964466666</v>
      </c>
      <c r="BG51" s="44">
        <f t="shared" si="261"/>
        <v>-15.991653763283351</v>
      </c>
      <c r="BH51" s="149">
        <f t="shared" si="271"/>
        <v>1176.1962568020001</v>
      </c>
      <c r="BI51" s="149">
        <f t="shared" ref="BI51:BL51" si="281">SUM(BH51-SUM($BZ51*0.1))</f>
        <v>1058.5766311218001</v>
      </c>
      <c r="BJ51" s="149">
        <f t="shared" si="281"/>
        <v>940.95700544160013</v>
      </c>
      <c r="BK51" s="149">
        <f t="shared" si="281"/>
        <v>823.33737976140014</v>
      </c>
      <c r="BL51" s="149">
        <f t="shared" si="281"/>
        <v>705.71775408120016</v>
      </c>
      <c r="BM51" s="46"/>
      <c r="BN51" s="146">
        <f>SUM(K51*$BN$2)+(12*50)</f>
        <v>650.04</v>
      </c>
      <c r="BO51" s="523">
        <f t="shared" si="263"/>
        <v>-656.84472978000008</v>
      </c>
      <c r="BP51" s="44">
        <f t="shared" si="264"/>
        <v>-1.0104681708510248</v>
      </c>
      <c r="BQ51" s="149">
        <f t="shared" si="273"/>
        <v>1176.1962568020001</v>
      </c>
      <c r="BR51" s="149">
        <f t="shared" si="274"/>
        <v>1058.5766311218001</v>
      </c>
      <c r="BS51" s="149">
        <f t="shared" ref="BS51:BT51" si="282">SUM(BR51-SUM($BZ51*0.1))</f>
        <v>940.95700544160013</v>
      </c>
      <c r="BT51" s="149">
        <f t="shared" si="282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68"/>
        <v>-687.0018626341207</v>
      </c>
      <c r="BY51" s="44">
        <f t="shared" si="269"/>
        <v>-1.1082769004364916</v>
      </c>
      <c r="BZ51" s="149">
        <f t="shared" si="276"/>
        <v>1176.1962568020001</v>
      </c>
      <c r="CA51" s="149">
        <f t="shared" ref="CA51:CD51" si="283">SUM(BZ51-SUM($BZ51*0.1))</f>
        <v>1058.5766311218001</v>
      </c>
      <c r="CB51" s="149">
        <f t="shared" si="283"/>
        <v>940.95700544160013</v>
      </c>
      <c r="CC51" s="149">
        <f t="shared" si="283"/>
        <v>823.33737976140014</v>
      </c>
      <c r="CD51" s="149">
        <f t="shared" si="283"/>
        <v>705.71775408120016</v>
      </c>
      <c r="CE51" s="526"/>
      <c r="CF51" s="149">
        <f t="shared" si="34"/>
        <v>1789.5900000000001</v>
      </c>
      <c r="CG51" s="145">
        <f t="shared" ref="CG51:CG54" si="284">SUM(CF51-BA51)</f>
        <v>482.7052702200001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0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1955.9614024785085</v>
      </c>
      <c r="N52" s="66"/>
      <c r="O52" s="65">
        <v>1449</v>
      </c>
      <c r="P52" s="66">
        <f t="shared" si="278"/>
        <v>1.4700511322132943E-2</v>
      </c>
      <c r="Q52" s="77">
        <f t="shared" si="279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0</v>
      </c>
      <c r="W52" s="77"/>
      <c r="X52" s="75">
        <v>12327</v>
      </c>
      <c r="Y52" s="77">
        <f t="shared" si="280"/>
        <v>0</v>
      </c>
      <c r="Z52" s="77"/>
      <c r="AA52" s="65"/>
      <c r="AB52" s="65"/>
      <c r="AC52" s="77">
        <f t="shared" si="10"/>
        <v>519.51683333333335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0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55.797779504763696</v>
      </c>
      <c r="AQ52" s="77">
        <f t="shared" si="17"/>
        <v>2531.2760153166055</v>
      </c>
      <c r="AR52" s="144">
        <f t="shared" si="18"/>
        <v>10.005043538800813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47"/>
        <v>10430.184795768002</v>
      </c>
      <c r="BB52" s="525">
        <f t="shared" si="258"/>
        <v>7.2802592804336914</v>
      </c>
      <c r="BC52" s="22"/>
      <c r="BD52" s="46"/>
      <c r="BE52" s="146">
        <f t="shared" si="259"/>
        <v>1189.1133333333332</v>
      </c>
      <c r="BF52" s="523">
        <f t="shared" si="260"/>
        <v>-9241.0714624346692</v>
      </c>
      <c r="BG52" s="44">
        <f t="shared" si="261"/>
        <v>-7.771396723414087</v>
      </c>
      <c r="BH52" s="149">
        <f t="shared" si="271"/>
        <v>9387.166316191202</v>
      </c>
      <c r="BI52" s="149">
        <f>SUM(BH52-SUM($BZ52*0.1))</f>
        <v>8448.4496845720823</v>
      </c>
      <c r="BJ52" s="149">
        <f t="shared" ref="BJ52:BL52" si="285">SUM(BI52*1.03)</f>
        <v>8701.9031751092443</v>
      </c>
      <c r="BK52" s="149">
        <f t="shared" si="285"/>
        <v>8962.9602703625224</v>
      </c>
      <c r="BL52" s="149">
        <f t="shared" si="285"/>
        <v>9231.8490784733985</v>
      </c>
      <c r="BM52" s="46"/>
      <c r="BN52" s="146">
        <f>SUM(K52*$BN$2)+(12*200)</f>
        <v>3173.6400000000003</v>
      </c>
      <c r="BO52" s="523">
        <f t="shared" si="263"/>
        <v>-7256.5447957680017</v>
      </c>
      <c r="BP52" s="44">
        <f t="shared" si="264"/>
        <v>-2.28650533638598</v>
      </c>
      <c r="BQ52" s="149">
        <f t="shared" si="273"/>
        <v>9387.166316191202</v>
      </c>
      <c r="BR52" s="149">
        <f t="shared" si="274"/>
        <v>8448.4496845720823</v>
      </c>
      <c r="BS52" s="149">
        <f t="shared" ref="BS52:BU52" si="286">SUM(BR52*1.03)</f>
        <v>8701.9031751092443</v>
      </c>
      <c r="BT52" s="149">
        <f t="shared" si="286"/>
        <v>8962.9602703625224</v>
      </c>
      <c r="BU52" s="149">
        <f t="shared" si="286"/>
        <v>9231.8490784733985</v>
      </c>
      <c r="BV52" s="526"/>
      <c r="BW52" s="527">
        <f t="shared" ref="BW52:BW54" si="287">SUM(L52*$BA$63)</f>
        <v>2626.4624568093141</v>
      </c>
      <c r="BX52" s="523">
        <f t="shared" si="268"/>
        <v>-7803.7223389586879</v>
      </c>
      <c r="BY52" s="44">
        <f t="shared" si="269"/>
        <v>-2.971191276207628</v>
      </c>
      <c r="BZ52" s="149">
        <f t="shared" si="276"/>
        <v>9387.166316191202</v>
      </c>
      <c r="CA52" s="149">
        <f>SUM(BZ52-SUM($BZ52*0.1))</f>
        <v>8448.4496845720823</v>
      </c>
      <c r="CB52" s="149">
        <f t="shared" ref="CB52:CD52" si="288">SUM(CA52*1.03)</f>
        <v>8701.9031751092443</v>
      </c>
      <c r="CC52" s="149">
        <f t="shared" si="288"/>
        <v>8962.9602703625224</v>
      </c>
      <c r="CD52" s="149">
        <f t="shared" si="288"/>
        <v>9231.8490784733985</v>
      </c>
      <c r="CE52" s="526"/>
      <c r="CF52" s="149">
        <f t="shared" si="34"/>
        <v>4492.25</v>
      </c>
      <c r="CG52" s="145">
        <f t="shared" si="284"/>
        <v>-5937.934795768002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0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1694.7418014960365</v>
      </c>
      <c r="N53" s="66"/>
      <c r="O53" s="65">
        <v>1795</v>
      </c>
      <c r="P53" s="66">
        <f t="shared" si="278"/>
        <v>1.8210778345913482E-2</v>
      </c>
      <c r="Q53" s="77">
        <f t="shared" si="279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0</v>
      </c>
      <c r="W53" s="77"/>
      <c r="X53" s="75">
        <v>5000</v>
      </c>
      <c r="Y53" s="77">
        <f t="shared" si="280"/>
        <v>0</v>
      </c>
      <c r="Z53" s="77"/>
      <c r="AA53" s="65"/>
      <c r="AB53" s="65"/>
      <c r="AC53" s="77">
        <f t="shared" si="10"/>
        <v>519.51683333333335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0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240.33135685725472</v>
      </c>
      <c r="AQ53" s="77">
        <f t="shared" si="17"/>
        <v>2454.5899916866247</v>
      </c>
      <c r="AR53" s="144">
        <f t="shared" si="18"/>
        <v>9.7019367260340896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47"/>
        <v>1767.4060155120001</v>
      </c>
      <c r="BB53" s="45">
        <f t="shared" si="258"/>
        <v>1.4237964679205157</v>
      </c>
      <c r="BC53" s="22"/>
      <c r="BD53" s="46"/>
      <c r="BE53" s="146">
        <f t="shared" si="259"/>
        <v>1030.3066666666666</v>
      </c>
      <c r="BF53" s="523">
        <f t="shared" si="260"/>
        <v>-737.09934884533345</v>
      </c>
      <c r="BG53" s="44">
        <f t="shared" si="261"/>
        <v>-0.71541743122953694</v>
      </c>
      <c r="BH53" s="149">
        <f>SUM($BA53+SUM($BA53*0.1))</f>
        <v>1944.1466170632002</v>
      </c>
      <c r="BI53" s="149">
        <f t="shared" ref="BI53:BL53" si="289">SUM(BH53+SUM($BZ53*0.1))</f>
        <v>2138.5612787695204</v>
      </c>
      <c r="BJ53" s="149">
        <f t="shared" si="289"/>
        <v>2332.9759404758406</v>
      </c>
      <c r="BK53" s="149">
        <f t="shared" si="289"/>
        <v>2527.3906021821608</v>
      </c>
      <c r="BL53" s="149">
        <f t="shared" si="289"/>
        <v>2721.805263888481</v>
      </c>
      <c r="BM53" s="46"/>
      <c r="BN53" s="146">
        <f t="shared" ref="BN53:BN54" si="290">SUM(K53*$BN$2)+(12*100)</f>
        <v>1870.3200000000002</v>
      </c>
      <c r="BO53" s="523">
        <f t="shared" si="263"/>
        <v>102.9139844880001</v>
      </c>
      <c r="BP53" s="44">
        <f t="shared" si="264"/>
        <v>5.5024800295136705E-2</v>
      </c>
      <c r="BQ53" s="149">
        <f t="shared" ref="BQ53:BQ54" si="291">SUM($BA53+SUM($BA53*0.1))</f>
        <v>1944.1466170632002</v>
      </c>
      <c r="BR53" s="149">
        <f t="shared" ref="BR53:BU53" si="292">SUM(BQ53+SUM($BZ53*0.1))</f>
        <v>2138.5612787695204</v>
      </c>
      <c r="BS53" s="149">
        <f t="shared" si="292"/>
        <v>2332.9759404758406</v>
      </c>
      <c r="BT53" s="149">
        <f t="shared" si="292"/>
        <v>2527.3906021821608</v>
      </c>
      <c r="BU53" s="348">
        <f t="shared" si="292"/>
        <v>2721.805263888481</v>
      </c>
      <c r="BV53" s="526"/>
      <c r="BW53" s="527">
        <f t="shared" si="287"/>
        <v>2275.6971124145844</v>
      </c>
      <c r="BX53" s="523">
        <f t="shared" si="268"/>
        <v>508.29109690258429</v>
      </c>
      <c r="BY53" s="44">
        <f t="shared" si="269"/>
        <v>0.22335621648843762</v>
      </c>
      <c r="BZ53" s="149">
        <f>SUM($BA53+SUM($BA53*0.1))</f>
        <v>1944.1466170632002</v>
      </c>
      <c r="CA53" s="149">
        <f t="shared" ref="CA53:CC53" si="293">SUM(BZ53+SUM($BZ53*0.1))</f>
        <v>2138.5612787695204</v>
      </c>
      <c r="CB53" s="149">
        <f t="shared" si="293"/>
        <v>2332.9759404758406</v>
      </c>
      <c r="CC53" s="149">
        <f t="shared" si="293"/>
        <v>2527.3906021821608</v>
      </c>
      <c r="CD53" s="149">
        <f>SUM(CC53*1.03)</f>
        <v>2603.2123202476255</v>
      </c>
      <c r="CE53" s="526"/>
      <c r="CF53" s="149">
        <f t="shared" si="34"/>
        <v>3748.84</v>
      </c>
      <c r="CG53" s="145">
        <f t="shared" si="284"/>
        <v>1981.4339844880001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0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1504.0605945070895</v>
      </c>
      <c r="N54" s="66"/>
      <c r="O54" s="65">
        <v>1090</v>
      </c>
      <c r="P54" s="66">
        <f t="shared" si="278"/>
        <v>1.1058355652950248E-2</v>
      </c>
      <c r="Q54" s="77">
        <f t="shared" si="279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0</v>
      </c>
      <c r="W54" s="77"/>
      <c r="X54" s="75">
        <v>2112</v>
      </c>
      <c r="Y54" s="77">
        <f t="shared" si="280"/>
        <v>0</v>
      </c>
      <c r="Z54" s="77"/>
      <c r="AA54" s="65"/>
      <c r="AB54" s="65"/>
      <c r="AC54" s="77">
        <f t="shared" si="10"/>
        <v>519.51683333333335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0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843.16413303987758</v>
      </c>
      <c r="AQ54" s="77">
        <f t="shared" si="17"/>
        <v>2866.7415608803003</v>
      </c>
      <c r="AR54" s="144">
        <f t="shared" si="18"/>
        <v>11.330994311779843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58"/>
        <v>1.4239742813918304</v>
      </c>
      <c r="BC54" s="22"/>
      <c r="BD54" s="46"/>
      <c r="BE54" s="146">
        <f t="shared" si="259"/>
        <v>914.38333333333333</v>
      </c>
      <c r="BF54" s="523">
        <f t="shared" si="260"/>
        <v>-654.36166666666657</v>
      </c>
      <c r="BG54" s="44">
        <f t="shared" si="261"/>
        <v>-0.71563166432750658</v>
      </c>
      <c r="BH54" s="149">
        <f>BE54</f>
        <v>914.38333333333333</v>
      </c>
      <c r="BI54" s="149">
        <f t="shared" ref="BI54:BL54" si="294">SUM(BH54*1.03)</f>
        <v>941.81483333333335</v>
      </c>
      <c r="BJ54" s="149">
        <f t="shared" si="294"/>
        <v>970.06927833333339</v>
      </c>
      <c r="BK54" s="149">
        <f t="shared" si="294"/>
        <v>999.17135668333344</v>
      </c>
      <c r="BL54" s="149">
        <f t="shared" si="294"/>
        <v>1029.1464973838335</v>
      </c>
      <c r="BM54" s="46"/>
      <c r="BN54" s="146">
        <f t="shared" si="290"/>
        <v>1794.9</v>
      </c>
      <c r="BO54" s="523">
        <f t="shared" si="263"/>
        <v>226.1550000000002</v>
      </c>
      <c r="BP54" s="44">
        <f t="shared" si="264"/>
        <v>0.12599866287815487</v>
      </c>
      <c r="BQ54" s="149">
        <f t="shared" si="291"/>
        <v>1725.6194999999998</v>
      </c>
      <c r="BR54" s="149">
        <f t="shared" ref="BR54:BU54" si="295">SUM(BQ54+SUM($BZ54*0.1))</f>
        <v>1927.5845632795433</v>
      </c>
      <c r="BS54" s="149">
        <f t="shared" si="295"/>
        <v>2129.5496265590868</v>
      </c>
      <c r="BT54" s="149">
        <f t="shared" si="295"/>
        <v>2331.5146898386306</v>
      </c>
      <c r="BU54" s="149">
        <f t="shared" si="295"/>
        <v>2533.4797531181744</v>
      </c>
      <c r="BV54" s="526"/>
      <c r="BW54" s="527">
        <f t="shared" si="287"/>
        <v>2019.6506327954357</v>
      </c>
      <c r="BX54" s="523">
        <f t="shared" si="268"/>
        <v>450.90563279543585</v>
      </c>
      <c r="BY54" s="44">
        <f t="shared" si="269"/>
        <v>0.2232592238843453</v>
      </c>
      <c r="BZ54" s="149">
        <f>BW54</f>
        <v>2019.6506327954357</v>
      </c>
      <c r="CA54" s="149">
        <f t="shared" ref="CA54:CD54" si="296">SUM(BZ54*1.03)</f>
        <v>2080.2401517792987</v>
      </c>
      <c r="CB54" s="149">
        <f t="shared" si="296"/>
        <v>2142.6473563326776</v>
      </c>
      <c r="CC54" s="149">
        <f t="shared" si="296"/>
        <v>2206.9267770226579</v>
      </c>
      <c r="CD54" s="149">
        <f t="shared" si="296"/>
        <v>2273.1345803333379</v>
      </c>
      <c r="CE54" s="526"/>
      <c r="CF54" s="149">
        <f t="shared" si="34"/>
        <v>2848.01</v>
      </c>
      <c r="CG54" s="145">
        <f t="shared" si="284"/>
        <v>1279.2650000000003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0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614.36665736295629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0</v>
      </c>
      <c r="W55" s="65"/>
      <c r="X55" s="75"/>
      <c r="Y55" s="76"/>
      <c r="Z55" s="65"/>
      <c r="AA55" s="65"/>
      <c r="AB55" s="65"/>
      <c r="AC55" s="77">
        <f t="shared" si="10"/>
        <v>519.51683333333335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0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-0.84312672780987841</v>
      </c>
      <c r="AQ55" s="77">
        <f t="shared" si="17"/>
        <v>1133.0403639684798</v>
      </c>
      <c r="AR55" s="144">
        <f t="shared" si="18"/>
        <v>4.4784204109426078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297">SUM(AY55*(1+$BA$2))</f>
        <v>1306.88472978</v>
      </c>
      <c r="BB55" s="45">
        <f t="shared" si="258"/>
        <v>2.9041882884000003</v>
      </c>
      <c r="BC55" s="22"/>
      <c r="BD55" s="46"/>
      <c r="BE55" s="146">
        <f t="shared" si="259"/>
        <v>373.5</v>
      </c>
      <c r="BF55" s="523">
        <f t="shared" si="260"/>
        <v>-933.38472978000004</v>
      </c>
      <c r="BG55" s="44">
        <f t="shared" si="261"/>
        <v>-2.4990220342168676</v>
      </c>
      <c r="BH55" s="149">
        <f t="shared" ref="BH55:BH57" si="298">SUM($BA55-SUM($BA55*0.1))</f>
        <v>1176.1962568020001</v>
      </c>
      <c r="BI55" s="149">
        <f t="shared" ref="BI55:BL55" si="299">SUM(BH55-SUM($BZ55*0.1))</f>
        <v>1058.5766311218001</v>
      </c>
      <c r="BJ55" s="149">
        <f t="shared" si="299"/>
        <v>940.95700544160013</v>
      </c>
      <c r="BK55" s="149">
        <f t="shared" si="299"/>
        <v>823.33737976140014</v>
      </c>
      <c r="BL55" s="149">
        <f t="shared" si="299"/>
        <v>705.71775408120016</v>
      </c>
      <c r="BM55" s="46"/>
      <c r="BN55" s="146">
        <f t="shared" ref="BN55:BN56" si="300">SUM(K55*$BN$2)+(12*75)</f>
        <v>1143</v>
      </c>
      <c r="BO55" s="523">
        <f t="shared" si="263"/>
        <v>-163.88472978000004</v>
      </c>
      <c r="BP55" s="44">
        <f t="shared" si="264"/>
        <v>-0.14338121590551184</v>
      </c>
      <c r="BQ55" s="149">
        <f t="shared" ref="BQ55:BQ56" si="301">SUM($BA55-SUM($BA55*0.1))</f>
        <v>1176.1962568020001</v>
      </c>
      <c r="BR55" s="149">
        <f>SUM(BQ55-SUM($BZ55*0.1))</f>
        <v>1058.5766311218001</v>
      </c>
      <c r="BS55" s="149">
        <f t="shared" ref="BS55:BU55" si="302">SUM(BR55*1.03)</f>
        <v>1090.3339300554542</v>
      </c>
      <c r="BT55" s="149">
        <f t="shared" si="302"/>
        <v>1123.0439479571178</v>
      </c>
      <c r="BU55" s="149">
        <f t="shared" si="302"/>
        <v>1156.7352663958313</v>
      </c>
      <c r="BV55" s="526"/>
      <c r="BW55" s="527">
        <f t="shared" ref="BW55:BW56" si="303">SUM(L55*$BA$63)+$BW$2</f>
        <v>1274.970757722795</v>
      </c>
      <c r="BX55" s="523">
        <f t="shared" si="268"/>
        <v>-31.913972057205001</v>
      </c>
      <c r="BY55" s="44">
        <f t="shared" si="269"/>
        <v>-2.5031140411569938E-2</v>
      </c>
      <c r="BZ55" s="149">
        <f t="shared" ref="BZ55:BZ56" si="304">SUM($BA55-SUM($BA55*0.1))</f>
        <v>1176.1962568020001</v>
      </c>
      <c r="CA55" s="149">
        <f t="shared" ref="CA55:CD55" si="305">SUM(BZ55-SUM($BZ55*0.1))</f>
        <v>1058.5766311218001</v>
      </c>
      <c r="CB55" s="149">
        <f t="shared" si="305"/>
        <v>940.95700544160013</v>
      </c>
      <c r="CC55" s="149">
        <f t="shared" si="305"/>
        <v>823.33737976140014</v>
      </c>
      <c r="CD55" s="149">
        <f t="shared" si="305"/>
        <v>705.71775408120016</v>
      </c>
      <c r="CE55" s="526"/>
      <c r="CF55" s="149">
        <f t="shared" si="34"/>
        <v>1816.7900000000002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0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902.43635670425351</v>
      </c>
      <c r="N56" s="66"/>
      <c r="O56" s="65">
        <v>785</v>
      </c>
      <c r="P56" s="66">
        <f t="shared" ref="P56:P57" si="306">SUM(O56/$O$60)</f>
        <v>7.9640451262072889E-3</v>
      </c>
      <c r="Q56" s="77">
        <f t="shared" ref="Q56:Q57" si="307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0</v>
      </c>
      <c r="W56" s="77"/>
      <c r="X56" s="75">
        <v>5198</v>
      </c>
      <c r="Y56" s="77">
        <f t="shared" ref="Y56:Y57" si="308">SUM(X56*$Y$62)</f>
        <v>0</v>
      </c>
      <c r="Z56" s="77"/>
      <c r="AA56" s="65"/>
      <c r="AB56" s="65"/>
      <c r="AC56" s="77">
        <f t="shared" si="10"/>
        <v>519.51683333333335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0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188.11872056049262</v>
      </c>
      <c r="AQ56" s="77">
        <f t="shared" si="17"/>
        <v>1610.0719105980795</v>
      </c>
      <c r="AR56" s="144">
        <f t="shared" si="18"/>
        <v>6.3639205952493265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297"/>
        <v>1568.2616757360004</v>
      </c>
      <c r="BB56" s="525">
        <f t="shared" si="258"/>
        <v>2.3725592673767024</v>
      </c>
      <c r="BC56" s="22"/>
      <c r="BD56" s="46"/>
      <c r="BE56" s="146">
        <f t="shared" si="259"/>
        <v>548.63</v>
      </c>
      <c r="BF56" s="523">
        <f t="shared" si="260"/>
        <v>-1019.6316757360004</v>
      </c>
      <c r="BG56" s="44">
        <f t="shared" si="261"/>
        <v>-1.8585051414177138</v>
      </c>
      <c r="BH56" s="149">
        <f t="shared" si="298"/>
        <v>1411.4355081624003</v>
      </c>
      <c r="BI56" s="149">
        <f t="shared" ref="BI56:BL56" si="309">SUM(BH56-SUM($BZ56*0.1))</f>
        <v>1270.2919573461602</v>
      </c>
      <c r="BJ56" s="149">
        <f t="shared" si="309"/>
        <v>1129.1484065299201</v>
      </c>
      <c r="BK56" s="149">
        <f t="shared" si="309"/>
        <v>988.00485571368006</v>
      </c>
      <c r="BL56" s="149">
        <f t="shared" si="309"/>
        <v>846.86130489744005</v>
      </c>
      <c r="BM56" s="46"/>
      <c r="BN56" s="146">
        <f t="shared" si="300"/>
        <v>1256.94</v>
      </c>
      <c r="BO56" s="523">
        <f t="shared" si="263"/>
        <v>-311.32167573600032</v>
      </c>
      <c r="BP56" s="44">
        <f t="shared" si="264"/>
        <v>-0.24768220896462861</v>
      </c>
      <c r="BQ56" s="149">
        <f t="shared" si="301"/>
        <v>1411.4355081624003</v>
      </c>
      <c r="BR56" s="149">
        <f>SUM(BQ56-SUM($BZ56*0.05))</f>
        <v>1340.8637327542804</v>
      </c>
      <c r="BS56" s="149">
        <f t="shared" ref="BS56:BU56" si="310">SUM(BR56*1.03)</f>
        <v>1381.0896447369089</v>
      </c>
      <c r="BT56" s="149">
        <f t="shared" si="310"/>
        <v>1422.5223340790162</v>
      </c>
      <c r="BU56" s="149">
        <f t="shared" si="310"/>
        <v>1465.1980041013867</v>
      </c>
      <c r="BV56" s="526"/>
      <c r="BW56" s="527">
        <f t="shared" si="303"/>
        <v>1661.7903796772612</v>
      </c>
      <c r="BX56" s="523">
        <f t="shared" si="268"/>
        <v>93.528703941260801</v>
      </c>
      <c r="BY56" s="44">
        <f t="shared" si="269"/>
        <v>5.6281890354561541E-2</v>
      </c>
      <c r="BZ56" s="149">
        <f t="shared" si="304"/>
        <v>1411.4355081624003</v>
      </c>
      <c r="CA56" s="149">
        <f t="shared" ref="CA56:CB56" si="311">SUM(BZ56-SUM($BZ56*0.1))</f>
        <v>1270.2919573461602</v>
      </c>
      <c r="CB56" s="149">
        <f t="shared" si="311"/>
        <v>1129.1484065299201</v>
      </c>
      <c r="CC56" s="149">
        <f t="shared" ref="CC56:CD56" si="312">SUM(CB56*1.03)</f>
        <v>1163.0228587258177</v>
      </c>
      <c r="CD56" s="149">
        <f t="shared" si="312"/>
        <v>1197.9135444875924</v>
      </c>
      <c r="CE56" s="526"/>
      <c r="CF56" s="149">
        <f t="shared" si="34"/>
        <v>2428.4500000000003</v>
      </c>
      <c r="CG56" s="145">
        <f>SUM(CF56-BA56)</f>
        <v>860.1883242639999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0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504.23574545048558</v>
      </c>
      <c r="N57" s="66"/>
      <c r="O57" s="65">
        <v>343</v>
      </c>
      <c r="P57" s="66">
        <f t="shared" si="306"/>
        <v>3.4798311825338852E-3</v>
      </c>
      <c r="Q57" s="77">
        <f t="shared" si="307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0</v>
      </c>
      <c r="W57" s="77"/>
      <c r="X57" s="75">
        <v>3391</v>
      </c>
      <c r="Y57" s="77">
        <f t="shared" si="308"/>
        <v>0</v>
      </c>
      <c r="Z57" s="77"/>
      <c r="AA57" s="65"/>
      <c r="AB57" s="65"/>
      <c r="AC57" s="77">
        <f t="shared" si="10"/>
        <v>519.51683333333335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0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70.644029638242586</v>
      </c>
      <c r="AQ57" s="77">
        <f t="shared" si="17"/>
        <v>1094.3966084220615</v>
      </c>
      <c r="AR57" s="144">
        <f t="shared" si="18"/>
        <v>4.3256782941583456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297"/>
        <v>1568.7449999999999</v>
      </c>
      <c r="BB57" s="525">
        <f t="shared" si="258"/>
        <v>4.2475045126353788</v>
      </c>
      <c r="BC57" s="45"/>
      <c r="BD57" s="46"/>
      <c r="BE57" s="146">
        <f t="shared" si="259"/>
        <v>306.54666666666662</v>
      </c>
      <c r="BF57" s="523">
        <f t="shared" si="260"/>
        <v>-1262.1983333333333</v>
      </c>
      <c r="BG57" s="44">
        <f t="shared" si="261"/>
        <v>-4.1174753164281679</v>
      </c>
      <c r="BH57" s="149">
        <f t="shared" si="298"/>
        <v>1411.8705</v>
      </c>
      <c r="BI57" s="149">
        <f>SUM(BH57-SUM($BH57*0.1))</f>
        <v>1270.68345</v>
      </c>
      <c r="BJ57" s="149">
        <f t="shared" ref="BJ57:BL57" si="313">SUM(BI57-SUM($BZ57*0.1))</f>
        <v>1270.68345</v>
      </c>
      <c r="BK57" s="149">
        <f t="shared" si="313"/>
        <v>1270.68345</v>
      </c>
      <c r="BL57" s="149">
        <f t="shared" si="313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526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526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521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0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158972.15099999998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0</v>
      </c>
      <c r="W60" s="142"/>
      <c r="X60" s="142">
        <f t="shared" ref="X60:Y60" si="314">SUM(X4:X58)</f>
        <v>750896</v>
      </c>
      <c r="Y60" s="142">
        <f t="shared" si="314"/>
        <v>0</v>
      </c>
      <c r="Z60" s="142"/>
      <c r="AA60" s="137"/>
      <c r="AB60" s="137"/>
      <c r="AC60" s="142">
        <f>SUM(AC4:AC58)</f>
        <v>28053.909000000032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0</v>
      </c>
      <c r="AI60" s="137"/>
      <c r="AJ60" s="137"/>
      <c r="AK60" s="137">
        <f t="shared" ref="AK60:AL60" si="315">SUM(AK4:AK58)</f>
        <v>85934</v>
      </c>
      <c r="AL60" s="137">
        <f t="shared" si="315"/>
        <v>84283</v>
      </c>
      <c r="AM60" s="137"/>
      <c r="AN60" s="551"/>
      <c r="AO60" s="551"/>
      <c r="AP60" s="137">
        <f t="shared" ref="AP60:AQ60" si="316">SUM(AP4:AP58)</f>
        <v>34587.250000000015</v>
      </c>
      <c r="AQ60" s="137">
        <f t="shared" si="316"/>
        <v>221613.31000000006</v>
      </c>
      <c r="AR60" s="137"/>
      <c r="AS60" s="552"/>
      <c r="AT60" s="552">
        <f t="shared" ref="AT60:AV60" si="317">SUM(AT4:AT58)</f>
        <v>161270</v>
      </c>
      <c r="AU60" s="137">
        <f t="shared" si="317"/>
        <v>166225</v>
      </c>
      <c r="AV60" s="137">
        <f t="shared" si="317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18">SUM(BH4:BH58)</f>
        <v>207644.18423353491</v>
      </c>
      <c r="BI60" s="149">
        <f t="shared" si="318"/>
        <v>209969.10239617669</v>
      </c>
      <c r="BJ60" s="149">
        <f t="shared" si="318"/>
        <v>212985.092719874</v>
      </c>
      <c r="BK60" s="149">
        <f t="shared" si="318"/>
        <v>217413.39925939954</v>
      </c>
      <c r="BL60" s="149">
        <f t="shared" si="318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19">SUM(BQ4:BQ58)</f>
        <v>204593.10179735644</v>
      </c>
      <c r="BR60" s="149">
        <f t="shared" si="319"/>
        <v>207579.60034224126</v>
      </c>
      <c r="BS60" s="149">
        <f t="shared" si="319"/>
        <v>214544.32675014032</v>
      </c>
      <c r="BT60" s="149">
        <f t="shared" si="319"/>
        <v>220716.12419117073</v>
      </c>
      <c r="BU60" s="149">
        <f t="shared" si="319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0">SUM(BZ4:BZ58)</f>
        <v>217861.48042414323</v>
      </c>
      <c r="CA60" s="448">
        <f t="shared" si="320"/>
        <v>220908.26068876105</v>
      </c>
      <c r="CB60" s="448">
        <f t="shared" si="320"/>
        <v>226772.14908386499</v>
      </c>
      <c r="CC60" s="448">
        <f t="shared" si="320"/>
        <v>233115.69376651</v>
      </c>
      <c r="CD60" s="448">
        <f t="shared" si="320"/>
        <v>239070.66426491379</v>
      </c>
      <c r="CE60" s="521"/>
      <c r="CF60" s="448">
        <f>SUM(CF4:CF58)</f>
        <v>223488.63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0</v>
      </c>
      <c r="G61" s="82"/>
      <c r="H61" s="83"/>
      <c r="I61" s="83"/>
      <c r="J61" s="83"/>
      <c r="K61" s="145"/>
      <c r="L61" s="144"/>
      <c r="M61" s="146">
        <f>SUM((AQ61-AP60)*M62)</f>
        <v>158972.15099999998</v>
      </c>
      <c r="N61" s="144"/>
      <c r="O61" s="145"/>
      <c r="P61" s="145"/>
      <c r="Q61" s="146">
        <v>0</v>
      </c>
      <c r="R61" s="145"/>
      <c r="S61" s="144"/>
      <c r="T61" s="145"/>
      <c r="U61" s="145"/>
      <c r="V61" s="146">
        <f>SUM(AQ61-'Options 1-3'!$AP$60)*V62</f>
        <v>0</v>
      </c>
      <c r="W61" s="146"/>
      <c r="X61" s="53"/>
      <c r="Y61" s="74"/>
      <c r="Z61" s="146"/>
      <c r="AA61" s="145"/>
      <c r="AB61" s="145"/>
      <c r="AC61" s="146">
        <f>SUM(AQ61-AP60)*AC62</f>
        <v>28053.909</v>
      </c>
      <c r="AD61" s="145"/>
      <c r="AE61" s="145"/>
      <c r="AF61" s="145"/>
      <c r="AG61" s="145"/>
      <c r="AH61" s="146">
        <f>SUM(AQ61-'Options 1-3'!$AP$60)*AH62</f>
        <v>0</v>
      </c>
      <c r="AI61" s="145"/>
      <c r="AJ61" s="145"/>
      <c r="AK61" s="145"/>
      <c r="AL61" s="145"/>
      <c r="AM61" s="145"/>
      <c r="AN61" s="145"/>
      <c r="AO61" s="145"/>
      <c r="AP61" s="74">
        <v>35000</v>
      </c>
      <c r="AQ61" s="74">
        <f>SUM('FY20-21 budget'!AD84*(1+AQ64))</f>
        <v>221613.31</v>
      </c>
      <c r="AR61" s="74"/>
      <c r="AS61" s="22"/>
      <c r="AT61" s="22">
        <f t="shared" ref="AT61:AV61" si="321">COUNTIF(AT4:AT58,"&gt;1")</f>
        <v>47</v>
      </c>
      <c r="AU61" s="22">
        <f t="shared" si="321"/>
        <v>47</v>
      </c>
      <c r="AV61" s="22">
        <f t="shared" si="321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521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Summary!AT4</f>
        <v>0</v>
      </c>
      <c r="G62" s="85"/>
      <c r="H62" s="83"/>
      <c r="I62" s="83"/>
      <c r="J62" s="83"/>
      <c r="K62" s="145"/>
      <c r="L62" s="144"/>
      <c r="M62" s="50">
        <f>Summary!AT5</f>
        <v>0.85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Summary!AT6</f>
        <v>0</v>
      </c>
      <c r="W62" s="50"/>
      <c r="X62" s="53"/>
      <c r="Y62" s="153">
        <v>0</v>
      </c>
      <c r="Z62" s="50"/>
      <c r="AA62" s="145"/>
      <c r="AB62" s="145"/>
      <c r="AC62" s="50">
        <f>Summary!AT7</f>
        <v>0.15</v>
      </c>
      <c r="AD62" s="145"/>
      <c r="AE62" s="145"/>
      <c r="AF62" s="145"/>
      <c r="AG62" s="145"/>
      <c r="AH62" s="50">
        <f>Summary!AT8</f>
        <v>0</v>
      </c>
      <c r="AI62" s="145"/>
      <c r="AJ62" s="145"/>
      <c r="AK62" s="145"/>
      <c r="AL62" s="145"/>
      <c r="AM62" s="145"/>
      <c r="AN62" s="145"/>
      <c r="AO62" s="145"/>
      <c r="AP62" s="50">
        <f>Summary!AT11</f>
        <v>1</v>
      </c>
      <c r="AQ62" s="121">
        <f>SUM(V62+AC62+M62+AH62+Y62)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521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22">SUM(BH63*(1+$BG$63))</f>
        <v>224274.39724999992</v>
      </c>
      <c r="BJ63" s="149">
        <f t="shared" si="322"/>
        <v>229881.25718124991</v>
      </c>
      <c r="BK63" s="149">
        <f t="shared" si="322"/>
        <v>235628.28861078114</v>
      </c>
      <c r="BL63" s="149">
        <f t="shared" si="322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521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23">SUM(AU60-AT60)/AT60</f>
        <v>3.0724871333788057E-2</v>
      </c>
      <c r="AV64" s="44">
        <f t="shared" si="323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526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521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559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559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145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559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0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21997.511938483865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0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5714.6851666666653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0</v>
      </c>
      <c r="AI69" s="145"/>
      <c r="AJ69" s="145"/>
      <c r="AK69" s="145">
        <f t="shared" ref="AK69:AL69" si="324">SUM(AK4,AK6,AK12,AK21,AK35,AK42,AK43,AK46,AK52,AK57,AK51)</f>
        <v>17416</v>
      </c>
      <c r="AL69" s="145">
        <f t="shared" si="324"/>
        <v>16351</v>
      </c>
      <c r="AM69" s="145"/>
      <c r="AN69" s="145"/>
      <c r="AO69" s="145"/>
      <c r="AP69" s="145">
        <f t="shared" ref="AP69:AQ69" si="325">SUM(AP4,AP6,AP12,AP21,AP35,AP42,AP43,AP46,AP52,AP57,AP51)</f>
        <v>6523.7906962258094</v>
      </c>
      <c r="AQ69" s="145">
        <f t="shared" si="325"/>
        <v>34235.987801376337</v>
      </c>
      <c r="AR69" s="145"/>
      <c r="AS69" s="523"/>
      <c r="AT69" s="149" t="e">
        <f t="shared" ref="AT69:AV69" si="326">SUM(AT12,AT21,AT22,AT32,#REF!,AT43,#REF!,#REF!,AT47,#REF!,AT48)</f>
        <v>#REF!</v>
      </c>
      <c r="AU69" s="149" t="e">
        <f t="shared" si="326"/>
        <v>#REF!</v>
      </c>
      <c r="AV69" s="149" t="e">
        <f t="shared" si="326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27">SUM(BE4,BE6,BE12,BE21,BE35,BE42,BE43,BE46,BE52,BE57,BE51)</f>
        <v>13373.236666666666</v>
      </c>
      <c r="BF69" s="145">
        <f t="shared" si="327"/>
        <v>-32716.71479450534</v>
      </c>
      <c r="BG69" s="45"/>
      <c r="BH69" s="145">
        <f t="shared" ref="BH69:BL69" si="328">SUM(BH4,BH6,BH12,BH21,BH35,BH42,BH43,BH46,BH52,BH57,BH51)</f>
        <v>43354.434897089741</v>
      </c>
      <c r="BI69" s="145">
        <f t="shared" si="328"/>
        <v>42531.049885703855</v>
      </c>
      <c r="BJ69" s="145">
        <f t="shared" si="328"/>
        <v>43042.739542431598</v>
      </c>
      <c r="BK69" s="145">
        <f t="shared" si="328"/>
        <v>44727.810447919219</v>
      </c>
      <c r="BL69" s="145">
        <f t="shared" si="328"/>
        <v>46310.700973832412</v>
      </c>
      <c r="BM69" s="158"/>
      <c r="BN69" s="145">
        <f t="shared" ref="BN69:BO69" si="329">SUM(BN4,BN6,BN12,BN21,BN35,BN42,BN43,BN46,BN52,BN57,BN51)</f>
        <v>22301.22</v>
      </c>
      <c r="BO69" s="145">
        <f t="shared" si="329"/>
        <v>-22219.986461172008</v>
      </c>
      <c r="BP69" s="45"/>
      <c r="BQ69" s="145">
        <f t="shared" ref="BQ69:BU69" si="330">SUM(BQ4,BQ6,BQ12,BQ21,BQ35,BQ42,BQ43,BQ46,BQ52,BQ57,BQ51)</f>
        <v>43703.470015966814</v>
      </c>
      <c r="BR69" s="145">
        <f t="shared" si="330"/>
        <v>43483.067017919719</v>
      </c>
      <c r="BS69" s="145">
        <f t="shared" si="330"/>
        <v>44370.947824993804</v>
      </c>
      <c r="BT69" s="145">
        <f t="shared" si="330"/>
        <v>45534.804971548758</v>
      </c>
      <c r="BU69" s="145">
        <f t="shared" si="330"/>
        <v>47019.442064336086</v>
      </c>
      <c r="BV69" s="559"/>
      <c r="BW69" s="145">
        <f t="shared" ref="BW69:BX69" si="331">SUM(BW4,BW6,BW12,BW21,BW35,BW42,BW43,BW46,BW52,BW57,BW51)</f>
        <v>30661.143641844363</v>
      </c>
      <c r="BX69" s="145">
        <f t="shared" si="331"/>
        <v>-13860.062819327644</v>
      </c>
      <c r="BY69" s="45"/>
      <c r="BZ69" s="145">
        <f t="shared" ref="BZ69:CD69" si="332">SUM(BZ4,BZ6,BZ12,BZ21,BZ35,BZ42,BZ43,BZ46,BZ52,BZ57,BZ51)</f>
        <v>43389.817680819608</v>
      </c>
      <c r="CA69" s="145">
        <f t="shared" si="332"/>
        <v>42567.550701884509</v>
      </c>
      <c r="CB69" s="145">
        <f t="shared" si="332"/>
        <v>44131.373699217329</v>
      </c>
      <c r="CC69" s="145">
        <f t="shared" si="332"/>
        <v>45712.206129896382</v>
      </c>
      <c r="CD69" s="145">
        <f t="shared" si="332"/>
        <v>47191.96533328123</v>
      </c>
      <c r="CE69" s="559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559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559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559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559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559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559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559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559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559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559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559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559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559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559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559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559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559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559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559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559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559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559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559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559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559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559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559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559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559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559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559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559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559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559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559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559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559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559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559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559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559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559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559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559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559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559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559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559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559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559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559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559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559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559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559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559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559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559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559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559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559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559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559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559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559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559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559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559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559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559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559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559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559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559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559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559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559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559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559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559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559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559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559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559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559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559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559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559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559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559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559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559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559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559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559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559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559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559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559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559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559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559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559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559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559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559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559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559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559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559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559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559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559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559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559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559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559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559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559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559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559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559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559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559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559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559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559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559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559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559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559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559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559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559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559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559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559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559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559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559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559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559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559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559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559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559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559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559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559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559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559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559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559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559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559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559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559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559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559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559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559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559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559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559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559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559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559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559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559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559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559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559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559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559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559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559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559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559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559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559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559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559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559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559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559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559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559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559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559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559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559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559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559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559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559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559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559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559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559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559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68" priority="1" operator="greaterThan">
      <formula>0.05</formula>
    </cfRule>
  </conditionalFormatting>
  <conditionalFormatting sqref="BZ5:CD6 BQ48:BT48 BH47:BL48 BI44:BI45 BQ58:BT58">
    <cfRule type="notContainsBlanks" dxfId="67" priority="2">
      <formula>LEN(TRIM(BZ5))&gt;0</formula>
    </cfRule>
  </conditionalFormatting>
  <conditionalFormatting sqref="BZ20:CA23 CB23 BH41 BZ41 BZ54:CD55 BZ47:CD48 BZ10:CD10 BZ43:CD43 BH43:BH45 BZ45:CD45">
    <cfRule type="notContainsBlanks" dxfId="66" priority="3">
      <formula>LEN(TRIM(BZ20))&gt;0</formula>
    </cfRule>
  </conditionalFormatting>
  <conditionalFormatting sqref="BZ32:CC34 BZ40 BZ16 BZ12:CD15 BQ40:BR43 BH43:BH45 BZ58">
    <cfRule type="notContainsBlanks" dxfId="65" priority="4">
      <formula>LEN(TRIM(BZ32))&gt;0</formula>
    </cfRule>
  </conditionalFormatting>
  <conditionalFormatting sqref="BZ27:CA28">
    <cfRule type="notContainsBlanks" dxfId="64" priority="5">
      <formula>LEN(TRIM(BZ27))&gt;0</formula>
    </cfRule>
  </conditionalFormatting>
  <conditionalFormatting sqref="BH5:BI6 BQ5:BR6">
    <cfRule type="notContainsBlanks" dxfId="63" priority="6">
      <formula>LEN(TRIM(BH5))&gt;0</formula>
    </cfRule>
  </conditionalFormatting>
  <conditionalFormatting sqref="BJ5:BL6 BH10:BL10 BQ10:BR10">
    <cfRule type="notContainsBlanks" dxfId="62" priority="7">
      <formula>LEN(TRIM(BJ5))&gt;0</formula>
    </cfRule>
  </conditionalFormatting>
  <conditionalFormatting sqref="BI27:BI28">
    <cfRule type="notContainsBlanks" dxfId="61" priority="8">
      <formula>LEN(TRIM(BI27))&gt;0</formula>
    </cfRule>
  </conditionalFormatting>
  <conditionalFormatting sqref="BH12:BL15 BQ12:BS15">
    <cfRule type="notContainsBlanks" dxfId="60" priority="9">
      <formula>LEN(TRIM(BH12))&gt;0</formula>
    </cfRule>
  </conditionalFormatting>
  <conditionalFormatting sqref="BH20:BI23 BJ20:BJ21 BQ20:BR23 BS20:BS21">
    <cfRule type="notContainsBlanks" dxfId="59" priority="10">
      <formula>LEN(TRIM(BH20))&gt;0</formula>
    </cfRule>
  </conditionalFormatting>
  <conditionalFormatting sqref="BH27:BH28 BQ27:BQ28">
    <cfRule type="notContainsBlanks" dxfId="58" priority="11">
      <formula>LEN(TRIM(BH27))&gt;0</formula>
    </cfRule>
  </conditionalFormatting>
  <conditionalFormatting sqref="BH32:BJ34 BK32:BK33 BQ32:BU34 BL33 BH40:BH41 BS40:BU40 BS42:BU42">
    <cfRule type="notContainsBlanks" dxfId="57" priority="12">
      <formula>LEN(TRIM(BH32))&gt;0</formula>
    </cfRule>
  </conditionalFormatting>
  <conditionalFormatting sqref="BQ45:BS45">
    <cfRule type="notContainsBlanks" dxfId="56" priority="13">
      <formula>LEN(TRIM(BQ45))&gt;0</formula>
    </cfRule>
  </conditionalFormatting>
  <conditionalFormatting sqref="BQ47:BS47">
    <cfRule type="notContainsBlanks" dxfId="55" priority="14">
      <formula>LEN(TRIM(BQ47))&gt;0</formula>
    </cfRule>
  </conditionalFormatting>
  <conditionalFormatting sqref="BQ54">
    <cfRule type="notContainsBlanks" dxfId="54" priority="15">
      <formula>LEN(TRIM(BQ54))&gt;0</formula>
    </cfRule>
  </conditionalFormatting>
  <conditionalFormatting sqref="BI41:BK41 BJ45:BL45">
    <cfRule type="notContainsBlanks" dxfId="53" priority="16">
      <formula>LEN(TRIM(BI41))&gt;0</formula>
    </cfRule>
  </conditionalFormatting>
  <conditionalFormatting sqref="BH54:BL55">
    <cfRule type="notContainsBlanks" dxfId="52" priority="17">
      <formula>LEN(TRIM(BH54))&gt;0</formula>
    </cfRule>
  </conditionalFormatting>
  <conditionalFormatting sqref="BQ55:BR55">
    <cfRule type="notContainsBlanks" dxfId="51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9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f>Summary!AW12</f>
        <v>0.25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0</v>
      </c>
      <c r="G4" s="41"/>
      <c r="H4" s="64">
        <v>302</v>
      </c>
      <c r="I4" s="64">
        <v>256</v>
      </c>
      <c r="J4" s="64">
        <v>201</v>
      </c>
      <c r="K4" s="76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121.90961906888468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125.12031353870455</v>
      </c>
      <c r="W4" s="77"/>
      <c r="X4" s="75">
        <v>1988</v>
      </c>
      <c r="Y4" s="66">
        <f t="shared" ref="Y4:Y7" si="9">SUM(X4/$X$60)</f>
        <v>2.6475037821482601E-3</v>
      </c>
      <c r="Z4" s="77"/>
      <c r="AA4" s="65"/>
      <c r="AB4" s="65"/>
      <c r="AC4" s="77">
        <f t="shared" ref="AC4:AC57" si="10">SUM($AC$61/$BA$61)</f>
        <v>692.68911111111106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50.268516063606036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-29.952647627635468</v>
      </c>
      <c r="AQ4" s="77">
        <f t="shared" ref="AQ4:AQ57" si="17">SUM(F4+V4+AC4+M4+AH4+Y4+AP4)</f>
        <v>960.03755965845301</v>
      </c>
      <c r="AR4" s="144">
        <f t="shared" ref="AR4:AR57" si="18">SUM(AQ4/$K$4)</f>
        <v>3.7946148603100909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0</v>
      </c>
      <c r="G5" s="41"/>
      <c r="H5" s="64">
        <v>414</v>
      </c>
      <c r="I5" s="64">
        <v>335</v>
      </c>
      <c r="J5" s="64">
        <v>161</v>
      </c>
      <c r="K5" s="76">
        <f t="shared" si="2"/>
        <v>303.33333333333331</v>
      </c>
      <c r="L5" s="66">
        <f t="shared" si="3"/>
        <v>2.6050388895091361E-3</v>
      </c>
      <c r="M5" s="77">
        <f t="shared" si="4"/>
        <v>146.16304789550071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292.69115331864452</v>
      </c>
      <c r="W5" s="77"/>
      <c r="X5" s="75">
        <v>3549</v>
      </c>
      <c r="Y5" s="66">
        <f t="shared" si="9"/>
        <v>4.7263535829196058E-3</v>
      </c>
      <c r="Z5" s="77"/>
      <c r="AA5" s="65"/>
      <c r="AB5" s="65"/>
      <c r="AC5" s="77">
        <f t="shared" si="10"/>
        <v>692.68911111111106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127.73220971242496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-60.328957203706565</v>
      </c>
      <c r="AQ5" s="77">
        <f t="shared" si="17"/>
        <v>1198.9512911875577</v>
      </c>
      <c r="AR5" s="144">
        <f t="shared" si="18"/>
        <v>4.7389379098322442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0</v>
      </c>
      <c r="G6" s="41"/>
      <c r="H6" s="64">
        <v>756</v>
      </c>
      <c r="I6" s="64">
        <v>597</v>
      </c>
      <c r="J6" s="64">
        <v>491</v>
      </c>
      <c r="K6" s="76">
        <f t="shared" si="2"/>
        <v>614.66666666666663</v>
      </c>
      <c r="L6" s="66">
        <f t="shared" si="3"/>
        <v>5.2787821013789531E-3</v>
      </c>
      <c r="M6" s="77">
        <f t="shared" si="4"/>
        <v>296.18094540582786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395.92247295385113</v>
      </c>
      <c r="W6" s="77"/>
      <c r="X6" s="75">
        <v>7943</v>
      </c>
      <c r="Y6" s="66">
        <f t="shared" si="9"/>
        <v>1.0578029447486736E-2</v>
      </c>
      <c r="Z6" s="77"/>
      <c r="AA6" s="65"/>
      <c r="AB6" s="65"/>
      <c r="AC6" s="77">
        <f t="shared" si="10"/>
        <v>692.68911111111106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309.45155120439114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512.05066709775406</v>
      </c>
      <c r="AQ6" s="77">
        <f t="shared" si="17"/>
        <v>2206.3053258023829</v>
      </c>
      <c r="AR6" s="144">
        <f t="shared" si="18"/>
        <v>8.7205744102860976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0</v>
      </c>
      <c r="G7" s="41"/>
      <c r="H7" s="64">
        <v>10989</v>
      </c>
      <c r="I7" s="64">
        <v>9198</v>
      </c>
      <c r="J7" s="64">
        <v>6885</v>
      </c>
      <c r="K7" s="76">
        <f t="shared" si="2"/>
        <v>9024</v>
      </c>
      <c r="L7" s="66">
        <f t="shared" si="3"/>
        <v>7.7498475622847618E-2</v>
      </c>
      <c r="M7" s="77">
        <f t="shared" si="4"/>
        <v>4348.2703655241703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3871.0756327993922</v>
      </c>
      <c r="W7" s="77"/>
      <c r="X7" s="75">
        <v>91539</v>
      </c>
      <c r="Y7" s="66">
        <f t="shared" si="9"/>
        <v>0.12190636253222817</v>
      </c>
      <c r="Z7" s="77"/>
      <c r="AA7" s="65"/>
      <c r="AB7" s="65"/>
      <c r="AC7" s="77">
        <f t="shared" si="10"/>
        <v>692.68911111111106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6286.8799002758051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2547.4932860126005</v>
      </c>
      <c r="AQ7" s="77">
        <f t="shared" si="17"/>
        <v>17746.530202085611</v>
      </c>
      <c r="AR7" s="144">
        <f t="shared" si="18"/>
        <v>70.144388150536017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0</v>
      </c>
      <c r="G8" s="41"/>
      <c r="H8" s="64">
        <v>4438</v>
      </c>
      <c r="I8" s="64">
        <v>2541</v>
      </c>
      <c r="J8" s="64">
        <v>1310</v>
      </c>
      <c r="K8" s="76">
        <f t="shared" si="2"/>
        <v>2763</v>
      </c>
      <c r="L8" s="66">
        <f t="shared" si="3"/>
        <v>2.3728755335320033E-2</v>
      </c>
      <c r="M8" s="77">
        <f t="shared" si="4"/>
        <v>1331.3686857206653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633.08619141536394</v>
      </c>
      <c r="W8" s="65"/>
      <c r="X8" s="75"/>
      <c r="Y8" s="66"/>
      <c r="Z8" s="65"/>
      <c r="AA8" s="65"/>
      <c r="AB8" s="65"/>
      <c r="AC8" s="77">
        <f t="shared" si="10"/>
        <v>692.68911111111106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57.168116307630392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-65.053774189338299</v>
      </c>
      <c r="AQ8" s="77">
        <f t="shared" si="17"/>
        <v>2649.2583303654328</v>
      </c>
      <c r="AR8" s="144">
        <f t="shared" si="18"/>
        <v>10.471376799863371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0</v>
      </c>
      <c r="G9" s="41"/>
      <c r="H9" s="64">
        <v>7736</v>
      </c>
      <c r="I9" s="64">
        <v>7202</v>
      </c>
      <c r="J9" s="64">
        <v>6818</v>
      </c>
      <c r="K9" s="76">
        <f t="shared" si="2"/>
        <v>7252</v>
      </c>
      <c r="L9" s="66">
        <f t="shared" si="3"/>
        <v>6.2280468219956885E-2</v>
      </c>
      <c r="M9" s="77">
        <f t="shared" si="4"/>
        <v>3494.4211758401248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622.49474275238117</v>
      </c>
      <c r="W9" s="65"/>
      <c r="X9" s="75"/>
      <c r="Y9" s="66"/>
      <c r="Z9" s="65"/>
      <c r="AA9" s="65"/>
      <c r="AB9" s="65"/>
      <c r="AC9" s="77">
        <f t="shared" si="10"/>
        <v>692.68911111111106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123.56556800661804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-231.34075970243111</v>
      </c>
      <c r="AQ9" s="77">
        <f t="shared" si="17"/>
        <v>4701.8298380078049</v>
      </c>
      <c r="AR9" s="144">
        <f t="shared" si="18"/>
        <v>18.5843076601099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0</v>
      </c>
      <c r="G10" s="41"/>
      <c r="H10" s="64">
        <v>357</v>
      </c>
      <c r="I10" s="64">
        <v>350</v>
      </c>
      <c r="J10" s="64">
        <v>341</v>
      </c>
      <c r="K10" s="76">
        <f t="shared" si="2"/>
        <v>349.33333333333331</v>
      </c>
      <c r="L10" s="66">
        <f t="shared" si="3"/>
        <v>3.0000887430830492E-3</v>
      </c>
      <c r="M10" s="77">
        <f t="shared" si="4"/>
        <v>168.32843318075248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474.24270533372191</v>
      </c>
      <c r="W10" s="65"/>
      <c r="X10" s="75"/>
      <c r="Y10" s="66"/>
      <c r="Z10" s="65"/>
      <c r="AA10" s="65"/>
      <c r="AB10" s="65"/>
      <c r="AC10" s="77">
        <f t="shared" si="10"/>
        <v>692.68911111111106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88.933158989534746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0.58053522062574892</v>
      </c>
      <c r="AQ10" s="77">
        <f t="shared" si="17"/>
        <v>1424.773943835746</v>
      </c>
      <c r="AR10" s="144">
        <f t="shared" si="18"/>
        <v>5.6315175645681661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0</v>
      </c>
      <c r="G11" s="41"/>
      <c r="H11" s="64">
        <v>111</v>
      </c>
      <c r="I11" s="64">
        <v>104</v>
      </c>
      <c r="J11" s="64">
        <v>95</v>
      </c>
      <c r="K11" s="76">
        <f t="shared" si="2"/>
        <v>103.33333333333333</v>
      </c>
      <c r="L11" s="66">
        <f t="shared" si="3"/>
        <v>8.8743083049212335E-4</v>
      </c>
      <c r="M11" s="77">
        <f t="shared" si="4"/>
        <v>49.791807524840905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146.44443018017679</v>
      </c>
      <c r="W11" s="65"/>
      <c r="X11" s="75"/>
      <c r="Y11" s="66"/>
      <c r="Z11" s="65"/>
      <c r="AA11" s="65"/>
      <c r="AB11" s="65"/>
      <c r="AC11" s="77">
        <f t="shared" si="10"/>
        <v>692.68911111111106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7.75084962478061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4.7248169856317404</v>
      </c>
      <c r="AQ11" s="77">
        <f t="shared" si="17"/>
        <v>901.40101542654111</v>
      </c>
      <c r="AR11" s="144">
        <f t="shared" si="18"/>
        <v>3.5628498633460124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0</v>
      </c>
      <c r="G12" s="41"/>
      <c r="H12" s="64">
        <v>354</v>
      </c>
      <c r="I12" s="64">
        <v>332</v>
      </c>
      <c r="J12" s="64">
        <v>294</v>
      </c>
      <c r="K12" s="76">
        <f t="shared" si="2"/>
        <v>326.66666666666669</v>
      </c>
      <c r="L12" s="66">
        <f t="shared" si="3"/>
        <v>2.8054264963944544E-3</v>
      </c>
      <c r="M12" s="77">
        <f t="shared" si="4"/>
        <v>157.40635927207771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578.46256017747362</v>
      </c>
      <c r="W12" s="77"/>
      <c r="X12" s="75">
        <v>7291</v>
      </c>
      <c r="Y12" s="66">
        <f>SUM(X12/$X$60)</f>
        <v>9.7097334384521963E-3</v>
      </c>
      <c r="Z12" s="77"/>
      <c r="AA12" s="65"/>
      <c r="AB12" s="65"/>
      <c r="AC12" s="77">
        <f t="shared" si="10"/>
        <v>692.68911111111106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247.04153081526175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-268.30913855700436</v>
      </c>
      <c r="AQ12" s="77">
        <f t="shared" si="17"/>
        <v>1407.300132552358</v>
      </c>
      <c r="AR12" s="144">
        <f t="shared" si="18"/>
        <v>5.5624511168077388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</v>
      </c>
      <c r="G13" s="61"/>
      <c r="H13" s="64">
        <v>2</v>
      </c>
      <c r="I13" s="64">
        <v>2</v>
      </c>
      <c r="J13" s="64">
        <v>2</v>
      </c>
      <c r="K13" s="76">
        <f t="shared" si="2"/>
        <v>2</v>
      </c>
      <c r="L13" s="66">
        <f t="shared" si="3"/>
        <v>1.717608059017013E-5</v>
      </c>
      <c r="M13" s="77">
        <f t="shared" si="4"/>
        <v>0.96371240370659828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251.11618683354902</v>
      </c>
      <c r="W13" s="65"/>
      <c r="X13" s="75"/>
      <c r="Y13" s="66"/>
      <c r="Z13" s="65"/>
      <c r="AA13" s="65"/>
      <c r="AB13" s="65"/>
      <c r="AC13" s="77">
        <f t="shared" si="10"/>
        <v>692.68911111111106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6.048350863268106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27.907662280649717</v>
      </c>
      <c r="AQ13" s="77">
        <f t="shared" si="17"/>
        <v>978.72502349228444</v>
      </c>
      <c r="AR13" s="144">
        <f t="shared" si="18"/>
        <v>3.8684783537244445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0</v>
      </c>
      <c r="G14" s="61"/>
      <c r="H14" s="64">
        <v>927</v>
      </c>
      <c r="I14" s="64">
        <v>527</v>
      </c>
      <c r="J14" s="64">
        <v>345</v>
      </c>
      <c r="K14" s="76">
        <f t="shared" si="2"/>
        <v>599.66666666666663</v>
      </c>
      <c r="L14" s="66">
        <f t="shared" si="3"/>
        <v>5.1499614969526767E-3</v>
      </c>
      <c r="M14" s="77">
        <f t="shared" si="4"/>
        <v>288.95310237802835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578.43431631437238</v>
      </c>
      <c r="W14" s="77"/>
      <c r="X14" s="75">
        <v>6043</v>
      </c>
      <c r="Y14" s="66">
        <f t="shared" ref="Y14:Y18" si="77">SUM(X14/$X$60)</f>
        <v>8.0477189917112363E-3</v>
      </c>
      <c r="Z14" s="77"/>
      <c r="AA14" s="65"/>
      <c r="AB14" s="65"/>
      <c r="AC14" s="77">
        <f t="shared" si="10"/>
        <v>692.68911111111106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340.14133151060338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771.24113403651984</v>
      </c>
      <c r="AQ14" s="77">
        <f t="shared" si="17"/>
        <v>2671.4670430696265</v>
      </c>
      <c r="AR14" s="144">
        <f t="shared" si="18"/>
        <v>10.559158273002476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0</v>
      </c>
      <c r="G15" s="82"/>
      <c r="H15" s="64">
        <v>1699</v>
      </c>
      <c r="I15" s="64">
        <v>1656</v>
      </c>
      <c r="J15" s="64">
        <v>1411</v>
      </c>
      <c r="K15" s="76">
        <f t="shared" si="2"/>
        <v>1588.6666666666667</v>
      </c>
      <c r="L15" s="66">
        <f t="shared" si="3"/>
        <v>1.3643533348791807E-2</v>
      </c>
      <c r="M15" s="77">
        <f t="shared" si="4"/>
        <v>765.50888601094118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543.3271944794717</v>
      </c>
      <c r="W15" s="77"/>
      <c r="X15" s="75">
        <v>12238</v>
      </c>
      <c r="Y15" s="66">
        <f t="shared" si="77"/>
        <v>1.6297862819884511E-2</v>
      </c>
      <c r="Z15" s="77"/>
      <c r="AA15" s="65"/>
      <c r="AB15" s="65"/>
      <c r="AC15" s="77">
        <f t="shared" si="10"/>
        <v>692.68911111111106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967.42251992998661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1372.1031806532753</v>
      </c>
      <c r="AQ15" s="77">
        <f t="shared" si="17"/>
        <v>4341.0671900476063</v>
      </c>
      <c r="AR15" s="144">
        <f t="shared" si="18"/>
        <v>17.158368340109117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0</v>
      </c>
      <c r="G16" s="85"/>
      <c r="H16" s="64">
        <v>308</v>
      </c>
      <c r="I16" s="64">
        <v>229</v>
      </c>
      <c r="J16" s="64">
        <v>174</v>
      </c>
      <c r="K16" s="76">
        <f t="shared" si="2"/>
        <v>237</v>
      </c>
      <c r="L16" s="66">
        <f t="shared" si="3"/>
        <v>2.0353655499351603E-3</v>
      </c>
      <c r="M16" s="77">
        <f t="shared" si="4"/>
        <v>114.19991983923188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123.62338879433631</v>
      </c>
      <c r="W16" s="77"/>
      <c r="X16" s="75">
        <v>3794</v>
      </c>
      <c r="Y16" s="66">
        <f t="shared" si="77"/>
        <v>5.0526304574801308E-3</v>
      </c>
      <c r="Z16" s="77"/>
      <c r="AA16" s="65"/>
      <c r="AB16" s="65"/>
      <c r="AC16" s="77">
        <f t="shared" si="10"/>
        <v>692.68911111111106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80.555072978933737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134.74017002242445</v>
      </c>
      <c r="AQ16" s="77">
        <f t="shared" si="17"/>
        <v>1145.8127153764949</v>
      </c>
      <c r="AR16" s="144">
        <f t="shared" si="18"/>
        <v>4.52890401334583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0</v>
      </c>
      <c r="G17" s="88"/>
      <c r="H17" s="64">
        <v>994</v>
      </c>
      <c r="I17" s="64">
        <v>777</v>
      </c>
      <c r="J17" s="64">
        <v>592</v>
      </c>
      <c r="K17" s="76">
        <f t="shared" si="2"/>
        <v>787.66666666666663</v>
      </c>
      <c r="L17" s="66">
        <f t="shared" si="3"/>
        <v>6.7645130724286687E-3</v>
      </c>
      <c r="M17" s="77">
        <f t="shared" si="4"/>
        <v>379.54206832644854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180.78896771134265</v>
      </c>
      <c r="W17" s="77"/>
      <c r="X17" s="75">
        <v>5205</v>
      </c>
      <c r="Y17" s="66">
        <f t="shared" si="77"/>
        <v>6.9317189064797254E-3</v>
      </c>
      <c r="Z17" s="77"/>
      <c r="AA17" s="65"/>
      <c r="AB17" s="65"/>
      <c r="AC17" s="77">
        <f t="shared" si="10"/>
        <v>692.68911111111106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265.99303018683514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437.92801780904807</v>
      </c>
      <c r="AQ17" s="77">
        <f t="shared" si="17"/>
        <v>1956.9481268636919</v>
      </c>
      <c r="AR17" s="144">
        <f t="shared" si="18"/>
        <v>7.7349728334533276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0</v>
      </c>
      <c r="G18" s="88"/>
      <c r="H18" s="64">
        <v>2809</v>
      </c>
      <c r="I18" s="64">
        <v>2231</v>
      </c>
      <c r="J18" s="64">
        <v>1582</v>
      </c>
      <c r="K18" s="76">
        <f t="shared" si="2"/>
        <v>2207.3333333333335</v>
      </c>
      <c r="L18" s="66">
        <f t="shared" si="3"/>
        <v>1.8956667611351102E-2</v>
      </c>
      <c r="M18" s="77">
        <f t="shared" si="4"/>
        <v>1063.6172562241823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1187.03307842092</v>
      </c>
      <c r="W18" s="77"/>
      <c r="X18" s="75">
        <v>14316</v>
      </c>
      <c r="Y18" s="66">
        <f t="shared" si="77"/>
        <v>1.9065223413095821E-2</v>
      </c>
      <c r="Z18" s="77"/>
      <c r="AA18" s="65"/>
      <c r="AB18" s="65"/>
      <c r="AC18" s="77">
        <f t="shared" si="10"/>
        <v>692.68911111111106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925.17366908508427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302.57335702336178</v>
      </c>
      <c r="AQ18" s="77">
        <f t="shared" si="17"/>
        <v>4171.1055370880731</v>
      </c>
      <c r="AR18" s="144">
        <f t="shared" si="18"/>
        <v>16.486583150545744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0</v>
      </c>
      <c r="G19" s="85"/>
      <c r="H19" s="64">
        <v>25</v>
      </c>
      <c r="I19" s="64">
        <v>25</v>
      </c>
      <c r="J19" s="64">
        <v>23</v>
      </c>
      <c r="K19" s="76">
        <f t="shared" si="2"/>
        <v>24.333333333333332</v>
      </c>
      <c r="L19" s="66">
        <f t="shared" si="3"/>
        <v>2.0897564718040323E-4</v>
      </c>
      <c r="M19" s="77">
        <f t="shared" si="4"/>
        <v>11.725167578430277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404.98875300936447</v>
      </c>
      <c r="W19" s="65"/>
      <c r="X19" s="75"/>
      <c r="Y19" s="66"/>
      <c r="Z19" s="65"/>
      <c r="AA19" s="65"/>
      <c r="AB19" s="65"/>
      <c r="AC19" s="77">
        <f t="shared" si="10"/>
        <v>692.68911111111106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8.1540730156651495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-21.151887094669153</v>
      </c>
      <c r="AQ19" s="77">
        <f t="shared" si="17"/>
        <v>1096.4052176199018</v>
      </c>
      <c r="AR19" s="144">
        <f t="shared" si="18"/>
        <v>4.3336174609482283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0</v>
      </c>
      <c r="G20" s="85"/>
      <c r="H20" s="64">
        <v>5231</v>
      </c>
      <c r="I20" s="64">
        <v>3189</v>
      </c>
      <c r="J20" s="64">
        <v>2307</v>
      </c>
      <c r="K20" s="76">
        <f t="shared" si="2"/>
        <v>3575.6666666666665</v>
      </c>
      <c r="L20" s="66">
        <f t="shared" si="3"/>
        <v>3.0707969415125828E-2</v>
      </c>
      <c r="M20" s="77">
        <f t="shared" si="4"/>
        <v>1722.9571590934463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907.50356530747547</v>
      </c>
      <c r="W20" s="65"/>
      <c r="X20" s="75">
        <v>22723</v>
      </c>
      <c r="Y20" s="66">
        <f t="shared" ref="Y20:Y21" si="102">SUM(X20/$X$60)</f>
        <v>3.0261181308729838E-2</v>
      </c>
      <c r="Z20" s="65"/>
      <c r="AA20" s="65"/>
      <c r="AB20" s="65"/>
      <c r="AC20" s="77">
        <f t="shared" si="10"/>
        <v>692.68911111111106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1951.9596326730727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1456.3996342678831</v>
      </c>
      <c r="AQ20" s="77">
        <f t="shared" si="17"/>
        <v>6731.5393636342969</v>
      </c>
      <c r="AR20" s="144">
        <f t="shared" si="18"/>
        <v>26.606874955076272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0</v>
      </c>
      <c r="G21" s="82"/>
      <c r="H21" s="64">
        <v>266</v>
      </c>
      <c r="I21" s="64">
        <v>207</v>
      </c>
      <c r="J21" s="64">
        <v>128</v>
      </c>
      <c r="K21" s="76">
        <f t="shared" si="2"/>
        <v>200.33333333333334</v>
      </c>
      <c r="L21" s="66">
        <f t="shared" si="3"/>
        <v>1.7204707391153746E-3</v>
      </c>
      <c r="M21" s="77">
        <f t="shared" si="4"/>
        <v>96.531859104610916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171.15781039380352</v>
      </c>
      <c r="W21" s="77"/>
      <c r="X21" s="75">
        <v>2528</v>
      </c>
      <c r="Y21" s="66">
        <f t="shared" si="102"/>
        <v>3.3666446485265604E-3</v>
      </c>
      <c r="Z21" s="77"/>
      <c r="AA21" s="65"/>
      <c r="AB21" s="65"/>
      <c r="AC21" s="77">
        <f t="shared" si="10"/>
        <v>692.68911111111106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84.049675699933076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234.2986782625203</v>
      </c>
      <c r="AQ21" s="77">
        <f t="shared" si="17"/>
        <v>1278.7305012166275</v>
      </c>
      <c r="AR21" s="144">
        <f t="shared" si="18"/>
        <v>5.0542707557969466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</v>
      </c>
      <c r="G22" s="85"/>
      <c r="H22" s="64">
        <v>2</v>
      </c>
      <c r="I22" s="64">
        <v>2</v>
      </c>
      <c r="J22" s="64">
        <v>2</v>
      </c>
      <c r="K22" s="76">
        <f t="shared" si="2"/>
        <v>2</v>
      </c>
      <c r="L22" s="66">
        <f t="shared" si="3"/>
        <v>1.717608059017013E-5</v>
      </c>
      <c r="M22" s="77">
        <f t="shared" si="4"/>
        <v>0.96371240370659828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336.10197090532375</v>
      </c>
      <c r="W22" s="65"/>
      <c r="X22" s="75"/>
      <c r="Y22" s="66"/>
      <c r="Z22" s="65"/>
      <c r="AA22" s="65"/>
      <c r="AB22" s="65"/>
      <c r="AC22" s="77">
        <f t="shared" si="10"/>
        <v>692.68911111111106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0.5376311878460539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-25.334732389687126</v>
      </c>
      <c r="AQ22" s="77">
        <f t="shared" si="17"/>
        <v>1004.9576932183002</v>
      </c>
      <c r="AR22" s="144">
        <f t="shared" si="18"/>
        <v>3.9721647953292498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0</v>
      </c>
      <c r="G23" s="85"/>
      <c r="H23" s="64">
        <v>8260</v>
      </c>
      <c r="I23" s="64">
        <v>8110</v>
      </c>
      <c r="J23" s="64">
        <v>5911</v>
      </c>
      <c r="K23" s="76">
        <f t="shared" si="2"/>
        <v>7427</v>
      </c>
      <c r="L23" s="66">
        <f t="shared" si="3"/>
        <v>6.3783375271596776E-2</v>
      </c>
      <c r="M23" s="77">
        <f t="shared" si="4"/>
        <v>3578.7460111644523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992.63056869475668</v>
      </c>
      <c r="W23" s="77"/>
      <c r="X23" s="75">
        <v>38682</v>
      </c>
      <c r="Y23" s="66">
        <f>SUM(X23/$X$60)</f>
        <v>5.1514457394898891E-2</v>
      </c>
      <c r="Z23" s="77"/>
      <c r="AA23" s="65"/>
      <c r="AB23" s="65"/>
      <c r="AC23" s="77">
        <f t="shared" si="10"/>
        <v>692.68911111111106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2982.8674353678812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2435.4049378285063</v>
      </c>
      <c r="AQ23" s="77">
        <f t="shared" si="17"/>
        <v>10682.389578624101</v>
      </c>
      <c r="AR23" s="144">
        <f t="shared" si="18"/>
        <v>42.222883709976685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0</v>
      </c>
      <c r="G24" s="61"/>
      <c r="H24" s="64">
        <v>424</v>
      </c>
      <c r="I24" s="64">
        <v>424</v>
      </c>
      <c r="J24" s="64">
        <v>422</v>
      </c>
      <c r="K24" s="76">
        <f t="shared" si="2"/>
        <v>423.33333333333331</v>
      </c>
      <c r="L24" s="66">
        <f t="shared" si="3"/>
        <v>3.635603724919344E-3</v>
      </c>
      <c r="M24" s="77">
        <f t="shared" si="4"/>
        <v>203.98579211789661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233.04011444872489</v>
      </c>
      <c r="W24" s="65"/>
      <c r="X24" s="75"/>
      <c r="Y24" s="66"/>
      <c r="Z24" s="65"/>
      <c r="AA24" s="65"/>
      <c r="AB24" s="65"/>
      <c r="AC24" s="77">
        <f t="shared" si="10"/>
        <v>692.68911111111106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57.302524104591903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44.844704744729064</v>
      </c>
      <c r="AQ24" s="77">
        <f t="shared" si="17"/>
        <v>1231.8622465270537</v>
      </c>
      <c r="AR24" s="144">
        <f t="shared" si="18"/>
        <v>4.8690207372610814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0</v>
      </c>
      <c r="G25" s="61"/>
      <c r="H25" s="64">
        <v>13810</v>
      </c>
      <c r="I25" s="64">
        <v>10427</v>
      </c>
      <c r="J25" s="64">
        <v>8092</v>
      </c>
      <c r="K25" s="76">
        <f t="shared" si="2"/>
        <v>10776.333333333334</v>
      </c>
      <c r="L25" s="66">
        <f t="shared" si="3"/>
        <v>9.2547584899935018E-2</v>
      </c>
      <c r="M25" s="77">
        <f t="shared" si="4"/>
        <v>5192.6430499051021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2176.1331642280156</v>
      </c>
      <c r="W25" s="77"/>
      <c r="X25" s="75">
        <v>75861</v>
      </c>
      <c r="Y25" s="66">
        <f>SUM(X25/$X$60)</f>
        <v>0.10102730604504485</v>
      </c>
      <c r="Z25" s="77"/>
      <c r="AA25" s="65"/>
      <c r="AB25" s="65"/>
      <c r="AC25" s="77">
        <f t="shared" si="10"/>
        <v>692.68911111111106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6275.365632336102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4828.3887720536759</v>
      </c>
      <c r="AQ25" s="77">
        <f t="shared" si="17"/>
        <v>19165.320756940051</v>
      </c>
      <c r="AR25" s="144">
        <f t="shared" si="18"/>
        <v>75.752255956284785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0</v>
      </c>
      <c r="G26" s="85"/>
      <c r="H26" s="64">
        <v>2373</v>
      </c>
      <c r="I26" s="64">
        <v>2279</v>
      </c>
      <c r="J26" s="64">
        <v>2213</v>
      </c>
      <c r="K26" s="76">
        <f t="shared" si="2"/>
        <v>2288.3333333333335</v>
      </c>
      <c r="L26" s="66">
        <f t="shared" si="3"/>
        <v>1.965229887525299E-2</v>
      </c>
      <c r="M26" s="77">
        <f t="shared" si="4"/>
        <v>1102.6476085742995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552.47820612428893</v>
      </c>
      <c r="W26" s="65"/>
      <c r="X26" s="75"/>
      <c r="Y26" s="66"/>
      <c r="Z26" s="65"/>
      <c r="AA26" s="65"/>
      <c r="AB26" s="65"/>
      <c r="AC26" s="77">
        <f t="shared" si="10"/>
        <v>692.68911111111106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172.93803209048065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69.426817982274002</v>
      </c>
      <c r="AQ26" s="77">
        <f t="shared" si="17"/>
        <v>2590.1797758824537</v>
      </c>
      <c r="AR26" s="144">
        <f t="shared" si="18"/>
        <v>10.237864726808118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0</v>
      </c>
      <c r="G27" s="41"/>
      <c r="H27" s="64">
        <v>131</v>
      </c>
      <c r="I27" s="64">
        <v>128</v>
      </c>
      <c r="J27" s="64">
        <v>126</v>
      </c>
      <c r="K27" s="76">
        <f t="shared" si="2"/>
        <v>128.33333333333334</v>
      </c>
      <c r="L27" s="66">
        <f t="shared" si="3"/>
        <v>1.10213183786925E-3</v>
      </c>
      <c r="M27" s="77">
        <f t="shared" si="4"/>
        <v>61.838212571173386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315.45570697828242</v>
      </c>
      <c r="W27" s="65"/>
      <c r="X27" s="75"/>
      <c r="Y27" s="66"/>
      <c r="Z27" s="65"/>
      <c r="AA27" s="65"/>
      <c r="AB27" s="65"/>
      <c r="AC27" s="77">
        <f t="shared" si="10"/>
        <v>692.68911111111106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45.38503277400438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3.9916056618772471</v>
      </c>
      <c r="AQ27" s="77">
        <f t="shared" si="17"/>
        <v>1119.3596690964487</v>
      </c>
      <c r="AR27" s="144">
        <f t="shared" si="18"/>
        <v>4.4243465181677815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0</v>
      </c>
      <c r="G28" s="84"/>
      <c r="H28" s="64">
        <v>385</v>
      </c>
      <c r="I28" s="64">
        <v>316</v>
      </c>
      <c r="J28" s="64">
        <v>237</v>
      </c>
      <c r="K28" s="76">
        <f t="shared" si="2"/>
        <v>312.66666666666669</v>
      </c>
      <c r="L28" s="66">
        <f t="shared" si="3"/>
        <v>2.6851939322632638E-3</v>
      </c>
      <c r="M28" s="77">
        <f t="shared" si="4"/>
        <v>150.66037244613153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112.97545240515085</v>
      </c>
      <c r="W28" s="77"/>
      <c r="X28" s="75">
        <v>3629</v>
      </c>
      <c r="Y28" s="66">
        <f>SUM(X28/$X$60)</f>
        <v>4.832892970531205E-3</v>
      </c>
      <c r="Z28" s="77"/>
      <c r="AA28" s="65"/>
      <c r="AB28" s="65"/>
      <c r="AC28" s="77">
        <f t="shared" si="10"/>
        <v>692.68911111111106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107.30222457427492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225.14390357486087</v>
      </c>
      <c r="AQ28" s="77">
        <f t="shared" si="17"/>
        <v>1288.7758970044997</v>
      </c>
      <c r="AR28" s="144">
        <f t="shared" si="18"/>
        <v>5.0939758774881412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</v>
      </c>
      <c r="G29" s="85"/>
      <c r="H29" s="64">
        <v>2</v>
      </c>
      <c r="I29" s="64">
        <v>2</v>
      </c>
      <c r="J29" s="64">
        <v>2</v>
      </c>
      <c r="K29" s="76">
        <f t="shared" si="2"/>
        <v>2</v>
      </c>
      <c r="L29" s="66">
        <f t="shared" si="3"/>
        <v>1.717608059017013E-5</v>
      </c>
      <c r="M29" s="77">
        <f t="shared" si="4"/>
        <v>0.96371240370659828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55.188508499916189</v>
      </c>
      <c r="W29" s="65"/>
      <c r="X29" s="75"/>
      <c r="Y29" s="66"/>
      <c r="Z29" s="65"/>
      <c r="AA29" s="65"/>
      <c r="AB29" s="65"/>
      <c r="AC29" s="77">
        <f t="shared" si="10"/>
        <v>692.68911111111106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1.7024987615125038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42.992394670336843</v>
      </c>
      <c r="AQ29" s="77">
        <f t="shared" si="17"/>
        <v>793.53622544658322</v>
      </c>
      <c r="AR29" s="144">
        <f t="shared" si="18"/>
        <v>3.1365068199469692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0</v>
      </c>
      <c r="G30" s="61"/>
      <c r="H30" s="64">
        <v>827</v>
      </c>
      <c r="I30" s="64">
        <v>608</v>
      </c>
      <c r="J30" s="64">
        <v>475</v>
      </c>
      <c r="K30" s="76">
        <f t="shared" si="2"/>
        <v>636.66666666666663</v>
      </c>
      <c r="L30" s="66">
        <f t="shared" si="3"/>
        <v>5.4677189878708241E-3</v>
      </c>
      <c r="M30" s="77">
        <f t="shared" si="4"/>
        <v>306.78178184660038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404.08494939012326</v>
      </c>
      <c r="W30" s="77"/>
      <c r="X30" s="75">
        <v>9004</v>
      </c>
      <c r="Y30" s="66">
        <f>SUM(X30/$X$60)</f>
        <v>1.199100807568558E-2</v>
      </c>
      <c r="Z30" s="77"/>
      <c r="AA30" s="65"/>
      <c r="AB30" s="65"/>
      <c r="AC30" s="77">
        <f t="shared" si="10"/>
        <v>692.68911111111106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468.67998800479745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753.1619083919652</v>
      </c>
      <c r="AQ30" s="77">
        <f t="shared" si="17"/>
        <v>2625.4097297526732</v>
      </c>
      <c r="AR30" s="144">
        <f t="shared" si="18"/>
        <v>10.377113556334677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</v>
      </c>
      <c r="G31" s="85"/>
      <c r="H31" s="64">
        <v>1</v>
      </c>
      <c r="I31" s="64">
        <v>1</v>
      </c>
      <c r="J31" s="64">
        <v>1</v>
      </c>
      <c r="K31" s="76">
        <f t="shared" si="2"/>
        <v>1</v>
      </c>
      <c r="L31" s="66">
        <f t="shared" si="3"/>
        <v>8.5880402950850649E-6</v>
      </c>
      <c r="M31" s="77">
        <f t="shared" si="4"/>
        <v>0.48185620185329914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54.115241702067252</v>
      </c>
      <c r="W31" s="65"/>
      <c r="X31" s="75"/>
      <c r="Y31" s="66"/>
      <c r="Z31" s="65"/>
      <c r="AA31" s="65"/>
      <c r="AB31" s="65"/>
      <c r="AC31" s="77">
        <f t="shared" si="10"/>
        <v>692.68911111111106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747.28620901503155</v>
      </c>
      <c r="AR31" s="144">
        <f t="shared" si="18"/>
        <v>2.9537004308894526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0</v>
      </c>
      <c r="G32" s="85"/>
      <c r="H32" s="64">
        <v>2443</v>
      </c>
      <c r="I32" s="64">
        <v>1271</v>
      </c>
      <c r="J32" s="64">
        <v>696</v>
      </c>
      <c r="K32" s="76">
        <f t="shared" si="2"/>
        <v>1470</v>
      </c>
      <c r="L32" s="66">
        <f t="shared" si="3"/>
        <v>1.2624419233775044E-2</v>
      </c>
      <c r="M32" s="77">
        <f t="shared" si="4"/>
        <v>708.32861672434956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215.58540705212909</v>
      </c>
      <c r="W32" s="65"/>
      <c r="X32" s="75"/>
      <c r="Y32" s="66"/>
      <c r="Z32" s="65"/>
      <c r="AA32" s="65"/>
      <c r="AB32" s="65"/>
      <c r="AC32" s="77">
        <f t="shared" si="10"/>
        <v>692.68911111111106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97.221639802161405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-63.16867577091466</v>
      </c>
      <c r="AQ32" s="77">
        <f t="shared" si="17"/>
        <v>1650.6560989188365</v>
      </c>
      <c r="AR32" s="144">
        <f t="shared" si="18"/>
        <v>6.5243324067938202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0</v>
      </c>
      <c r="G33" s="84"/>
      <c r="H33" s="64">
        <v>14795</v>
      </c>
      <c r="I33" s="64">
        <v>9432</v>
      </c>
      <c r="J33" s="64">
        <v>7407</v>
      </c>
      <c r="K33" s="76">
        <f t="shared" si="2"/>
        <v>10544.666666666666</v>
      </c>
      <c r="L33" s="66">
        <f t="shared" si="3"/>
        <v>9.0558022231573637E-2</v>
      </c>
      <c r="M33" s="77">
        <f t="shared" si="4"/>
        <v>5081.0130298090871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1669.1275776967998</v>
      </c>
      <c r="W33" s="77"/>
      <c r="X33" s="75">
        <v>56102</v>
      </c>
      <c r="Y33" s="66">
        <f t="shared" ref="Y33:Y38" si="176">SUM(X33/$X$60)</f>
        <v>7.4713409047324791E-2</v>
      </c>
      <c r="Z33" s="77"/>
      <c r="AA33" s="65"/>
      <c r="AB33" s="65"/>
      <c r="AC33" s="77">
        <f t="shared" si="10"/>
        <v>692.68911111111106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5804.4903169809331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4222.0768675177678</v>
      </c>
      <c r="AQ33" s="77">
        <f t="shared" si="17"/>
        <v>17469.471616524745</v>
      </c>
      <c r="AR33" s="144">
        <f t="shared" si="18"/>
        <v>69.049294926975278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0</v>
      </c>
      <c r="G34" s="85"/>
      <c r="H34" s="64">
        <v>3859</v>
      </c>
      <c r="I34" s="64">
        <v>3089</v>
      </c>
      <c r="J34" s="64">
        <v>2117</v>
      </c>
      <c r="K34" s="76">
        <f t="shared" si="2"/>
        <v>3021.6666666666665</v>
      </c>
      <c r="L34" s="66">
        <f t="shared" si="3"/>
        <v>2.5950195091648701E-2</v>
      </c>
      <c r="M34" s="77">
        <f t="shared" si="4"/>
        <v>1456.0088232667185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1358.7840099398504</v>
      </c>
      <c r="W34" s="77"/>
      <c r="X34" s="75">
        <v>24794</v>
      </c>
      <c r="Y34" s="66">
        <f t="shared" si="176"/>
        <v>3.3019219705525134E-2</v>
      </c>
      <c r="Z34" s="77"/>
      <c r="AA34" s="65"/>
      <c r="AB34" s="65"/>
      <c r="AC34" s="77">
        <f t="shared" si="10"/>
        <v>692.68911111111106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1716.7011853914371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1707.5390722328345</v>
      </c>
      <c r="AQ34" s="77">
        <f t="shared" si="17"/>
        <v>6931.7552211616576</v>
      </c>
      <c r="AR34" s="144">
        <f t="shared" si="18"/>
        <v>27.398241980876119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0</v>
      </c>
      <c r="G35" s="85"/>
      <c r="H35" s="64">
        <v>4864</v>
      </c>
      <c r="I35" s="64">
        <v>4164</v>
      </c>
      <c r="J35" s="64">
        <v>3092</v>
      </c>
      <c r="K35" s="76">
        <f t="shared" si="2"/>
        <v>4040</v>
      </c>
      <c r="L35" s="66">
        <f t="shared" si="3"/>
        <v>3.4695682792143662E-2</v>
      </c>
      <c r="M35" s="77">
        <f t="shared" si="4"/>
        <v>1946.6990554873285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948.96555634016568</v>
      </c>
      <c r="W35" s="77"/>
      <c r="X35" s="75">
        <v>18600</v>
      </c>
      <c r="Y35" s="66">
        <f t="shared" si="176"/>
        <v>2.4770407619697003E-2</v>
      </c>
      <c r="Z35" s="77"/>
      <c r="AA35" s="65"/>
      <c r="AB35" s="65"/>
      <c r="AC35" s="77">
        <f t="shared" si="10"/>
        <v>692.68911111111106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2064.1901431359365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1729.7745245185863</v>
      </c>
      <c r="AQ35" s="77">
        <f t="shared" si="17"/>
        <v>7382.3431610007483</v>
      </c>
      <c r="AR35" s="144">
        <f t="shared" si="18"/>
        <v>29.179221980240111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0</v>
      </c>
      <c r="G36" s="85"/>
      <c r="H36" s="64">
        <v>126</v>
      </c>
      <c r="I36" s="64">
        <v>126</v>
      </c>
      <c r="J36" s="64">
        <v>112</v>
      </c>
      <c r="K36" s="76">
        <f t="shared" si="2"/>
        <v>121.33333333333333</v>
      </c>
      <c r="L36" s="66">
        <f t="shared" si="3"/>
        <v>1.0420155558036545E-3</v>
      </c>
      <c r="M36" s="77">
        <f t="shared" si="4"/>
        <v>58.465219158200291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176.63711983545332</v>
      </c>
      <c r="W36" s="77"/>
      <c r="X36" s="75">
        <v>2772</v>
      </c>
      <c r="Y36" s="66">
        <f t="shared" si="176"/>
        <v>3.6915897807419402E-3</v>
      </c>
      <c r="Z36" s="77"/>
      <c r="AA36" s="65"/>
      <c r="AB36" s="65"/>
      <c r="AC36" s="77">
        <f t="shared" si="10"/>
        <v>692.68911111111106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101.38828150796832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86.073198331810687</v>
      </c>
      <c r="AQ36" s="77">
        <f t="shared" si="17"/>
        <v>1115.2566215343245</v>
      </c>
      <c r="AR36" s="144">
        <f t="shared" si="18"/>
        <v>4.4081289388708482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0</v>
      </c>
      <c r="G37" s="61"/>
      <c r="H37" s="64">
        <v>1348</v>
      </c>
      <c r="I37" s="64">
        <v>1119</v>
      </c>
      <c r="J37" s="64">
        <v>807</v>
      </c>
      <c r="K37" s="76">
        <f t="shared" si="2"/>
        <v>1091.3333333333333</v>
      </c>
      <c r="L37" s="66">
        <f t="shared" si="3"/>
        <v>9.3724146420361663E-3</v>
      </c>
      <c r="M37" s="77">
        <f t="shared" si="4"/>
        <v>525.86573495590039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797.07006058144043</v>
      </c>
      <c r="W37" s="77"/>
      <c r="X37" s="75">
        <v>6100</v>
      </c>
      <c r="Y37" s="66">
        <f t="shared" si="176"/>
        <v>8.1236283053845015E-3</v>
      </c>
      <c r="Z37" s="77"/>
      <c r="AA37" s="65"/>
      <c r="AB37" s="65"/>
      <c r="AC37" s="77">
        <f t="shared" si="10"/>
        <v>692.68911111111106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639.42269274490673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615.08071022626154</v>
      </c>
      <c r="AQ37" s="77">
        <f t="shared" si="17"/>
        <v>3270.1364332479257</v>
      </c>
      <c r="AR37" s="144">
        <f t="shared" si="18"/>
        <v>12.925440447620259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0</v>
      </c>
      <c r="G38" s="85"/>
      <c r="H38" s="64">
        <v>7591</v>
      </c>
      <c r="I38" s="64">
        <v>5625</v>
      </c>
      <c r="J38" s="64">
        <v>3928</v>
      </c>
      <c r="K38" s="76">
        <f t="shared" si="2"/>
        <v>5714.666666666667</v>
      </c>
      <c r="L38" s="66">
        <f t="shared" si="3"/>
        <v>4.9077787606312782E-2</v>
      </c>
      <c r="M38" s="77">
        <f t="shared" si="4"/>
        <v>2753.6475748576531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3453.2076782158406</v>
      </c>
      <c r="W38" s="77"/>
      <c r="X38" s="75">
        <v>39298</v>
      </c>
      <c r="Y38" s="66">
        <f t="shared" si="176"/>
        <v>5.2334810679508216E-2</v>
      </c>
      <c r="Z38" s="77"/>
      <c r="AA38" s="65"/>
      <c r="AB38" s="65"/>
      <c r="AC38" s="77">
        <f t="shared" si="10"/>
        <v>692.68911111111106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3513.3302073759874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917.27293018758223</v>
      </c>
      <c r="AQ38" s="77">
        <f t="shared" si="17"/>
        <v>11330.199836558855</v>
      </c>
      <c r="AR38" s="144">
        <f t="shared" si="18"/>
        <v>44.783398563473739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0</v>
      </c>
      <c r="G39" s="85"/>
      <c r="H39" s="64">
        <v>952</v>
      </c>
      <c r="I39" s="64">
        <v>904</v>
      </c>
      <c r="J39" s="64">
        <v>887</v>
      </c>
      <c r="K39" s="76">
        <f t="shared" si="2"/>
        <v>914.33333333333337</v>
      </c>
      <c r="L39" s="66">
        <f t="shared" si="3"/>
        <v>7.8523315098061111E-3</v>
      </c>
      <c r="M39" s="77">
        <f t="shared" si="4"/>
        <v>440.57718722786649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371.01138569851531</v>
      </c>
      <c r="W39" s="65"/>
      <c r="X39" s="75"/>
      <c r="Y39" s="66"/>
      <c r="Z39" s="65"/>
      <c r="AA39" s="65"/>
      <c r="AB39" s="65"/>
      <c r="AC39" s="77">
        <f t="shared" si="10"/>
        <v>692.68911111111106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75.402774095409043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101.70200099664225</v>
      </c>
      <c r="AQ39" s="77">
        <f t="shared" si="17"/>
        <v>1681.3824591295443</v>
      </c>
      <c r="AR39" s="144">
        <f t="shared" si="18"/>
        <v>6.6457804708677637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0</v>
      </c>
      <c r="G40" s="61"/>
      <c r="H40" s="64">
        <v>371</v>
      </c>
      <c r="I40" s="64">
        <v>369</v>
      </c>
      <c r="J40" s="64">
        <v>368</v>
      </c>
      <c r="K40" s="76">
        <f t="shared" si="2"/>
        <v>369.33333333333331</v>
      </c>
      <c r="L40" s="66">
        <f t="shared" si="3"/>
        <v>3.1718495489847505E-3</v>
      </c>
      <c r="M40" s="77">
        <f t="shared" si="4"/>
        <v>177.96555721781846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401.71246488961515</v>
      </c>
      <c r="W40" s="65"/>
      <c r="X40" s="75"/>
      <c r="Y40" s="66"/>
      <c r="Z40" s="65"/>
      <c r="AA40" s="65"/>
      <c r="AB40" s="65"/>
      <c r="AC40" s="77">
        <f t="shared" si="10"/>
        <v>692.68911111111106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72.893828552127474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-1.3389295587485022</v>
      </c>
      <c r="AQ40" s="77">
        <f t="shared" si="17"/>
        <v>1343.9220322119236</v>
      </c>
      <c r="AR40" s="144">
        <f t="shared" si="18"/>
        <v>5.3119447913514763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0</v>
      </c>
      <c r="G41" s="114"/>
      <c r="H41" s="64">
        <v>4494</v>
      </c>
      <c r="I41" s="64">
        <v>3364</v>
      </c>
      <c r="J41" s="64">
        <v>2719</v>
      </c>
      <c r="K41" s="76">
        <f t="shared" si="2"/>
        <v>3525.6666666666665</v>
      </c>
      <c r="L41" s="66">
        <f t="shared" si="3"/>
        <v>3.0278567400371575E-2</v>
      </c>
      <c r="M41" s="77">
        <f t="shared" si="4"/>
        <v>1698.8643490007814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1228.1561430963948</v>
      </c>
      <c r="W41" s="77"/>
      <c r="X41" s="75">
        <v>39298</v>
      </c>
      <c r="Y41" s="66">
        <f t="shared" ref="Y41:Y44" si="226">SUM(X41/$X$60)</f>
        <v>5.2334810679508216E-2</v>
      </c>
      <c r="Z41" s="77"/>
      <c r="AA41" s="65"/>
      <c r="AB41" s="65"/>
      <c r="AC41" s="77">
        <f t="shared" si="10"/>
        <v>692.68911111111106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1160.5217215646944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1589.3115100316788</v>
      </c>
      <c r="AQ41" s="77">
        <f t="shared" si="17"/>
        <v>6369.5951696153406</v>
      </c>
      <c r="AR41" s="144">
        <f t="shared" si="18"/>
        <v>25.176265492550755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0</v>
      </c>
      <c r="G42" s="85"/>
      <c r="H42" s="64">
        <v>8020</v>
      </c>
      <c r="I42" s="64">
        <v>7378</v>
      </c>
      <c r="J42" s="64">
        <v>6220</v>
      </c>
      <c r="K42" s="76">
        <f t="shared" si="2"/>
        <v>7206</v>
      </c>
      <c r="L42" s="66">
        <f t="shared" si="3"/>
        <v>6.1885418366382977E-2</v>
      </c>
      <c r="M42" s="77">
        <f t="shared" si="4"/>
        <v>3472.2557905548733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1478.0578438165885</v>
      </c>
      <c r="W42" s="77"/>
      <c r="X42" s="75">
        <v>40212</v>
      </c>
      <c r="Y42" s="66">
        <f t="shared" si="226"/>
        <v>5.3552023182970747E-2</v>
      </c>
      <c r="Z42" s="77"/>
      <c r="AA42" s="65"/>
      <c r="AB42" s="65"/>
      <c r="AC42" s="77">
        <f t="shared" si="10"/>
        <v>692.68911111111106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4167.268942192738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3797.2589074902412</v>
      </c>
      <c r="AQ42" s="77">
        <f t="shared" si="17"/>
        <v>13607.584147188734</v>
      </c>
      <c r="AR42" s="144">
        <f t="shared" si="18"/>
        <v>53.784917577821084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0</v>
      </c>
      <c r="G43" s="85"/>
      <c r="H43" s="64">
        <v>776</v>
      </c>
      <c r="I43" s="64">
        <v>591</v>
      </c>
      <c r="J43" s="64">
        <v>429</v>
      </c>
      <c r="K43" s="76">
        <f t="shared" si="2"/>
        <v>598.66666666666663</v>
      </c>
      <c r="L43" s="66">
        <f t="shared" si="3"/>
        <v>5.1413734566575914E-3</v>
      </c>
      <c r="M43" s="77">
        <f t="shared" si="4"/>
        <v>288.47124617617504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279.13409903002645</v>
      </c>
      <c r="W43" s="77"/>
      <c r="X43" s="75">
        <v>10782</v>
      </c>
      <c r="Y43" s="66">
        <f t="shared" si="226"/>
        <v>1.4358845965353391E-2</v>
      </c>
      <c r="Z43" s="77"/>
      <c r="AA43" s="65"/>
      <c r="AB43" s="65"/>
      <c r="AC43" s="77">
        <f t="shared" si="10"/>
        <v>692.68911111111106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187.94690275118299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106.67984795273068</v>
      </c>
      <c r="AQ43" s="77">
        <f t="shared" si="17"/>
        <v>1554.9355658671914</v>
      </c>
      <c r="AR43" s="144">
        <f t="shared" si="18"/>
        <v>6.145990378921705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0</v>
      </c>
      <c r="G44" s="82"/>
      <c r="H44" s="64">
        <v>1383</v>
      </c>
      <c r="I44" s="64">
        <v>1367</v>
      </c>
      <c r="J44" s="64">
        <v>1141</v>
      </c>
      <c r="K44" s="76">
        <f t="shared" si="2"/>
        <v>1297</v>
      </c>
      <c r="L44" s="66">
        <f t="shared" si="3"/>
        <v>1.1138688262725328E-2</v>
      </c>
      <c r="M44" s="77">
        <f t="shared" si="4"/>
        <v>624.96749380372887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655.45533099158388</v>
      </c>
      <c r="W44" s="77"/>
      <c r="X44" s="75">
        <v>13791</v>
      </c>
      <c r="Y44" s="66">
        <f t="shared" si="226"/>
        <v>1.8366058681894698E-2</v>
      </c>
      <c r="Z44" s="77"/>
      <c r="AA44" s="65"/>
      <c r="AB44" s="65"/>
      <c r="AC44" s="77">
        <f t="shared" si="10"/>
        <v>692.68911111111106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555.73143783687101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104.45883363193053</v>
      </c>
      <c r="AQ44" s="77">
        <f t="shared" si="17"/>
        <v>2633.3205734339072</v>
      </c>
      <c r="AR44" s="144">
        <f t="shared" si="18"/>
        <v>10.408381713177498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0</v>
      </c>
      <c r="G45" s="61"/>
      <c r="H45" s="64">
        <v>490</v>
      </c>
      <c r="I45" s="64">
        <v>490</v>
      </c>
      <c r="J45" s="64">
        <v>490</v>
      </c>
      <c r="K45" s="76">
        <f t="shared" si="2"/>
        <v>490</v>
      </c>
      <c r="L45" s="66">
        <f t="shared" si="3"/>
        <v>4.2081397445916813E-3</v>
      </c>
      <c r="M45" s="77">
        <f t="shared" si="4"/>
        <v>236.10953890811655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192.28421999356675</v>
      </c>
      <c r="W45" s="65"/>
      <c r="X45" s="75"/>
      <c r="Y45" s="66"/>
      <c r="Z45" s="65"/>
      <c r="AA45" s="65"/>
      <c r="AB45" s="65"/>
      <c r="AC45" s="77">
        <f t="shared" si="10"/>
        <v>692.68911111111106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325.5356842407856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365.11360831958996</v>
      </c>
      <c r="AQ45" s="77">
        <f t="shared" si="17"/>
        <v>1811.7321625731699</v>
      </c>
      <c r="AR45" s="144">
        <f t="shared" si="18"/>
        <v>7.1609966900125297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0</v>
      </c>
      <c r="G46" s="85"/>
      <c r="H46" s="64">
        <v>1119</v>
      </c>
      <c r="I46" s="64">
        <v>999</v>
      </c>
      <c r="J46" s="64">
        <v>817</v>
      </c>
      <c r="K46" s="76">
        <f t="shared" si="2"/>
        <v>978.33333333333337</v>
      </c>
      <c r="L46" s="66">
        <f t="shared" si="3"/>
        <v>8.4019660886915544E-3</v>
      </c>
      <c r="M46" s="77">
        <f t="shared" si="4"/>
        <v>471.41598414647757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204.42908112712044</v>
      </c>
      <c r="W46" s="77"/>
      <c r="X46" s="75">
        <v>4699</v>
      </c>
      <c r="Y46" s="66">
        <f>SUM(X46/$X$60)</f>
        <v>6.2578572798363558E-3</v>
      </c>
      <c r="Z46" s="77"/>
      <c r="AA46" s="65"/>
      <c r="AB46" s="65"/>
      <c r="AC46" s="77">
        <f t="shared" si="10"/>
        <v>692.68911111111106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447.89158207474998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187.72117301235124</v>
      </c>
      <c r="AQ46" s="77">
        <f t="shared" si="17"/>
        <v>2004.1531893290903</v>
      </c>
      <c r="AR46" s="144">
        <f t="shared" si="18"/>
        <v>7.9215541080201195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</v>
      </c>
      <c r="G47" s="85"/>
      <c r="H47" s="64">
        <v>2</v>
      </c>
      <c r="I47" s="64">
        <v>2</v>
      </c>
      <c r="J47" s="64">
        <v>2</v>
      </c>
      <c r="K47" s="76">
        <f t="shared" si="2"/>
        <v>2</v>
      </c>
      <c r="L47" s="66">
        <f t="shared" si="3"/>
        <v>1.717608059017013E-5</v>
      </c>
      <c r="M47" s="77">
        <f t="shared" si="4"/>
        <v>0.96371240370659828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31.972053030657687</v>
      </c>
      <c r="W47" s="65"/>
      <c r="X47" s="75"/>
      <c r="Y47" s="66"/>
      <c r="Z47" s="65"/>
      <c r="AA47" s="65"/>
      <c r="AB47" s="65"/>
      <c r="AC47" s="77">
        <f t="shared" si="10"/>
        <v>692.68911111111106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3.0017741321404676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22.364901581576355</v>
      </c>
      <c r="AQ47" s="77">
        <f t="shared" si="17"/>
        <v>750.99155225919208</v>
      </c>
      <c r="AR47" s="144">
        <f t="shared" si="18"/>
        <v>2.9683460563604429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</v>
      </c>
      <c r="G48" s="85"/>
      <c r="H48" s="64">
        <v>1</v>
      </c>
      <c r="I48" s="64">
        <v>1</v>
      </c>
      <c r="J48" s="64">
        <v>1</v>
      </c>
      <c r="K48" s="76">
        <f t="shared" si="2"/>
        <v>1</v>
      </c>
      <c r="L48" s="66">
        <f t="shared" si="3"/>
        <v>8.5880402950850649E-6</v>
      </c>
      <c r="M48" s="77">
        <f t="shared" si="4"/>
        <v>0.48185620185329914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40.840626044462027</v>
      </c>
      <c r="W48" s="65"/>
      <c r="X48" s="75"/>
      <c r="Y48" s="66"/>
      <c r="Z48" s="65"/>
      <c r="AA48" s="65"/>
      <c r="AB48" s="65"/>
      <c r="AC48" s="77">
        <f t="shared" si="10"/>
        <v>692.68911111111106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734.01159335742636</v>
      </c>
      <c r="AR48" s="144">
        <f t="shared" si="18"/>
        <v>2.9012315942981277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0</v>
      </c>
      <c r="G49" s="85"/>
      <c r="H49" s="64">
        <v>19304</v>
      </c>
      <c r="I49" s="64">
        <v>16605</v>
      </c>
      <c r="J49" s="64">
        <v>9120</v>
      </c>
      <c r="K49" s="76">
        <f t="shared" si="2"/>
        <v>15009.666666666666</v>
      </c>
      <c r="L49" s="66">
        <f t="shared" si="3"/>
        <v>0.12890362214912846</v>
      </c>
      <c r="M49" s="77">
        <f t="shared" si="4"/>
        <v>7232.5009710840677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3026.7818331125986</v>
      </c>
      <c r="W49" s="77"/>
      <c r="X49" s="75">
        <v>143207</v>
      </c>
      <c r="Y49" s="66">
        <f>SUM(X49/$X$60)</f>
        <v>0.19071482602118003</v>
      </c>
      <c r="Z49" s="77"/>
      <c r="AA49" s="65"/>
      <c r="AB49" s="65"/>
      <c r="AC49" s="77">
        <f t="shared" si="10"/>
        <v>692.68911111111106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10550.47443029096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2141.0587855795357</v>
      </c>
      <c r="AQ49" s="77">
        <f t="shared" si="17"/>
        <v>23643.695846004295</v>
      </c>
      <c r="AR49" s="144">
        <f t="shared" si="18"/>
        <v>93.453343264839106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0</v>
      </c>
      <c r="G50" s="85"/>
      <c r="H50" s="64">
        <v>4283</v>
      </c>
      <c r="I50" s="64">
        <v>1955</v>
      </c>
      <c r="J50" s="64">
        <v>1223</v>
      </c>
      <c r="K50" s="76">
        <f t="shared" si="2"/>
        <v>2487</v>
      </c>
      <c r="L50" s="66">
        <f t="shared" si="3"/>
        <v>2.1358456213876557E-2</v>
      </c>
      <c r="M50" s="77">
        <f t="shared" si="4"/>
        <v>1198.3763740091549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1036.5780196803603</v>
      </c>
      <c r="W50" s="65"/>
      <c r="X50" s="75"/>
      <c r="Y50" s="66"/>
      <c r="Z50" s="65"/>
      <c r="AA50" s="65"/>
      <c r="AB50" s="65"/>
      <c r="AC50" s="77">
        <f t="shared" si="10"/>
        <v>692.68911111111106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266.17224058278384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-70.693321903586735</v>
      </c>
      <c r="AQ50" s="77">
        <f t="shared" si="17"/>
        <v>3123.1224234798233</v>
      </c>
      <c r="AR50" s="144">
        <f t="shared" si="18"/>
        <v>12.34435740505859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0</v>
      </c>
      <c r="G51" s="82"/>
      <c r="H51" s="64">
        <v>105</v>
      </c>
      <c r="I51" s="64">
        <v>95</v>
      </c>
      <c r="J51" s="64">
        <v>78</v>
      </c>
      <c r="K51" s="76">
        <f t="shared" si="2"/>
        <v>92.666666666666671</v>
      </c>
      <c r="L51" s="66">
        <f t="shared" si="3"/>
        <v>7.9582506734454932E-4</v>
      </c>
      <c r="M51" s="77">
        <f t="shared" si="4"/>
        <v>44.652008038405718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297.32314686725573</v>
      </c>
      <c r="W51" s="77"/>
      <c r="X51" s="75">
        <v>16880</v>
      </c>
      <c r="Y51" s="66">
        <f t="shared" ref="Y51:Y54" si="288">SUM(X51/$X$60)</f>
        <v>2.2479810786047601E-2</v>
      </c>
      <c r="Z51" s="77"/>
      <c r="AA51" s="65"/>
      <c r="AB51" s="65"/>
      <c r="AC51" s="77">
        <f t="shared" si="10"/>
        <v>692.68911111111106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104.79327903099332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127.82687493326057</v>
      </c>
      <c r="AQ51" s="77">
        <f t="shared" si="17"/>
        <v>1267.3068997918124</v>
      </c>
      <c r="AR51" s="144">
        <f t="shared" si="18"/>
        <v>5.0091181809953058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0</v>
      </c>
      <c r="G52" s="82"/>
      <c r="H52" s="64">
        <v>2094</v>
      </c>
      <c r="I52" s="64">
        <v>1296</v>
      </c>
      <c r="J52" s="64">
        <v>908</v>
      </c>
      <c r="K52" s="76">
        <f t="shared" si="2"/>
        <v>1432.6666666666667</v>
      </c>
      <c r="L52" s="66">
        <f t="shared" si="3"/>
        <v>1.2303799062758537E-2</v>
      </c>
      <c r="M52" s="77">
        <f t="shared" si="4"/>
        <v>690.33931852182661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746.3440824515277</v>
      </c>
      <c r="W52" s="77"/>
      <c r="X52" s="75">
        <v>12327</v>
      </c>
      <c r="Y52" s="66">
        <f t="shared" si="288"/>
        <v>1.6416387888602415E-2</v>
      </c>
      <c r="Z52" s="77"/>
      <c r="AA52" s="65"/>
      <c r="AB52" s="65"/>
      <c r="AC52" s="77">
        <f t="shared" si="10"/>
        <v>692.68911111111106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701.83271313403611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55.797779504763696</v>
      </c>
      <c r="AQ52" s="77">
        <f t="shared" si="17"/>
        <v>2887.0194211111534</v>
      </c>
      <c r="AR52" s="144">
        <f t="shared" si="18"/>
        <v>11.41114395696108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0</v>
      </c>
      <c r="G53" s="85"/>
      <c r="H53" s="64">
        <v>2081</v>
      </c>
      <c r="I53" s="64">
        <v>930</v>
      </c>
      <c r="J53" s="64">
        <v>713</v>
      </c>
      <c r="K53" s="76">
        <f t="shared" si="2"/>
        <v>1241.3333333333333</v>
      </c>
      <c r="L53" s="66">
        <f t="shared" si="3"/>
        <v>1.0660620686298927E-2</v>
      </c>
      <c r="M53" s="77">
        <f t="shared" si="4"/>
        <v>598.14416523389525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622.8336691095966</v>
      </c>
      <c r="W53" s="77"/>
      <c r="X53" s="75">
        <v>5000</v>
      </c>
      <c r="Y53" s="66">
        <f t="shared" si="288"/>
        <v>6.6587117257250004E-3</v>
      </c>
      <c r="Z53" s="77"/>
      <c r="AA53" s="65"/>
      <c r="AB53" s="65"/>
      <c r="AC53" s="77">
        <f t="shared" si="10"/>
        <v>692.68911111111106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644.66459682640573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240.33135685725472</v>
      </c>
      <c r="AQ53" s="77">
        <f t="shared" si="17"/>
        <v>2798.6695578499894</v>
      </c>
      <c r="AR53" s="144">
        <f t="shared" si="18"/>
        <v>11.061935011264779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0</v>
      </c>
      <c r="G54" s="84"/>
      <c r="H54" s="64">
        <v>1469</v>
      </c>
      <c r="I54" s="64">
        <v>1093</v>
      </c>
      <c r="J54" s="64">
        <v>743</v>
      </c>
      <c r="K54" s="76">
        <f t="shared" si="2"/>
        <v>1101.6666666666667</v>
      </c>
      <c r="L54" s="66">
        <f t="shared" si="3"/>
        <v>9.4611577250853802E-3</v>
      </c>
      <c r="M54" s="77">
        <f t="shared" si="4"/>
        <v>530.84491570838452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473.16943853587298</v>
      </c>
      <c r="W54" s="77"/>
      <c r="X54" s="75">
        <v>2112</v>
      </c>
      <c r="Y54" s="66">
        <f t="shared" si="288"/>
        <v>2.8126398329462402E-3</v>
      </c>
      <c r="Z54" s="77"/>
      <c r="AA54" s="65"/>
      <c r="AB54" s="65"/>
      <c r="AC54" s="77">
        <f t="shared" si="10"/>
        <v>692.68911111111106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373.69847815199461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843.16413303987758</v>
      </c>
      <c r="AQ54" s="77">
        <f t="shared" si="17"/>
        <v>2913.5688891870736</v>
      </c>
      <c r="AR54" s="144">
        <f t="shared" si="18"/>
        <v>11.516082565956813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0</v>
      </c>
      <c r="G55" s="82"/>
      <c r="H55" s="64">
        <v>495</v>
      </c>
      <c r="I55" s="64">
        <v>438</v>
      </c>
      <c r="J55" s="64">
        <v>417</v>
      </c>
      <c r="K55" s="76">
        <f t="shared" si="2"/>
        <v>450</v>
      </c>
      <c r="L55" s="66">
        <f t="shared" si="3"/>
        <v>3.8646181327882789E-3</v>
      </c>
      <c r="M55" s="77">
        <f t="shared" si="4"/>
        <v>216.83529083398457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301.84216496346176</v>
      </c>
      <c r="W55" s="65"/>
      <c r="X55" s="75"/>
      <c r="Y55" s="66"/>
      <c r="Z55" s="65"/>
      <c r="AA55" s="65"/>
      <c r="AB55" s="65"/>
      <c r="AC55" s="77">
        <f t="shared" si="10"/>
        <v>692.68911111111106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76.388431273126812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-0.84312672780987841</v>
      </c>
      <c r="AQ55" s="77">
        <f t="shared" si="17"/>
        <v>1286.9118714538743</v>
      </c>
      <c r="AR55" s="144">
        <f t="shared" si="18"/>
        <v>5.0866081875647202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0</v>
      </c>
      <c r="G56" s="85"/>
      <c r="H56" s="64">
        <v>820</v>
      </c>
      <c r="I56" s="64">
        <v>635</v>
      </c>
      <c r="J56" s="64">
        <v>528</v>
      </c>
      <c r="K56" s="76">
        <f t="shared" si="2"/>
        <v>661</v>
      </c>
      <c r="L56" s="66">
        <f t="shared" si="3"/>
        <v>5.6766946350512272E-3</v>
      </c>
      <c r="M56" s="77">
        <f t="shared" si="4"/>
        <v>318.50694942503065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403.46358440189499</v>
      </c>
      <c r="W56" s="77"/>
      <c r="X56" s="75">
        <v>5198</v>
      </c>
      <c r="Y56" s="66">
        <f t="shared" ref="Y56:Y57" si="317">SUM(X56/$X$60)</f>
        <v>6.9223967100637109E-3</v>
      </c>
      <c r="Z56" s="77"/>
      <c r="AA56" s="65"/>
      <c r="AB56" s="65"/>
      <c r="AC56" s="77">
        <f t="shared" si="10"/>
        <v>692.68911111111106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254.38915704915777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188.11872056049262</v>
      </c>
      <c r="AQ56" s="77">
        <f t="shared" si="17"/>
        <v>1857.1744449443972</v>
      </c>
      <c r="AR56" s="144">
        <f t="shared" si="18"/>
        <v>7.3406104543256809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0</v>
      </c>
      <c r="G57" s="61"/>
      <c r="H57" s="64">
        <v>480</v>
      </c>
      <c r="I57" s="64">
        <v>344</v>
      </c>
      <c r="J57" s="64">
        <v>284</v>
      </c>
      <c r="K57" s="76">
        <f t="shared" si="2"/>
        <v>369.33333333333331</v>
      </c>
      <c r="L57" s="66">
        <f t="shared" si="3"/>
        <v>3.1718495489847505E-3</v>
      </c>
      <c r="M57" s="77">
        <f t="shared" si="4"/>
        <v>177.96555721781846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274.72805638622555</v>
      </c>
      <c r="W57" s="77"/>
      <c r="X57" s="75">
        <v>3391</v>
      </c>
      <c r="Y57" s="66">
        <f t="shared" si="317"/>
        <v>4.5159382923866953E-3</v>
      </c>
      <c r="Z57" s="77"/>
      <c r="AA57" s="65"/>
      <c r="AB57" s="65"/>
      <c r="AC57" s="77">
        <f t="shared" si="10"/>
        <v>692.68911111111106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162.09580313558524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70.644029638242586</v>
      </c>
      <c r="AQ57" s="77">
        <f t="shared" si="17"/>
        <v>1378.127073427275</v>
      </c>
      <c r="AR57" s="144">
        <f t="shared" si="18"/>
        <v>5.4471425827165021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5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0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56107.817999999985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37405.211999999985</v>
      </c>
      <c r="W60" s="142"/>
      <c r="X60" s="142">
        <f>SUM(X4:X58)</f>
        <v>750896</v>
      </c>
      <c r="Y60" s="135">
        <f>SUM(Y4:Y59)</f>
        <v>0.99999999999999978</v>
      </c>
      <c r="Z60" s="142"/>
      <c r="AA60" s="137"/>
      <c r="AB60" s="137"/>
      <c r="AC60" s="142">
        <f>SUM(AC4:AC58)</f>
        <v>37405.211999999992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56107.817999999985</v>
      </c>
      <c r="AI60" s="137"/>
      <c r="AJ60" s="137"/>
      <c r="AK60" s="137">
        <f t="shared" ref="AK60:AL60" si="323">SUM(AK4:AK58)</f>
        <v>85934</v>
      </c>
      <c r="AL60" s="137">
        <f t="shared" si="323"/>
        <v>84283</v>
      </c>
      <c r="AM60" s="137"/>
      <c r="AN60" s="551"/>
      <c r="AO60" s="551"/>
      <c r="AP60" s="137">
        <f t="shared" ref="AP60:AQ60" si="324">SUM(AP4:AP58)</f>
        <v>34587.250000000015</v>
      </c>
      <c r="AQ60" s="137">
        <f t="shared" si="324"/>
        <v>221614.31</v>
      </c>
      <c r="AR60" s="137"/>
      <c r="AS60" s="552"/>
      <c r="AT60" s="552">
        <f t="shared" ref="AT60:AV60" si="325">SUM(AT4:AT58)</f>
        <v>161270</v>
      </c>
      <c r="AU60" s="137">
        <f t="shared" si="325"/>
        <v>166225</v>
      </c>
      <c r="AV60" s="137">
        <f t="shared" si="325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6">SUM(BH4:BH58)</f>
        <v>207644.18423353491</v>
      </c>
      <c r="BI60" s="149">
        <f t="shared" si="326"/>
        <v>209969.10239617669</v>
      </c>
      <c r="BJ60" s="149">
        <f t="shared" si="326"/>
        <v>212985.092719874</v>
      </c>
      <c r="BK60" s="149">
        <f t="shared" si="326"/>
        <v>217413.39925939954</v>
      </c>
      <c r="BL60" s="149">
        <f t="shared" si="326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7">SUM(BQ4:BQ58)</f>
        <v>204593.10179735644</v>
      </c>
      <c r="BR60" s="149">
        <f t="shared" si="327"/>
        <v>207579.60034224126</v>
      </c>
      <c r="BS60" s="149">
        <f t="shared" si="327"/>
        <v>214544.32675014032</v>
      </c>
      <c r="BT60" s="149">
        <f t="shared" si="327"/>
        <v>220716.12419117073</v>
      </c>
      <c r="BU60" s="149">
        <f t="shared" si="327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8">SUM(BZ4:BZ58)</f>
        <v>217861.48042414323</v>
      </c>
      <c r="CA60" s="448">
        <f t="shared" si="328"/>
        <v>220908.26068876105</v>
      </c>
      <c r="CB60" s="448">
        <f t="shared" si="328"/>
        <v>226772.14908386499</v>
      </c>
      <c r="CC60" s="448">
        <f t="shared" si="328"/>
        <v>233115.69376651</v>
      </c>
      <c r="CD60" s="448">
        <f t="shared" si="328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0</v>
      </c>
      <c r="G61" s="82"/>
      <c r="H61" s="83"/>
      <c r="I61" s="83"/>
      <c r="J61" s="83"/>
      <c r="K61" s="74"/>
      <c r="L61" s="144"/>
      <c r="M61" s="146">
        <f>SUM($AQ$61-$AP$60)*M62</f>
        <v>56107.817999999999</v>
      </c>
      <c r="N61" s="144"/>
      <c r="O61" s="145"/>
      <c r="P61" s="145"/>
      <c r="Q61" s="146">
        <v>0</v>
      </c>
      <c r="R61" s="145"/>
      <c r="S61" s="144"/>
      <c r="T61" s="145"/>
      <c r="U61" s="145"/>
      <c r="V61" s="146">
        <f>SUM($AQ$61-$AP$60)*V62</f>
        <v>37405.212</v>
      </c>
      <c r="W61" s="146"/>
      <c r="X61" s="53"/>
      <c r="Y61" s="74"/>
      <c r="Z61" s="146"/>
      <c r="AA61" s="145"/>
      <c r="AB61" s="145"/>
      <c r="AC61" s="146">
        <f>SUM($AQ$61-$AP$60)*AC62</f>
        <v>37405.212</v>
      </c>
      <c r="AD61" s="145"/>
      <c r="AE61" s="145"/>
      <c r="AF61" s="145"/>
      <c r="AG61" s="145"/>
      <c r="AH61" s="146">
        <f>SUM($AQ$61-$AP$60)*AH62</f>
        <v>56107.817999999999</v>
      </c>
      <c r="AI61" s="145"/>
      <c r="AJ61" s="145"/>
      <c r="AK61" s="145"/>
      <c r="AL61" s="145"/>
      <c r="AM61" s="145"/>
      <c r="AN61" s="145"/>
      <c r="AO61" s="145"/>
      <c r="AP61" s="74">
        <f>'FY20-21 budget'!AD64*AP62</f>
        <v>35000</v>
      </c>
      <c r="AQ61" s="74">
        <f>SUM('FY20-21 budget'!AD84*(1+AQ64))</f>
        <v>221613.31</v>
      </c>
      <c r="AR61" s="74"/>
      <c r="AS61" s="22"/>
      <c r="AT61" s="22">
        <f t="shared" ref="AT61:AV61" si="329">COUNTIF(AT4:AT58,"&gt;1")</f>
        <v>47</v>
      </c>
      <c r="AU61" s="22">
        <f t="shared" si="329"/>
        <v>47</v>
      </c>
      <c r="AV61" s="22">
        <f t="shared" si="329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Summary!AT4</f>
        <v>0</v>
      </c>
      <c r="G62" s="85"/>
      <c r="H62" s="83"/>
      <c r="I62" s="83"/>
      <c r="J62" s="83"/>
      <c r="K62" s="74"/>
      <c r="L62" s="144"/>
      <c r="M62" s="50">
        <f>Summary!AW5</f>
        <v>0.3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Summary!AW6</f>
        <v>0.2</v>
      </c>
      <c r="W62" s="50"/>
      <c r="X62" s="53"/>
      <c r="Y62" s="153">
        <v>0</v>
      </c>
      <c r="Z62" s="50"/>
      <c r="AA62" s="145"/>
      <c r="AB62" s="145"/>
      <c r="AC62" s="50">
        <f>Summary!AW7</f>
        <v>0.2</v>
      </c>
      <c r="AD62" s="145"/>
      <c r="AE62" s="145"/>
      <c r="AF62" s="145"/>
      <c r="AG62" s="145"/>
      <c r="AH62" s="50">
        <f>Summary!AW8</f>
        <v>0.3</v>
      </c>
      <c r="AI62" s="145"/>
      <c r="AJ62" s="145"/>
      <c r="AK62" s="145"/>
      <c r="AL62" s="145"/>
      <c r="AM62" s="145"/>
      <c r="AN62" s="145"/>
      <c r="AO62" s="145"/>
      <c r="AP62" s="50">
        <f>Summary!AW11</f>
        <v>1</v>
      </c>
      <c r="AQ62" s="121">
        <f>SUM(V62+AC62+M62+AH62+Y62)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74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0">SUM(BH63*(1+$BG$63))</f>
        <v>224274.39724999992</v>
      </c>
      <c r="BJ63" s="149">
        <f t="shared" si="330"/>
        <v>229881.25718124991</v>
      </c>
      <c r="BK63" s="149">
        <f t="shared" si="330"/>
        <v>235628.28861078114</v>
      </c>
      <c r="BL63" s="149">
        <f t="shared" si="330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153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1">SUM(AU60-AT60)/AT60</f>
        <v>3.0724871333788057E-2</v>
      </c>
      <c r="AV64" s="44">
        <f t="shared" si="331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74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74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74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74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0</v>
      </c>
      <c r="G69" s="133"/>
      <c r="H69" s="160"/>
      <c r="I69" s="160"/>
      <c r="J69" s="160"/>
      <c r="K69" s="74">
        <f>SUM(K4,K6,K12,K21,K35,K42,K43,K46,K52,K57,K51)</f>
        <v>16112.333333333332</v>
      </c>
      <c r="L69" s="144"/>
      <c r="M69" s="145">
        <f>SUM(M4,M6,M12,M21,M35,M42,M43,M46,M52,M57,M51)</f>
        <v>7763.8277429943064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5499.6450230827431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7619.5802222222201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8526.8306392384147</v>
      </c>
      <c r="AI69" s="145"/>
      <c r="AJ69" s="145"/>
      <c r="AK69" s="145">
        <f t="shared" ref="AK69:AL69" si="332">SUM(AK4,AK6,AK12,AK21,AK35,AK42,AK43,AK46,AK52,AK57,AK51)</f>
        <v>17416</v>
      </c>
      <c r="AL69" s="145">
        <f t="shared" si="332"/>
        <v>16351</v>
      </c>
      <c r="AM69" s="145"/>
      <c r="AN69" s="145"/>
      <c r="AO69" s="145"/>
      <c r="AP69" s="145">
        <f t="shared" ref="AP69:AQ69" si="333">SUM(AP4,AP6,AP12,AP21,AP35,AP42,AP43,AP46,AP52,AP57,AP51)</f>
        <v>6523.7906962258094</v>
      </c>
      <c r="AQ69" s="145">
        <f t="shared" si="333"/>
        <v>35933.842976945823</v>
      </c>
      <c r="AR69" s="145"/>
      <c r="AS69" s="523"/>
      <c r="AT69" s="149" t="e">
        <f t="shared" ref="AT69:AV69" si="334">SUM(AT12,AT21,AT22,AT32,#REF!,AT43,#REF!,#REF!,AT47,#REF!,AT48)</f>
        <v>#REF!</v>
      </c>
      <c r="AU69" s="149" t="e">
        <f t="shared" si="334"/>
        <v>#REF!</v>
      </c>
      <c r="AV69" s="149" t="e">
        <f t="shared" si="334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5">SUM(BE4,BE6,BE12,BE21,BE35,BE42,BE43,BE46,BE52,BE57,BE51)</f>
        <v>13373.236666666666</v>
      </c>
      <c r="BF69" s="145">
        <f t="shared" si="335"/>
        <v>-32716.71479450534</v>
      </c>
      <c r="BG69" s="45"/>
      <c r="BH69" s="145">
        <f t="shared" ref="BH69:BL69" si="336">SUM(BH4,BH6,BH12,BH21,BH35,BH42,BH43,BH46,BH52,BH57,BH51)</f>
        <v>43354.434897089741</v>
      </c>
      <c r="BI69" s="145">
        <f t="shared" si="336"/>
        <v>42531.049885703855</v>
      </c>
      <c r="BJ69" s="145">
        <f t="shared" si="336"/>
        <v>43042.739542431598</v>
      </c>
      <c r="BK69" s="145">
        <f t="shared" si="336"/>
        <v>44727.810447919219</v>
      </c>
      <c r="BL69" s="145">
        <f t="shared" si="336"/>
        <v>46310.700973832412</v>
      </c>
      <c r="BM69" s="158"/>
      <c r="BN69" s="145">
        <f t="shared" ref="BN69:BO69" si="337">SUM(BN4,BN6,BN12,BN21,BN35,BN42,BN43,BN46,BN52,BN57,BN51)</f>
        <v>22301.22</v>
      </c>
      <c r="BO69" s="145">
        <f t="shared" si="337"/>
        <v>-22219.986461172008</v>
      </c>
      <c r="BP69" s="45"/>
      <c r="BQ69" s="145">
        <f t="shared" ref="BQ69:BU69" si="338">SUM(BQ4,BQ6,BQ12,BQ21,BQ35,BQ42,BQ43,BQ46,BQ52,BQ57,BQ51)</f>
        <v>43703.470015966814</v>
      </c>
      <c r="BR69" s="145">
        <f t="shared" si="338"/>
        <v>43483.067017919719</v>
      </c>
      <c r="BS69" s="145">
        <f t="shared" si="338"/>
        <v>44370.947824993804</v>
      </c>
      <c r="BT69" s="145">
        <f t="shared" si="338"/>
        <v>45534.804971548758</v>
      </c>
      <c r="BU69" s="145">
        <f t="shared" si="338"/>
        <v>47019.442064336086</v>
      </c>
      <c r="BV69" s="559"/>
      <c r="BW69" s="145">
        <f t="shared" ref="BW69:BX69" si="339">SUM(BW4,BW6,BW12,BW21,BW35,BW42,BW43,BW46,BW52,BW57,BW51)</f>
        <v>30661.143641844363</v>
      </c>
      <c r="BX69" s="145">
        <f t="shared" si="339"/>
        <v>-13860.062819327644</v>
      </c>
      <c r="BY69" s="45"/>
      <c r="BZ69" s="145">
        <f t="shared" ref="BZ69:CD69" si="340">SUM(BZ4,BZ6,BZ12,BZ21,BZ35,BZ42,BZ43,BZ46,BZ52,BZ57,BZ51)</f>
        <v>43389.817680819608</v>
      </c>
      <c r="CA69" s="145">
        <f t="shared" si="340"/>
        <v>42567.550701884509</v>
      </c>
      <c r="CB69" s="145">
        <f t="shared" si="340"/>
        <v>44131.373699217329</v>
      </c>
      <c r="CC69" s="145">
        <f t="shared" si="340"/>
        <v>45712.206129896382</v>
      </c>
      <c r="CD69" s="145">
        <f t="shared" si="340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74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74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74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74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74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74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74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74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74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74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74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74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74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74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74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74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74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74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74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74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74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74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74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74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74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74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74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74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74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74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74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74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74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74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74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74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74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74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74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74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74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74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74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74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74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74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74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74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74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74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74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74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74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74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74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74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74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74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74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74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74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74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74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74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74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74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74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74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74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74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74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74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74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74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74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74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74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74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74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74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74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74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74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74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74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74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74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74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74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74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74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74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74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74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74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74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74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74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74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74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74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74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74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74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74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74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74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74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74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74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74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74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74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74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74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74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74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74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74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74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74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74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74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74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74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74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74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74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74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74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74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74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74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74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74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74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74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74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74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74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74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74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74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74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74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74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74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74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74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74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74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74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74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74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74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74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74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74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74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74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74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74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74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74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74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74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74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74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74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74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74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74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74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74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74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74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74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74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74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74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74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74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74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74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74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74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74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74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74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74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74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74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74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74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74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74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74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74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74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74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5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5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5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5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5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5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5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5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5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5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5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5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5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5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5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5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5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5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5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5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5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5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5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5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5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5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5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5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5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5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5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5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5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5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5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5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5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5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5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5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5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5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5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5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5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5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5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5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5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5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5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5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5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5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5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5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5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5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5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5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5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5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5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5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5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5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5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5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5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5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5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5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5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5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5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5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5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5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5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5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5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5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5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5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5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5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5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5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5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5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5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5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5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5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5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5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5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5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5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5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5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5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5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5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5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5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5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5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5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5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5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5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5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5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5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5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5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5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5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5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5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5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5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5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5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5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5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5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5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5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5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5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5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5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5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5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5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5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5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5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5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5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5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5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5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5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5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5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5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5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5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5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5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5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5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5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5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5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5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5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5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5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5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5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5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5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5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5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5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5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5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5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5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5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5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5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5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5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5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5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5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5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5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5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5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5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5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5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5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5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5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5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5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5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5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5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5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5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5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5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5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5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5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5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5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5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5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5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5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5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5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5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5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5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5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5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5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5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5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5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5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5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5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5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5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5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5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5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5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5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5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5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5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5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5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5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5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5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5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5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5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5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5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5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5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5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5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5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5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5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5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5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5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5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5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5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5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5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5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5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5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5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5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5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5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5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5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5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5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5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5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5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5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5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5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5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5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5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5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5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5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5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5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5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5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5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5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5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5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5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5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5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5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5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5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5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5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5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5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5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5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5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5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5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5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5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5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5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5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5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5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5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5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5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5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5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5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5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5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5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5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5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5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5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5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5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5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5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5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5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5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5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5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5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5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5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5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5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5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5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5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5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5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5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5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5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5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5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5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5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5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5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5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5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5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5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5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5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5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5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5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5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5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5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5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5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5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5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5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5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5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5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5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5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5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5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5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5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5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5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5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5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5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5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5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5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5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5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5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5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5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5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5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5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5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5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5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5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5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5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5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5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5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5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5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5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5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5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5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5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5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5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5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5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5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5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5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5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5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5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5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5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5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5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5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5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5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5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5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5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5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5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5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5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5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5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5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5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5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5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5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5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5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5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5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5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5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5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5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5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5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5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5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5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5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5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5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5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5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5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5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5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5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5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5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5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5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5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5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5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5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5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5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5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5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5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5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5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5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5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5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5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5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5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5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5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5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5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5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5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5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5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5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5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5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5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5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5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5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5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5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5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5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5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5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5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5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5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5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5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5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5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5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5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5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5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5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5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5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5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5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5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5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5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5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5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5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5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5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5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5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5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5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5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5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5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5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5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5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5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5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5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5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5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5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5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5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5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5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5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5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5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5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5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5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5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5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5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5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5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5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5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5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5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5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5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5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5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5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5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5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5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5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5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5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5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5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5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5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5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5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5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5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5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5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5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5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5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5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5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5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5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5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5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5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5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5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5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5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5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5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5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5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5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5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5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5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5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5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5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5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5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5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5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5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5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5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5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5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5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5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5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5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5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5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5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5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5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5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5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5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5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5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5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5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5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5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5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5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5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5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5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5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5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5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5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5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5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5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5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5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5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5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5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5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5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5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5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5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5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5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5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5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5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5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5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5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5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5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5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5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5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5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5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5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5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5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5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5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5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5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5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5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5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5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5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5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5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5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5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5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5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5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5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5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5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5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5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5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5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5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5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5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5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5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5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5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5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5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5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5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5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5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5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5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5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5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5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5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5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5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5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5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5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5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5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5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5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5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5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5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50" priority="1" operator="greaterThan">
      <formula>0.05</formula>
    </cfRule>
  </conditionalFormatting>
  <conditionalFormatting sqref="BZ5:CD6 BQ48:BT48 BH47:BL48 BI44:BI45 BQ58:BT58">
    <cfRule type="notContainsBlanks" dxfId="49" priority="2">
      <formula>LEN(TRIM(BZ5))&gt;0</formula>
    </cfRule>
  </conditionalFormatting>
  <conditionalFormatting sqref="BZ20:CA23 CB23 BH41 BZ41 BZ54:CD55 BZ47:CD48 BZ10:CD10 BZ43:CD43 BH43:BH45 BZ45:CD45">
    <cfRule type="notContainsBlanks" dxfId="48" priority="3">
      <formula>LEN(TRIM(BZ20))&gt;0</formula>
    </cfRule>
  </conditionalFormatting>
  <conditionalFormatting sqref="BZ32:CC34 BZ40 BZ16 BZ12:CD15 BQ40:BR43 BH43:BH45 BZ58">
    <cfRule type="notContainsBlanks" dxfId="47" priority="4">
      <formula>LEN(TRIM(BZ32))&gt;0</formula>
    </cfRule>
  </conditionalFormatting>
  <conditionalFormatting sqref="BZ27:CA28">
    <cfRule type="notContainsBlanks" dxfId="46" priority="5">
      <formula>LEN(TRIM(BZ27))&gt;0</formula>
    </cfRule>
  </conditionalFormatting>
  <conditionalFormatting sqref="BH5:BI6 BQ5:BR6">
    <cfRule type="notContainsBlanks" dxfId="45" priority="6">
      <formula>LEN(TRIM(BH5))&gt;0</formula>
    </cfRule>
  </conditionalFormatting>
  <conditionalFormatting sqref="BJ5:BL6 BH10:BL10 BQ10:BR10">
    <cfRule type="notContainsBlanks" dxfId="44" priority="7">
      <formula>LEN(TRIM(BJ5))&gt;0</formula>
    </cfRule>
  </conditionalFormatting>
  <conditionalFormatting sqref="BI27:BI28">
    <cfRule type="notContainsBlanks" dxfId="43" priority="8">
      <formula>LEN(TRIM(BI27))&gt;0</formula>
    </cfRule>
  </conditionalFormatting>
  <conditionalFormatting sqref="BH12:BL15 BQ12:BS15">
    <cfRule type="notContainsBlanks" dxfId="42" priority="9">
      <formula>LEN(TRIM(BH12))&gt;0</formula>
    </cfRule>
  </conditionalFormatting>
  <conditionalFormatting sqref="BH20:BI23 BJ20:BJ21 BQ20:BR23 BS20:BS21">
    <cfRule type="notContainsBlanks" dxfId="41" priority="10">
      <formula>LEN(TRIM(BH20))&gt;0</formula>
    </cfRule>
  </conditionalFormatting>
  <conditionalFormatting sqref="BH27:BH28 BQ27:BQ28">
    <cfRule type="notContainsBlanks" dxfId="40" priority="11">
      <formula>LEN(TRIM(BH27))&gt;0</formula>
    </cfRule>
  </conditionalFormatting>
  <conditionalFormatting sqref="BH32:BJ34 BK32:BK33 BQ32:BU34 BL33 BH40:BH41 BS40:BU40 BS42:BU42">
    <cfRule type="notContainsBlanks" dxfId="39" priority="12">
      <formula>LEN(TRIM(BH32))&gt;0</formula>
    </cfRule>
  </conditionalFormatting>
  <conditionalFormatting sqref="BQ45:BS45">
    <cfRule type="notContainsBlanks" dxfId="38" priority="13">
      <formula>LEN(TRIM(BQ45))&gt;0</formula>
    </cfRule>
  </conditionalFormatting>
  <conditionalFormatting sqref="BQ47:BS47">
    <cfRule type="notContainsBlanks" dxfId="37" priority="14">
      <formula>LEN(TRIM(BQ47))&gt;0</formula>
    </cfRule>
  </conditionalFormatting>
  <conditionalFormatting sqref="BQ54">
    <cfRule type="notContainsBlanks" dxfId="36" priority="15">
      <formula>LEN(TRIM(BQ54))&gt;0</formula>
    </cfRule>
  </conditionalFormatting>
  <conditionalFormatting sqref="BI41:BK41 BJ45:BL45">
    <cfRule type="notContainsBlanks" dxfId="35" priority="16">
      <formula>LEN(TRIM(BI41))&gt;0</formula>
    </cfRule>
  </conditionalFormatting>
  <conditionalFormatting sqref="BH54:BL55">
    <cfRule type="notContainsBlanks" dxfId="34" priority="17">
      <formula>LEN(TRIM(BH54))&gt;0</formula>
    </cfRule>
  </conditionalFormatting>
  <conditionalFormatting sqref="BQ55:BR55">
    <cfRule type="notContainsBlanks" dxfId="33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9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v>0.5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111.2800428774168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0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125.39644302254815</v>
      </c>
      <c r="W4" s="77"/>
      <c r="X4" s="75">
        <v>1988</v>
      </c>
      <c r="Y4" s="66">
        <f t="shared" ref="Y4:Y7" si="9">SUM(X4/$X$60)</f>
        <v>2.6475037821482601E-3</v>
      </c>
      <c r="Z4" s="77"/>
      <c r="AA4" s="65"/>
      <c r="AB4" s="65"/>
      <c r="AC4" s="77">
        <f t="shared" ref="AC4:AC57" si="10">SUM($AC$61/$BA$61)</f>
        <v>694.21781481481491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50.379454239843362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-82.952647627635471</v>
      </c>
      <c r="AQ4" s="77">
        <f t="shared" ref="AQ4:AQ57" si="17">SUM(F4+V4+AC4+M4+AH4+Y4+AP4)</f>
        <v>898.32375483076987</v>
      </c>
      <c r="AR4" s="144">
        <f t="shared" ref="AR4:AR57" si="18">SUM(AQ4/$K$4)</f>
        <v>3.5506867779872326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127.22671568851079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0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293.33709684936036</v>
      </c>
      <c r="W5" s="77"/>
      <c r="X5" s="75">
        <v>3549</v>
      </c>
      <c r="Y5" s="66">
        <f t="shared" si="9"/>
        <v>4.7263535829196058E-3</v>
      </c>
      <c r="Z5" s="77"/>
      <c r="AA5" s="65"/>
      <c r="AB5" s="65"/>
      <c r="AC5" s="77">
        <f t="shared" si="10"/>
        <v>694.21781481481491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128.01410342049326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-168.82895720370658</v>
      </c>
      <c r="AQ5" s="77">
        <f t="shared" si="17"/>
        <v>1073.9714999230557</v>
      </c>
      <c r="AR5" s="144">
        <f t="shared" si="18"/>
        <v>4.2449466400120777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347.70680064189736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0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396.79623889166595</v>
      </c>
      <c r="W6" s="77"/>
      <c r="X6" s="75">
        <v>7943</v>
      </c>
      <c r="Y6" s="66">
        <f t="shared" si="9"/>
        <v>1.0578029447486736E-2</v>
      </c>
      <c r="Z6" s="77"/>
      <c r="AA6" s="65"/>
      <c r="AB6" s="65"/>
      <c r="AC6" s="77">
        <f t="shared" si="10"/>
        <v>694.21781481481491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310.13448345329596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569.17566709775406</v>
      </c>
      <c r="AQ6" s="77">
        <f t="shared" si="17"/>
        <v>2318.0415829288759</v>
      </c>
      <c r="AR6" s="144">
        <f t="shared" si="18"/>
        <v>9.1622196953710517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3489.8946780278966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0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3879.6187549046108</v>
      </c>
      <c r="W7" s="77"/>
      <c r="X7" s="75">
        <v>91539</v>
      </c>
      <c r="Y7" s="66">
        <f t="shared" si="9"/>
        <v>0.12190636253222817</v>
      </c>
      <c r="Z7" s="77"/>
      <c r="AA7" s="65"/>
      <c r="AB7" s="65"/>
      <c r="AC7" s="77">
        <f t="shared" si="10"/>
        <v>694.21781481481491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6300.7544890835825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2211.3682860126005</v>
      </c>
      <c r="AQ7" s="77">
        <f t="shared" si="17"/>
        <v>16575.975929206037</v>
      </c>
      <c r="AR7" s="144">
        <f t="shared" si="18"/>
        <v>65.517691419786715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574.70422143981796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0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634.48335673824306</v>
      </c>
      <c r="W8" s="65"/>
      <c r="X8" s="75"/>
      <c r="Y8" s="66"/>
      <c r="Z8" s="65"/>
      <c r="AA8" s="65"/>
      <c r="AB8" s="65"/>
      <c r="AC8" s="77">
        <f t="shared" si="10"/>
        <v>694.21781481481491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57.294281292370883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-170.8037741893383</v>
      </c>
      <c r="AQ8" s="77">
        <f t="shared" si="17"/>
        <v>1789.8959000959085</v>
      </c>
      <c r="AR8" s="144">
        <f t="shared" si="18"/>
        <v>7.0746873521577411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1508.4165812093956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0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623.86853368328696</v>
      </c>
      <c r="W9" s="65"/>
      <c r="X9" s="75"/>
      <c r="Y9" s="66"/>
      <c r="Z9" s="65"/>
      <c r="AA9" s="65"/>
      <c r="AB9" s="65"/>
      <c r="AC9" s="77">
        <f t="shared" si="10"/>
        <v>694.21781481481491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123.83826630435649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-539.09075970243111</v>
      </c>
      <c r="AQ9" s="77">
        <f t="shared" si="17"/>
        <v>2411.2504363094231</v>
      </c>
      <c r="AR9" s="144">
        <f t="shared" si="18"/>
        <v>9.5306341356103683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72.661361330550037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0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475.28931710871467</v>
      </c>
      <c r="W10" s="65"/>
      <c r="X10" s="75"/>
      <c r="Y10" s="66"/>
      <c r="Z10" s="65"/>
      <c r="AA10" s="65"/>
      <c r="AB10" s="65"/>
      <c r="AC10" s="77">
        <f t="shared" si="10"/>
        <v>694.21781481481491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89.129426618617714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0.33053522062574892</v>
      </c>
      <c r="AQ10" s="77">
        <f t="shared" si="17"/>
        <v>1331.6284550933233</v>
      </c>
      <c r="AR10" s="144">
        <f t="shared" si="18"/>
        <v>5.2633535774439659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21.493341614952776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0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146.76762010652646</v>
      </c>
      <c r="W11" s="65"/>
      <c r="X11" s="75"/>
      <c r="Y11" s="66"/>
      <c r="Z11" s="65"/>
      <c r="AA11" s="65"/>
      <c r="AB11" s="65"/>
      <c r="AC11" s="77">
        <f t="shared" si="10"/>
        <v>694.21781481481491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7.7679550655016953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1.9748169856317404</v>
      </c>
      <c r="AQ11" s="77">
        <f t="shared" si="17"/>
        <v>872.22154858742761</v>
      </c>
      <c r="AR11" s="144">
        <f t="shared" si="18"/>
        <v>3.4475160023218483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210.21874766624779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0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579.73917596948286</v>
      </c>
      <c r="W12" s="77"/>
      <c r="X12" s="75">
        <v>7291</v>
      </c>
      <c r="Y12" s="66">
        <f>SUM(X12/$X$60)</f>
        <v>9.7097334384521963E-3</v>
      </c>
      <c r="Z12" s="77"/>
      <c r="AA12" s="65"/>
      <c r="AB12" s="65"/>
      <c r="AC12" s="77">
        <f t="shared" si="10"/>
        <v>694.21781481481491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247.58672965997889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-739.68413855700442</v>
      </c>
      <c r="AQ12" s="77">
        <f t="shared" si="17"/>
        <v>992.08803928695829</v>
      </c>
      <c r="AR12" s="144">
        <f t="shared" si="18"/>
        <v>3.9212965979721672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0.41600016028940862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0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251.67037808430601</v>
      </c>
      <c r="W13" s="65"/>
      <c r="X13" s="75"/>
      <c r="Y13" s="66"/>
      <c r="Z13" s="65"/>
      <c r="AA13" s="65"/>
      <c r="AB13" s="65"/>
      <c r="AC13" s="77">
        <f t="shared" si="10"/>
        <v>694.21781481481491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6.0616990395533454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28.407662280649717</v>
      </c>
      <c r="AQ13" s="77">
        <f t="shared" si="17"/>
        <v>980.7735543796133</v>
      </c>
      <c r="AR13" s="144">
        <f t="shared" si="18"/>
        <v>3.8765753137534125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565.274884473258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0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579.71086977466962</v>
      </c>
      <c r="W14" s="77"/>
      <c r="X14" s="75">
        <v>6043</v>
      </c>
      <c r="Y14" s="66">
        <f t="shared" ref="Y14:Y18" si="77">SUM(X14/$X$60)</f>
        <v>8.0477189917112363E-3</v>
      </c>
      <c r="Z14" s="77"/>
      <c r="AA14" s="65"/>
      <c r="AB14" s="65"/>
      <c r="AC14" s="77">
        <f t="shared" si="10"/>
        <v>694.21781481481491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340.89199339473333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896.74113403651984</v>
      </c>
      <c r="AQ14" s="77">
        <f t="shared" si="17"/>
        <v>3076.8447442129873</v>
      </c>
      <c r="AR14" s="144">
        <f t="shared" si="18"/>
        <v>12.161441676731174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412.88015908723804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0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544.52626962184172</v>
      </c>
      <c r="W15" s="77"/>
      <c r="X15" s="75">
        <v>12238</v>
      </c>
      <c r="Y15" s="66">
        <f t="shared" si="77"/>
        <v>1.6297862819884511E-2</v>
      </c>
      <c r="Z15" s="77"/>
      <c r="AA15" s="65"/>
      <c r="AB15" s="65"/>
      <c r="AC15" s="77">
        <f t="shared" si="10"/>
        <v>694.21781481481491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969.55753600796584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1711.2281806532753</v>
      </c>
      <c r="AQ15" s="77">
        <f t="shared" si="17"/>
        <v>4332.4262580479553</v>
      </c>
      <c r="AR15" s="144">
        <f t="shared" si="18"/>
        <v>17.124214458687572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98.800038068734551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0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123.89621469744769</v>
      </c>
      <c r="W16" s="77"/>
      <c r="X16" s="75">
        <v>3794</v>
      </c>
      <c r="Y16" s="66">
        <f t="shared" si="77"/>
        <v>5.0526304574801308E-3</v>
      </c>
      <c r="Z16" s="77"/>
      <c r="AA16" s="65"/>
      <c r="AB16" s="65"/>
      <c r="AC16" s="77">
        <f t="shared" si="10"/>
        <v>694.21781481481491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80.732850911977152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179.99017002242445</v>
      </c>
      <c r="AQ16" s="77">
        <f t="shared" si="17"/>
        <v>1177.6421411458564</v>
      </c>
      <c r="AR16" s="144">
        <f t="shared" si="18"/>
        <v>4.6547120203393533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286.69344379945079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0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181.18795299939748</v>
      </c>
      <c r="W17" s="77"/>
      <c r="X17" s="75">
        <v>5205</v>
      </c>
      <c r="Y17" s="66">
        <f t="shared" si="77"/>
        <v>6.9317189064797254E-3</v>
      </c>
      <c r="Z17" s="77"/>
      <c r="AA17" s="65"/>
      <c r="AB17" s="65"/>
      <c r="AC17" s="77">
        <f t="shared" si="10"/>
        <v>694.21781481481491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266.58005331724604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545.30301780904801</v>
      </c>
      <c r="AQ17" s="77">
        <f t="shared" si="17"/>
        <v>1973.9892144588637</v>
      </c>
      <c r="AR17" s="144">
        <f t="shared" si="18"/>
        <v>7.8023289109045999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1537.4672590696059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0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1189.6527556098542</v>
      </c>
      <c r="W18" s="77"/>
      <c r="X18" s="75">
        <v>14316</v>
      </c>
      <c r="Y18" s="66">
        <f t="shared" si="77"/>
        <v>1.9065223413095821E-2</v>
      </c>
      <c r="Z18" s="77"/>
      <c r="AA18" s="65"/>
      <c r="AB18" s="65"/>
      <c r="AC18" s="77">
        <f t="shared" si="10"/>
        <v>694.21781481481491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927.21544567982653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169.32335702336178</v>
      </c>
      <c r="AQ18" s="77">
        <f t="shared" si="17"/>
        <v>4517.8956974208759</v>
      </c>
      <c r="AR18" s="144">
        <f t="shared" si="18"/>
        <v>17.857295246722831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5.0613352835211378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0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405.88252742670835</v>
      </c>
      <c r="W19" s="65"/>
      <c r="X19" s="75"/>
      <c r="Y19" s="66"/>
      <c r="Z19" s="65"/>
      <c r="AA19" s="65"/>
      <c r="AB19" s="65"/>
      <c r="AC19" s="77">
        <f t="shared" si="10"/>
        <v>694.21781481481491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8.1720683348052514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-62.651887094669149</v>
      </c>
      <c r="AQ19" s="77">
        <f t="shared" si="17"/>
        <v>1050.6818587651808</v>
      </c>
      <c r="AR19" s="144">
        <f t="shared" si="18"/>
        <v>4.1528927223920187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1532.2672570659886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0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909.50634554345254</v>
      </c>
      <c r="W20" s="65"/>
      <c r="X20" s="75">
        <v>22723</v>
      </c>
      <c r="Y20" s="66">
        <f t="shared" ref="Y20:Y21" si="102">SUM(X20/$X$60)</f>
        <v>3.0261181308729838E-2</v>
      </c>
      <c r="Z20" s="65"/>
      <c r="AA20" s="65"/>
      <c r="AB20" s="65"/>
      <c r="AC20" s="77">
        <f t="shared" si="10"/>
        <v>694.21781481481491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1956.2674352241493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1621.5246342678831</v>
      </c>
      <c r="AQ20" s="77">
        <f t="shared" si="17"/>
        <v>6713.8137480975965</v>
      </c>
      <c r="AR20" s="144">
        <f t="shared" si="18"/>
        <v>26.536813233587338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57.89335564027602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0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171.53554056809068</v>
      </c>
      <c r="W21" s="77"/>
      <c r="X21" s="75">
        <v>2528</v>
      </c>
      <c r="Y21" s="66">
        <f t="shared" si="102"/>
        <v>3.3666446485265604E-3</v>
      </c>
      <c r="Z21" s="77"/>
      <c r="AA21" s="65"/>
      <c r="AB21" s="65"/>
      <c r="AC21" s="77">
        <f t="shared" si="10"/>
        <v>694.21781481481491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84.235165912607968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272.7986782625203</v>
      </c>
      <c r="AQ21" s="77">
        <f t="shared" si="17"/>
        <v>1280.6839218429584</v>
      </c>
      <c r="AR21" s="144">
        <f t="shared" si="18"/>
        <v>5.0619917859405472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0.41600016028940862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0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336.84371827727381</v>
      </c>
      <c r="W22" s="65"/>
      <c r="X22" s="75"/>
      <c r="Y22" s="66"/>
      <c r="Z22" s="65"/>
      <c r="AA22" s="65"/>
      <c r="AB22" s="65"/>
      <c r="AC22" s="77">
        <f t="shared" si="10"/>
        <v>694.21781481481491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0.53881769240474187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-51.084732389687126</v>
      </c>
      <c r="AQ22" s="77">
        <f t="shared" si="17"/>
        <v>980.93161855509584</v>
      </c>
      <c r="AR22" s="144">
        <f t="shared" si="18"/>
        <v>3.8772000733402998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5401.6234146378738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0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994.82121671048651</v>
      </c>
      <c r="W23" s="77"/>
      <c r="X23" s="75">
        <v>38682</v>
      </c>
      <c r="Y23" s="66">
        <f>SUM(X23/$X$60)</f>
        <v>5.1514457394898891E-2</v>
      </c>
      <c r="Z23" s="77"/>
      <c r="AA23" s="65"/>
      <c r="AB23" s="65"/>
      <c r="AC23" s="77">
        <f t="shared" si="10"/>
        <v>694.21781481481491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2989.450360410242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2888.5299378285063</v>
      </c>
      <c r="AQ23" s="77">
        <f t="shared" si="17"/>
        <v>12968.694258859319</v>
      </c>
      <c r="AR23" s="144">
        <f t="shared" si="18"/>
        <v>51.25966110221075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88.05336726125816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0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233.55441340384758</v>
      </c>
      <c r="W24" s="65"/>
      <c r="X24" s="75"/>
      <c r="Y24" s="66"/>
      <c r="Z24" s="65"/>
      <c r="AA24" s="65"/>
      <c r="AB24" s="65"/>
      <c r="AC24" s="77">
        <f t="shared" si="10"/>
        <v>694.21781481481491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57.428985715472059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43.594704744729064</v>
      </c>
      <c r="AQ24" s="77">
        <f t="shared" si="17"/>
        <v>1116.8492859401217</v>
      </c>
      <c r="AR24" s="144">
        <f t="shared" si="18"/>
        <v>4.4144240550992953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5264.8286952627068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0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2180.9356979686886</v>
      </c>
      <c r="W25" s="77"/>
      <c r="X25" s="75">
        <v>75861</v>
      </c>
      <c r="Y25" s="66">
        <f>SUM(X25/$X$60)</f>
        <v>0.10102730604504485</v>
      </c>
      <c r="Z25" s="77"/>
      <c r="AA25" s="65"/>
      <c r="AB25" s="65"/>
      <c r="AC25" s="77">
        <f t="shared" si="10"/>
        <v>694.21781481481491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6289.2148101712473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4887.0137720536759</v>
      </c>
      <c r="AQ25" s="77">
        <f t="shared" si="17"/>
        <v>19316.311817577178</v>
      </c>
      <c r="AR25" s="144">
        <f t="shared" si="18"/>
        <v>76.34905856749873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475.97351673113178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0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553.69747674132384</v>
      </c>
      <c r="W26" s="65"/>
      <c r="X26" s="75"/>
      <c r="Y26" s="66"/>
      <c r="Z26" s="65"/>
      <c r="AA26" s="65"/>
      <c r="AB26" s="65"/>
      <c r="AC26" s="77">
        <f t="shared" si="10"/>
        <v>694.21781481481491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173.31969105685863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42.926817982274002</v>
      </c>
      <c r="AQ26" s="77">
        <f t="shared" si="17"/>
        <v>1940.1353173264031</v>
      </c>
      <c r="AR26" s="144">
        <f t="shared" si="18"/>
        <v>7.6685190408158226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26.693343618570388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0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316.1518898688127</v>
      </c>
      <c r="W27" s="65"/>
      <c r="X27" s="75"/>
      <c r="Y27" s="66"/>
      <c r="Z27" s="65"/>
      <c r="AA27" s="65"/>
      <c r="AB27" s="65"/>
      <c r="AC27" s="77">
        <f t="shared" si="10"/>
        <v>694.21781481481491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45.485193533833623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5.4916056618772471</v>
      </c>
      <c r="AQ27" s="77">
        <f t="shared" si="17"/>
        <v>1088.0398474979088</v>
      </c>
      <c r="AR27" s="144">
        <f t="shared" si="18"/>
        <v>4.3005527569087301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178.88006892444568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0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113.22477925286516</v>
      </c>
      <c r="W28" s="77"/>
      <c r="X28" s="75">
        <v>3629</v>
      </c>
      <c r="Y28" s="66">
        <f>SUM(X28/$X$60)</f>
        <v>4.832892970531205E-3</v>
      </c>
      <c r="Z28" s="77"/>
      <c r="AA28" s="65"/>
      <c r="AB28" s="65"/>
      <c r="AC28" s="77">
        <f t="shared" si="10"/>
        <v>694.21781481481491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107.53903110911305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258.01890357486087</v>
      </c>
      <c r="AQ28" s="77">
        <f t="shared" si="17"/>
        <v>1351.8854305690702</v>
      </c>
      <c r="AR28" s="144">
        <f t="shared" si="18"/>
        <v>5.3434206741860484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0.41600016028940862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0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55.310304665024631</v>
      </c>
      <c r="W29" s="65"/>
      <c r="X29" s="75"/>
      <c r="Y29" s="66"/>
      <c r="Z29" s="65"/>
      <c r="AA29" s="65"/>
      <c r="AB29" s="65"/>
      <c r="AC29" s="77">
        <f t="shared" si="10"/>
        <v>694.21781481481491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1.706256025948349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58.992394670336843</v>
      </c>
      <c r="AQ29" s="77">
        <f t="shared" si="17"/>
        <v>810.64277033641417</v>
      </c>
      <c r="AR29" s="144">
        <f t="shared" si="18"/>
        <v>3.2041216218830599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232.96008976206883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0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404.97672919268541</v>
      </c>
      <c r="W30" s="77"/>
      <c r="X30" s="75">
        <v>9004</v>
      </c>
      <c r="Y30" s="66">
        <f>SUM(X30/$X$60)</f>
        <v>1.199100807568558E-2</v>
      </c>
      <c r="Z30" s="77"/>
      <c r="AA30" s="65"/>
      <c r="AB30" s="65"/>
      <c r="AC30" s="77">
        <f t="shared" si="10"/>
        <v>694.21781481481491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469.71432335383372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886.5369083919652</v>
      </c>
      <c r="AQ30" s="77">
        <f t="shared" si="17"/>
        <v>2688.4178565234433</v>
      </c>
      <c r="AR30" s="144">
        <f t="shared" si="18"/>
        <v>10.626157535665785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0.20800008014470431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0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54.234669262122409</v>
      </c>
      <c r="W31" s="65"/>
      <c r="X31" s="75"/>
      <c r="Y31" s="66"/>
      <c r="Z31" s="65"/>
      <c r="AA31" s="65"/>
      <c r="AB31" s="65"/>
      <c r="AC31" s="77">
        <f t="shared" si="10"/>
        <v>694.21781481481491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748.66048415708201</v>
      </c>
      <c r="AR31" s="144">
        <f t="shared" si="18"/>
        <v>2.9591323484469645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305.76011781271535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0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216.06118500927991</v>
      </c>
      <c r="W32" s="65"/>
      <c r="X32" s="75"/>
      <c r="Y32" s="66"/>
      <c r="Z32" s="65"/>
      <c r="AA32" s="65"/>
      <c r="AB32" s="65"/>
      <c r="AC32" s="77">
        <f t="shared" si="10"/>
        <v>694.21781481481491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97.436199376524144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-151.66867577091466</v>
      </c>
      <c r="AQ32" s="77">
        <f t="shared" si="17"/>
        <v>1161.8066412424198</v>
      </c>
      <c r="AR32" s="144">
        <f t="shared" si="18"/>
        <v>4.5921211116301182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4338.5350050182906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0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1672.811194876643</v>
      </c>
      <c r="W33" s="77"/>
      <c r="X33" s="75">
        <v>56102</v>
      </c>
      <c r="Y33" s="66">
        <f t="shared" ref="Y33:Y38" si="176">SUM(X33/$X$60)</f>
        <v>7.4713409047324791E-2</v>
      </c>
      <c r="Z33" s="77"/>
      <c r="AA33" s="65"/>
      <c r="AB33" s="65"/>
      <c r="AC33" s="77">
        <f t="shared" si="10"/>
        <v>694.21781481481491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5817.3003145734283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5201.9518675177678</v>
      </c>
      <c r="AQ33" s="77">
        <f t="shared" si="17"/>
        <v>17724.890910209993</v>
      </c>
      <c r="AR33" s="144">
        <f t="shared" si="18"/>
        <v>70.058857352608669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1685.8406495728284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0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1361.7827262690223</v>
      </c>
      <c r="W34" s="77"/>
      <c r="X34" s="75">
        <v>24794</v>
      </c>
      <c r="Y34" s="66">
        <f t="shared" si="176"/>
        <v>3.3019219705525134E-2</v>
      </c>
      <c r="Z34" s="77"/>
      <c r="AA34" s="65"/>
      <c r="AB34" s="65"/>
      <c r="AC34" s="77">
        <f t="shared" si="10"/>
        <v>694.21781481481491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1720.4897933227078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2004.4140722328345</v>
      </c>
      <c r="AQ34" s="77">
        <f t="shared" si="17"/>
        <v>7466.7780754319137</v>
      </c>
      <c r="AR34" s="144">
        <f t="shared" si="18"/>
        <v>29.512956819888988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2109.1901460273502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0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951.05983952925396</v>
      </c>
      <c r="W35" s="77"/>
      <c r="X35" s="75">
        <v>18600</v>
      </c>
      <c r="Y35" s="66">
        <f t="shared" si="176"/>
        <v>2.4770407619697003E-2</v>
      </c>
      <c r="Z35" s="77"/>
      <c r="AA35" s="65"/>
      <c r="AB35" s="65"/>
      <c r="AC35" s="77">
        <f t="shared" si="10"/>
        <v>694.21781481481491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2068.7456285136391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1908.5245245185863</v>
      </c>
      <c r="AQ35" s="77">
        <f t="shared" si="17"/>
        <v>7731.7627238112646</v>
      </c>
      <c r="AR35" s="144">
        <f t="shared" si="18"/>
        <v>30.560326971586026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145.39205602114831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0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177.02694236185465</v>
      </c>
      <c r="W36" s="77"/>
      <c r="X36" s="75">
        <v>2772</v>
      </c>
      <c r="Y36" s="66">
        <f t="shared" si="176"/>
        <v>3.6915897807419402E-3</v>
      </c>
      <c r="Z36" s="77"/>
      <c r="AA36" s="65"/>
      <c r="AB36" s="65"/>
      <c r="AC36" s="77">
        <f t="shared" si="10"/>
        <v>694.21781481481491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101.61203649266089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70.198198331810687</v>
      </c>
      <c r="AQ36" s="77">
        <f t="shared" si="17"/>
        <v>1188.4507396120705</v>
      </c>
      <c r="AR36" s="144">
        <f t="shared" si="18"/>
        <v>4.6974337534073936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687.44026487824772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0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798.82912382377685</v>
      </c>
      <c r="W37" s="77"/>
      <c r="X37" s="75">
        <v>6100</v>
      </c>
      <c r="Y37" s="66">
        <f t="shared" si="176"/>
        <v>8.1236283053845015E-3</v>
      </c>
      <c r="Z37" s="77"/>
      <c r="AA37" s="65"/>
      <c r="AB37" s="65"/>
      <c r="AC37" s="77">
        <f t="shared" si="10"/>
        <v>694.21781481481491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640.83384216670629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697.58071022626154</v>
      </c>
      <c r="AQ37" s="77">
        <f t="shared" si="17"/>
        <v>3518.9098795381128</v>
      </c>
      <c r="AR37" s="144">
        <f t="shared" si="18"/>
        <v>13.908734701731671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5556.7221410657748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0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3460.828602643076</v>
      </c>
      <c r="W38" s="77"/>
      <c r="X38" s="75">
        <v>39298</v>
      </c>
      <c r="Y38" s="66">
        <f t="shared" si="176"/>
        <v>5.2334810679508216E-2</v>
      </c>
      <c r="Z38" s="77"/>
      <c r="AA38" s="65"/>
      <c r="AB38" s="65"/>
      <c r="AC38" s="77">
        <f t="shared" si="10"/>
        <v>694.21781481481491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3521.0838169162539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530.39793018758223</v>
      </c>
      <c r="AQ38" s="77">
        <f t="shared" si="17"/>
        <v>13763.302640438182</v>
      </c>
      <c r="AR38" s="144">
        <f t="shared" si="18"/>
        <v>54.400405693431551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190.18140661230797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0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371.83017506640914</v>
      </c>
      <c r="W39" s="65"/>
      <c r="X39" s="75"/>
      <c r="Y39" s="66"/>
      <c r="Z39" s="65"/>
      <c r="AA39" s="65"/>
      <c r="AB39" s="65"/>
      <c r="AC39" s="77">
        <f t="shared" si="10"/>
        <v>694.21781481481491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75.569181359765039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114.95200099664225</v>
      </c>
      <c r="AQ39" s="77">
        <f t="shared" si="17"/>
        <v>1446.7505788499393</v>
      </c>
      <c r="AR39" s="144">
        <f t="shared" si="18"/>
        <v>5.7183817345847405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76.821362933444121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0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402.5990088283753</v>
      </c>
      <c r="W40" s="65"/>
      <c r="X40" s="75"/>
      <c r="Y40" s="66"/>
      <c r="Z40" s="65"/>
      <c r="AA40" s="65"/>
      <c r="AB40" s="65"/>
      <c r="AC40" s="77">
        <f t="shared" si="10"/>
        <v>694.21781481481491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73.054698795209575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-4.3389295587485019</v>
      </c>
      <c r="AQ40" s="77">
        <f t="shared" si="17"/>
        <v>1242.3539558130954</v>
      </c>
      <c r="AR40" s="144">
        <f t="shared" si="18"/>
        <v>4.9104899439252785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2153.6328298182684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0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1230.866575257897</v>
      </c>
      <c r="W41" s="77"/>
      <c r="X41" s="75">
        <v>39298</v>
      </c>
      <c r="Y41" s="66">
        <f t="shared" ref="Y41:Y44" si="226">SUM(X41/$X$60)</f>
        <v>5.2334810679508216E-2</v>
      </c>
      <c r="Z41" s="77"/>
      <c r="AA41" s="65"/>
      <c r="AB41" s="65"/>
      <c r="AC41" s="77">
        <f t="shared" si="10"/>
        <v>694.21781481481491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1163.0828905300023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1663.3115100316788</v>
      </c>
      <c r="AQ41" s="77">
        <f t="shared" si="17"/>
        <v>6905.1639552633414</v>
      </c>
      <c r="AR41" s="144">
        <f t="shared" si="18"/>
        <v>27.293138163096213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5017.8632667708944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0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1481.3197869652349</v>
      </c>
      <c r="W42" s="77"/>
      <c r="X42" s="75">
        <v>40212</v>
      </c>
      <c r="Y42" s="66">
        <f t="shared" si="226"/>
        <v>5.3552023182970747E-2</v>
      </c>
      <c r="Z42" s="77"/>
      <c r="AA42" s="65"/>
      <c r="AB42" s="65"/>
      <c r="AC42" s="77">
        <f t="shared" si="10"/>
        <v>694.21781481481491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4176.4657367778882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4554.7589074902407</v>
      </c>
      <c r="AQ42" s="77">
        <f t="shared" si="17"/>
        <v>15924.679064842256</v>
      </c>
      <c r="AR42" s="144">
        <f t="shared" si="18"/>
        <v>62.943395513210497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446.64550543072846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0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279.75012333901657</v>
      </c>
      <c r="W43" s="77"/>
      <c r="X43" s="75">
        <v>10782</v>
      </c>
      <c r="Y43" s="66">
        <f t="shared" si="226"/>
        <v>1.4358845965353391E-2</v>
      </c>
      <c r="Z43" s="77"/>
      <c r="AA43" s="65"/>
      <c r="AB43" s="65"/>
      <c r="AC43" s="77">
        <f t="shared" si="10"/>
        <v>694.21781481481491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188.36168496982432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-42.445152047269318</v>
      </c>
      <c r="AQ43" s="77">
        <f t="shared" si="17"/>
        <v>1566.5443353530802</v>
      </c>
      <c r="AR43" s="144">
        <f t="shared" si="18"/>
        <v>6.1918748432928075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371.2801430582972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0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656.90186303031032</v>
      </c>
      <c r="W44" s="77"/>
      <c r="X44" s="75">
        <v>13791</v>
      </c>
      <c r="Y44" s="66">
        <f t="shared" si="226"/>
        <v>1.8366058681894698E-2</v>
      </c>
      <c r="Z44" s="77"/>
      <c r="AA44" s="65"/>
      <c r="AB44" s="65"/>
      <c r="AC44" s="77">
        <f t="shared" si="10"/>
        <v>694.21781481481491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556.95788804903486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-25.916166368069469</v>
      </c>
      <c r="AQ44" s="77">
        <f t="shared" si="17"/>
        <v>2253.4599086430699</v>
      </c>
      <c r="AR44" s="144">
        <f t="shared" si="18"/>
        <v>8.9069561606445458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101.92003927090511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0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192.7085742883765</v>
      </c>
      <c r="W45" s="65"/>
      <c r="X45" s="75"/>
      <c r="Y45" s="66"/>
      <c r="Z45" s="65"/>
      <c r="AA45" s="65"/>
      <c r="AB45" s="65"/>
      <c r="AC45" s="77">
        <f t="shared" si="10"/>
        <v>694.21781481481491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326.2541127510712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491.86360831958996</v>
      </c>
      <c r="AQ45" s="77">
        <f t="shared" si="17"/>
        <v>1806.9641494447576</v>
      </c>
      <c r="AR45" s="144">
        <f t="shared" si="18"/>
        <v>7.1421507883192001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650.41625061249033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0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204.88023805805949</v>
      </c>
      <c r="W46" s="77"/>
      <c r="X46" s="75">
        <v>4699</v>
      </c>
      <c r="Y46" s="66">
        <f>SUM(X46/$X$60)</f>
        <v>6.2578572798363558E-3</v>
      </c>
      <c r="Z46" s="77"/>
      <c r="AA46" s="65"/>
      <c r="AB46" s="65"/>
      <c r="AC46" s="77">
        <f t="shared" si="10"/>
        <v>694.21781481481491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448.88003924751695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20.596173012351244</v>
      </c>
      <c r="AQ46" s="77">
        <f t="shared" si="17"/>
        <v>2018.996773602513</v>
      </c>
      <c r="AR46" s="144">
        <f t="shared" si="18"/>
        <v>7.9802244015909602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0.41600016028940862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0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32.042612528560838</v>
      </c>
      <c r="W47" s="65"/>
      <c r="X47" s="75"/>
      <c r="Y47" s="66"/>
      <c r="Z47" s="65"/>
      <c r="AA47" s="65"/>
      <c r="AB47" s="65"/>
      <c r="AC47" s="77">
        <f t="shared" si="10"/>
        <v>694.21781481481491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3.008398782593142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29.364901581576355</v>
      </c>
      <c r="AQ47" s="77">
        <f t="shared" si="17"/>
        <v>759.04972786783469</v>
      </c>
      <c r="AR47" s="144">
        <f t="shared" si="18"/>
        <v>3.0001965528372914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0.20800008014470431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0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40.930757699910757</v>
      </c>
      <c r="W48" s="65"/>
      <c r="X48" s="75"/>
      <c r="Y48" s="66"/>
      <c r="Z48" s="65"/>
      <c r="AA48" s="65"/>
      <c r="AB48" s="65"/>
      <c r="AC48" s="77">
        <f t="shared" si="10"/>
        <v>694.21781481481491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735.35657259487039</v>
      </c>
      <c r="AR48" s="144">
        <f t="shared" si="18"/>
        <v>2.9065477177662862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5423.255422972923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0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3033.4616733531366</v>
      </c>
      <c r="W49" s="77"/>
      <c r="X49" s="75">
        <v>143207</v>
      </c>
      <c r="Y49" s="66">
        <f>SUM(X49/$X$60)</f>
        <v>0.19071482602118003</v>
      </c>
      <c r="Z49" s="77"/>
      <c r="AA49" s="65"/>
      <c r="AB49" s="65"/>
      <c r="AC49" s="77">
        <f t="shared" si="10"/>
        <v>694.21781481481491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10573.758395750654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811.93378557953565</v>
      </c>
      <c r="AQ49" s="77">
        <f t="shared" si="17"/>
        <v>20536.817807297084</v>
      </c>
      <c r="AR49" s="144">
        <f t="shared" si="18"/>
        <v>81.173192914217722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517.29619931987963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0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1038.8656558398509</v>
      </c>
      <c r="W50" s="65"/>
      <c r="X50" s="75"/>
      <c r="Y50" s="66"/>
      <c r="Z50" s="65"/>
      <c r="AA50" s="65"/>
      <c r="AB50" s="65"/>
      <c r="AC50" s="77">
        <f t="shared" si="10"/>
        <v>694.21781481481491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266.75965921471425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-322.44332190358671</v>
      </c>
      <c r="AQ50" s="77">
        <f t="shared" si="17"/>
        <v>2194.6960072856727</v>
      </c>
      <c r="AR50" s="144">
        <f t="shared" si="18"/>
        <v>8.6746877758326981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71.274694129585356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0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297.9793127987279</v>
      </c>
      <c r="W51" s="77"/>
      <c r="X51" s="75">
        <v>16880</v>
      </c>
      <c r="Y51" s="66">
        <f t="shared" ref="Y51:Y54" si="288">SUM(X51/$X$60)</f>
        <v>2.2479810786047601E-2</v>
      </c>
      <c r="Z51" s="77"/>
      <c r="AA51" s="65"/>
      <c r="AB51" s="65"/>
      <c r="AC51" s="77">
        <f t="shared" si="10"/>
        <v>694.21781481481491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105.02454854455759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105.32687493326057</v>
      </c>
      <c r="AQ51" s="77">
        <f t="shared" si="17"/>
        <v>1273.8457250317324</v>
      </c>
      <c r="AR51" s="144">
        <f t="shared" si="18"/>
        <v>5.0349633400463727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2179.9795066365973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0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747.99119793924046</v>
      </c>
      <c r="W52" s="77"/>
      <c r="X52" s="75">
        <v>12327</v>
      </c>
      <c r="Y52" s="66">
        <f t="shared" si="288"/>
        <v>1.6416387888602415E-2</v>
      </c>
      <c r="Z52" s="77"/>
      <c r="AA52" s="65"/>
      <c r="AB52" s="65"/>
      <c r="AC52" s="77">
        <f t="shared" si="10"/>
        <v>694.21781481481491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703.38159596002345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-319.4522204952363</v>
      </c>
      <c r="AQ52" s="77">
        <f t="shared" si="17"/>
        <v>4006.1343112433287</v>
      </c>
      <c r="AR52" s="144">
        <f t="shared" si="18"/>
        <v>15.83452296934122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705.95227201112641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0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624.20820802104561</v>
      </c>
      <c r="W53" s="77"/>
      <c r="X53" s="75">
        <v>5000</v>
      </c>
      <c r="Y53" s="66">
        <f t="shared" si="288"/>
        <v>6.6587117257250004E-3</v>
      </c>
      <c r="Z53" s="77"/>
      <c r="AA53" s="65"/>
      <c r="AB53" s="65"/>
      <c r="AC53" s="77">
        <f t="shared" si="10"/>
        <v>694.21781481481491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646.08731466765255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59.581356857254718</v>
      </c>
      <c r="AQ53" s="77">
        <f t="shared" si="17"/>
        <v>2730.0536250836203</v>
      </c>
      <c r="AR53" s="144">
        <f t="shared" si="18"/>
        <v>10.790725790844348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397.97348667686754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0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474.21368170581246</v>
      </c>
      <c r="W54" s="77"/>
      <c r="X54" s="75">
        <v>2112</v>
      </c>
      <c r="Y54" s="66">
        <f t="shared" si="288"/>
        <v>2.8126398329462402E-3</v>
      </c>
      <c r="Z54" s="77"/>
      <c r="AA54" s="65"/>
      <c r="AB54" s="65"/>
      <c r="AC54" s="77">
        <f t="shared" si="10"/>
        <v>694.21781481481491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374.52319769566265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1129.0391330398775</v>
      </c>
      <c r="AQ54" s="77">
        <f t="shared" si="17"/>
        <v>3069.9701265728681</v>
      </c>
      <c r="AR54" s="144">
        <f t="shared" si="18"/>
        <v>12.134269274991574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93.600036065116939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0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302.50830396884243</v>
      </c>
      <c r="W55" s="65"/>
      <c r="X55" s="75"/>
      <c r="Y55" s="66"/>
      <c r="Z55" s="65"/>
      <c r="AA55" s="65"/>
      <c r="AB55" s="65"/>
      <c r="AC55" s="77">
        <f t="shared" si="10"/>
        <v>694.21781481481491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76.557013795840405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-4.593126727809878</v>
      </c>
      <c r="AQ55" s="77">
        <f t="shared" si="17"/>
        <v>1162.290041916805</v>
      </c>
      <c r="AR55" s="144">
        <f t="shared" si="18"/>
        <v>4.5940317862324305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169.86673211817518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0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404.3539929067947</v>
      </c>
      <c r="W56" s="77"/>
      <c r="X56" s="75">
        <v>5198</v>
      </c>
      <c r="Y56" s="66">
        <f t="shared" ref="Y56:Y57" si="317">SUM(X56/$X$60)</f>
        <v>6.9223967100637109E-3</v>
      </c>
      <c r="Z56" s="77"/>
      <c r="AA56" s="65"/>
      <c r="AB56" s="65"/>
      <c r="AC56" s="77">
        <f t="shared" si="10"/>
        <v>694.21781481481491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254.95057145617699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176.49372056049262</v>
      </c>
      <c r="AQ56" s="77">
        <f t="shared" si="17"/>
        <v>1699.8897542531645</v>
      </c>
      <c r="AR56" s="144">
        <f t="shared" si="18"/>
        <v>6.7189318349927447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203.77074518176195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0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275.33435694815483</v>
      </c>
      <c r="W57" s="77"/>
      <c r="X57" s="75">
        <v>3391</v>
      </c>
      <c r="Y57" s="66">
        <f t="shared" si="317"/>
        <v>4.5159382923866953E-3</v>
      </c>
      <c r="Z57" s="77"/>
      <c r="AA57" s="65"/>
      <c r="AB57" s="65"/>
      <c r="AC57" s="77">
        <f t="shared" si="10"/>
        <v>694.21781481481491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162.45353426002967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10.894029638242586</v>
      </c>
      <c r="AQ57" s="77">
        <f t="shared" si="17"/>
        <v>1346.6749967812964</v>
      </c>
      <c r="AR57" s="144">
        <f t="shared" si="18"/>
        <v>5.3228260742343734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56231.642999999982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0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37487.761999999995</v>
      </c>
      <c r="W60" s="142"/>
      <c r="X60" s="142">
        <f>SUM(X4:X58)</f>
        <v>750896</v>
      </c>
      <c r="Y60" s="135">
        <f>SUM(Y4:Y59)</f>
        <v>0.99999999999999978</v>
      </c>
      <c r="Z60" s="142"/>
      <c r="AA60" s="137"/>
      <c r="AB60" s="137"/>
      <c r="AC60" s="142">
        <f>SUM(AC4:AC58)</f>
        <v>37487.762000000024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56231.643000000004</v>
      </c>
      <c r="AI60" s="137"/>
      <c r="AJ60" s="137"/>
      <c r="AK60" s="137">
        <f t="shared" ref="AK60:AL60" si="323">SUM(AK4:AK58)</f>
        <v>85934</v>
      </c>
      <c r="AL60" s="137">
        <f t="shared" si="323"/>
        <v>84283</v>
      </c>
      <c r="AM60" s="137"/>
      <c r="AN60" s="551"/>
      <c r="AO60" s="551"/>
      <c r="AP60" s="137">
        <f t="shared" ref="AP60:AQ60" si="324">SUM(AP4:AP58)</f>
        <v>34174.500000000015</v>
      </c>
      <c r="AQ60" s="137">
        <f t="shared" si="324"/>
        <v>221614.31000000003</v>
      </c>
      <c r="AR60" s="137"/>
      <c r="AS60" s="552"/>
      <c r="AT60" s="552">
        <f t="shared" ref="AT60:AV60" si="325">SUM(AT4:AT58)</f>
        <v>161270</v>
      </c>
      <c r="AU60" s="137">
        <f t="shared" si="325"/>
        <v>166225</v>
      </c>
      <c r="AV60" s="137">
        <f t="shared" si="325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6">SUM(BH4:BH58)</f>
        <v>207644.18423353491</v>
      </c>
      <c r="BI60" s="149">
        <f t="shared" si="326"/>
        <v>209969.10239617669</v>
      </c>
      <c r="BJ60" s="149">
        <f t="shared" si="326"/>
        <v>212985.092719874</v>
      </c>
      <c r="BK60" s="149">
        <f t="shared" si="326"/>
        <v>217413.39925939954</v>
      </c>
      <c r="BL60" s="149">
        <f t="shared" si="326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7">SUM(BQ4:BQ58)</f>
        <v>204593.10179735644</v>
      </c>
      <c r="BR60" s="149">
        <f t="shared" si="327"/>
        <v>207579.60034224126</v>
      </c>
      <c r="BS60" s="149">
        <f t="shared" si="327"/>
        <v>214544.32675014032</v>
      </c>
      <c r="BT60" s="149">
        <f t="shared" si="327"/>
        <v>220716.12419117073</v>
      </c>
      <c r="BU60" s="149">
        <f t="shared" si="327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8">SUM(BZ4:BZ58)</f>
        <v>217861.48042414323</v>
      </c>
      <c r="CA60" s="448">
        <f t="shared" si="328"/>
        <v>220908.26068876105</v>
      </c>
      <c r="CB60" s="448">
        <f t="shared" si="328"/>
        <v>226772.14908386499</v>
      </c>
      <c r="CC60" s="448">
        <f t="shared" si="328"/>
        <v>233115.69376651</v>
      </c>
      <c r="CD60" s="448">
        <f t="shared" si="328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56231.642999999996</v>
      </c>
      <c r="G61" s="82"/>
      <c r="H61" s="83"/>
      <c r="I61" s="83"/>
      <c r="J61" s="83"/>
      <c r="K61" s="145"/>
      <c r="L61" s="144"/>
      <c r="M61" s="146">
        <f>SUM($AQ$61-$AP$60)*M62</f>
        <v>0</v>
      </c>
      <c r="N61" s="144"/>
      <c r="O61" s="145"/>
      <c r="P61" s="145"/>
      <c r="Q61" s="146">
        <f>SUM($AQ$61-$AP$60)*Q62</f>
        <v>0</v>
      </c>
      <c r="R61" s="145"/>
      <c r="S61" s="144"/>
      <c r="T61" s="145"/>
      <c r="U61" s="145"/>
      <c r="V61" s="146">
        <f>SUM($AQ$61-$AP$60)*V62</f>
        <v>37487.762000000002</v>
      </c>
      <c r="W61" s="146"/>
      <c r="X61" s="53"/>
      <c r="Y61" s="74"/>
      <c r="Z61" s="146"/>
      <c r="AA61" s="145"/>
      <c r="AB61" s="145"/>
      <c r="AC61" s="146">
        <f>SUM($AQ$61-$AP$60)*AC62</f>
        <v>37487.762000000002</v>
      </c>
      <c r="AD61" s="145"/>
      <c r="AE61" s="145"/>
      <c r="AF61" s="145"/>
      <c r="AG61" s="145"/>
      <c r="AH61" s="146">
        <f>SUM($AQ$61-$AP$60)*AH62</f>
        <v>56231.642999999996</v>
      </c>
      <c r="AI61" s="145"/>
      <c r="AJ61" s="145"/>
      <c r="AK61" s="145"/>
      <c r="AL61" s="145"/>
      <c r="AM61" s="145"/>
      <c r="AN61" s="145"/>
      <c r="AO61" s="145"/>
      <c r="AP61" s="74">
        <f>'FY20-21 budget'!AD64*AP62</f>
        <v>35000</v>
      </c>
      <c r="AQ61" s="74">
        <f>SUM('FY20-21 budget'!AD84*(1+AQ64))</f>
        <v>221613.31</v>
      </c>
      <c r="AR61" s="74"/>
      <c r="AS61" s="22"/>
      <c r="AT61" s="22">
        <f t="shared" ref="AT61:AV61" si="329">COUNTIF(AT4:AT58,"&gt;1")</f>
        <v>47</v>
      </c>
      <c r="AU61" s="22">
        <f t="shared" si="329"/>
        <v>47</v>
      </c>
      <c r="AV61" s="22">
        <f t="shared" si="329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Summary!BR4</f>
        <v>0.3</v>
      </c>
      <c r="G62" s="85"/>
      <c r="H62" s="83"/>
      <c r="I62" s="83"/>
      <c r="J62" s="83"/>
      <c r="K62" s="145"/>
      <c r="L62" s="144"/>
      <c r="M62" s="50">
        <f>Summary!BR5</f>
        <v>0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Summary!BR6</f>
        <v>0.2</v>
      </c>
      <c r="W62" s="50"/>
      <c r="X62" s="53"/>
      <c r="Y62" s="153">
        <v>0</v>
      </c>
      <c r="Z62" s="50"/>
      <c r="AA62" s="145"/>
      <c r="AB62" s="145"/>
      <c r="AC62" s="50">
        <f>Summary!BR7</f>
        <v>0.2</v>
      </c>
      <c r="AD62" s="145"/>
      <c r="AE62" s="145"/>
      <c r="AF62" s="145"/>
      <c r="AG62" s="145"/>
      <c r="AH62" s="50">
        <f>Summary!BR8</f>
        <v>0.3</v>
      </c>
      <c r="AI62" s="145"/>
      <c r="AJ62" s="145"/>
      <c r="AK62" s="145"/>
      <c r="AL62" s="145"/>
      <c r="AM62" s="145"/>
      <c r="AN62" s="145"/>
      <c r="AO62" s="145"/>
      <c r="AP62" s="50">
        <f>Summary!BR11</f>
        <v>1</v>
      </c>
      <c r="AQ62" s="121">
        <f>SUM(F62+V62+AC62+M62+AH62+Y62)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0">SUM(BH63*(1+$BG$63))</f>
        <v>224274.39724999992</v>
      </c>
      <c r="BJ63" s="149">
        <f t="shared" si="330"/>
        <v>229881.25718124991</v>
      </c>
      <c r="BK63" s="149">
        <f t="shared" si="330"/>
        <v>235628.28861078114</v>
      </c>
      <c r="BL63" s="149">
        <f t="shared" si="330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1">SUM(AU60-AT60)/AT60</f>
        <v>3.0724871333788057E-2</v>
      </c>
      <c r="AV64" s="44">
        <f t="shared" si="331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83" t="s">
        <v>481</v>
      </c>
      <c r="B68" s="12"/>
      <c r="C68" s="125"/>
      <c r="D68" s="155">
        <f>MEDIAN(D4:D57)</f>
        <v>1424.1666666666665</v>
      </c>
      <c r="E68" s="144"/>
      <c r="F68" s="144"/>
      <c r="G68" s="125"/>
      <c r="H68" s="22"/>
      <c r="I68" s="22"/>
      <c r="J68" s="22"/>
      <c r="K68" s="155">
        <f>MEDIAN(K4:K57)</f>
        <v>648.83333333333326</v>
      </c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11406.239061615244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0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5511.7822540294756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7636.3959629629644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8545.6486015392056</v>
      </c>
      <c r="AI69" s="145"/>
      <c r="AJ69" s="145"/>
      <c r="AK69" s="145">
        <f t="shared" ref="AK69:AL69" si="332">SUM(AK4,AK6,AK12,AK21,AK35,AK42,AK43,AK46,AK52,AK57,AK51)</f>
        <v>17416</v>
      </c>
      <c r="AL69" s="145">
        <f t="shared" si="332"/>
        <v>16351</v>
      </c>
      <c r="AM69" s="145"/>
      <c r="AN69" s="145"/>
      <c r="AO69" s="145"/>
      <c r="AP69" s="145">
        <f t="shared" ref="AP69:AQ69" si="333">SUM(AP4,AP6,AP12,AP21,AP35,AP42,AP43,AP46,AP52,AP57,AP51)</f>
        <v>6257.5406962258094</v>
      </c>
      <c r="AQ69" s="145">
        <f t="shared" si="333"/>
        <v>39357.775229555031</v>
      </c>
      <c r="AR69" s="145"/>
      <c r="AS69" s="523"/>
      <c r="AT69" s="149" t="e">
        <f t="shared" ref="AT69:AV69" si="334">SUM(AT12,AT21,AT22,AT32,#REF!,AT43,#REF!,#REF!,AT47,#REF!,AT48)</f>
        <v>#REF!</v>
      </c>
      <c r="AU69" s="149" t="e">
        <f t="shared" si="334"/>
        <v>#REF!</v>
      </c>
      <c r="AV69" s="149" t="e">
        <f t="shared" si="334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5">SUM(BE4,BE6,BE12,BE21,BE35,BE42,BE43,BE46,BE52,BE57,BE51)</f>
        <v>13373.236666666666</v>
      </c>
      <c r="BF69" s="145">
        <f t="shared" si="335"/>
        <v>-32716.71479450534</v>
      </c>
      <c r="BG69" s="45"/>
      <c r="BH69" s="145">
        <f t="shared" ref="BH69:BL69" si="336">SUM(BH4,BH6,BH12,BH21,BH35,BH42,BH43,BH46,BH52,BH57,BH51)</f>
        <v>43354.434897089741</v>
      </c>
      <c r="BI69" s="145">
        <f t="shared" si="336"/>
        <v>42531.049885703855</v>
      </c>
      <c r="BJ69" s="145">
        <f t="shared" si="336"/>
        <v>43042.739542431598</v>
      </c>
      <c r="BK69" s="145">
        <f t="shared" si="336"/>
        <v>44727.810447919219</v>
      </c>
      <c r="BL69" s="145">
        <f t="shared" si="336"/>
        <v>46310.700973832412</v>
      </c>
      <c r="BM69" s="158"/>
      <c r="BN69" s="145">
        <f t="shared" ref="BN69:BO69" si="337">SUM(BN4,BN6,BN12,BN21,BN35,BN42,BN43,BN46,BN52,BN57,BN51)</f>
        <v>22301.22</v>
      </c>
      <c r="BO69" s="145">
        <f t="shared" si="337"/>
        <v>-22219.986461172008</v>
      </c>
      <c r="BP69" s="45"/>
      <c r="BQ69" s="145">
        <f t="shared" ref="BQ69:BU69" si="338">SUM(BQ4,BQ6,BQ12,BQ21,BQ35,BQ42,BQ43,BQ46,BQ52,BQ57,BQ51)</f>
        <v>43703.470015966814</v>
      </c>
      <c r="BR69" s="145">
        <f t="shared" si="338"/>
        <v>43483.067017919719</v>
      </c>
      <c r="BS69" s="145">
        <f t="shared" si="338"/>
        <v>44370.947824993804</v>
      </c>
      <c r="BT69" s="145">
        <f t="shared" si="338"/>
        <v>45534.804971548758</v>
      </c>
      <c r="BU69" s="145">
        <f t="shared" si="338"/>
        <v>47019.442064336086</v>
      </c>
      <c r="BV69" s="559"/>
      <c r="BW69" s="145">
        <f t="shared" ref="BW69:BX69" si="339">SUM(BW4,BW6,BW12,BW21,BW35,BW42,BW43,BW46,BW52,BW57,BW51)</f>
        <v>30661.143641844363</v>
      </c>
      <c r="BX69" s="145">
        <f t="shared" si="339"/>
        <v>-13860.062819327644</v>
      </c>
      <c r="BY69" s="45"/>
      <c r="BZ69" s="145">
        <f t="shared" ref="BZ69:CD69" si="340">SUM(BZ4,BZ6,BZ12,BZ21,BZ35,BZ42,BZ43,BZ46,BZ52,BZ57,BZ51)</f>
        <v>43389.817680819608</v>
      </c>
      <c r="CA69" s="145">
        <f t="shared" si="340"/>
        <v>42567.550701884509</v>
      </c>
      <c r="CB69" s="145">
        <f t="shared" si="340"/>
        <v>44131.373699217329</v>
      </c>
      <c r="CC69" s="145">
        <f t="shared" si="340"/>
        <v>45712.206129896382</v>
      </c>
      <c r="CD69" s="145">
        <f t="shared" si="340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32" priority="1" operator="greaterThan">
      <formula>0.05</formula>
    </cfRule>
  </conditionalFormatting>
  <conditionalFormatting sqref="BZ5:CD6 BQ48:BT48 BH47:BL48 BI44:BI45 BQ58:BT58">
    <cfRule type="notContainsBlanks" dxfId="31" priority="2">
      <formula>LEN(TRIM(BZ5))&gt;0</formula>
    </cfRule>
  </conditionalFormatting>
  <conditionalFormatting sqref="BZ20:CA23 CB23 BH41 BZ41 BZ54:CD55 BZ47:CD48 BZ10:CD10 BZ43:CD43 BH43:BH45 BZ45:CD45">
    <cfRule type="notContainsBlanks" dxfId="30" priority="3">
      <formula>LEN(TRIM(BZ20))&gt;0</formula>
    </cfRule>
  </conditionalFormatting>
  <conditionalFormatting sqref="BZ32:CC34 BZ40 BZ16 BZ12:CD15 BQ40:BR43 BH43:BH45 BZ58">
    <cfRule type="notContainsBlanks" dxfId="29" priority="4">
      <formula>LEN(TRIM(BZ32))&gt;0</formula>
    </cfRule>
  </conditionalFormatting>
  <conditionalFormatting sqref="BZ27:CA28">
    <cfRule type="notContainsBlanks" dxfId="28" priority="5">
      <formula>LEN(TRIM(BZ27))&gt;0</formula>
    </cfRule>
  </conditionalFormatting>
  <conditionalFormatting sqref="BH5:BI6 BQ5:BR6">
    <cfRule type="notContainsBlanks" dxfId="27" priority="6">
      <formula>LEN(TRIM(BH5))&gt;0</formula>
    </cfRule>
  </conditionalFormatting>
  <conditionalFormatting sqref="BJ5:BL6 BH10:BL10 BQ10:BR10">
    <cfRule type="notContainsBlanks" dxfId="26" priority="7">
      <formula>LEN(TRIM(BJ5))&gt;0</formula>
    </cfRule>
  </conditionalFormatting>
  <conditionalFormatting sqref="BI27:BI28">
    <cfRule type="notContainsBlanks" dxfId="25" priority="8">
      <formula>LEN(TRIM(BI27))&gt;0</formula>
    </cfRule>
  </conditionalFormatting>
  <conditionalFormatting sqref="BH12:BL15 BQ12:BS15">
    <cfRule type="notContainsBlanks" dxfId="24" priority="9">
      <formula>LEN(TRIM(BH12))&gt;0</formula>
    </cfRule>
  </conditionalFormatting>
  <conditionalFormatting sqref="BH20:BI23 BJ20:BJ21 BQ20:BR23 BS20:BS21">
    <cfRule type="notContainsBlanks" dxfId="23" priority="10">
      <formula>LEN(TRIM(BH20))&gt;0</formula>
    </cfRule>
  </conditionalFormatting>
  <conditionalFormatting sqref="BH27:BH28 BQ27:BQ28">
    <cfRule type="notContainsBlanks" dxfId="22" priority="11">
      <formula>LEN(TRIM(BH27))&gt;0</formula>
    </cfRule>
  </conditionalFormatting>
  <conditionalFormatting sqref="BH32:BJ34 BK32:BK33 BQ32:BU34 BL33 BH40:BH41 BS40:BU40 BS42:BU42">
    <cfRule type="notContainsBlanks" dxfId="21" priority="12">
      <formula>LEN(TRIM(BH32))&gt;0</formula>
    </cfRule>
  </conditionalFormatting>
  <conditionalFormatting sqref="BQ45:BS45">
    <cfRule type="notContainsBlanks" dxfId="20" priority="13">
      <formula>LEN(TRIM(BQ45))&gt;0</formula>
    </cfRule>
  </conditionalFormatting>
  <conditionalFormatting sqref="BQ47:BS47">
    <cfRule type="notContainsBlanks" dxfId="19" priority="14">
      <formula>LEN(TRIM(BQ47))&gt;0</formula>
    </cfRule>
  </conditionalFormatting>
  <conditionalFormatting sqref="BQ54">
    <cfRule type="notContainsBlanks" dxfId="18" priority="15">
      <formula>LEN(TRIM(BQ54))&gt;0</formula>
    </cfRule>
  </conditionalFormatting>
  <conditionalFormatting sqref="BI41:BK41 BJ45:BL45">
    <cfRule type="notContainsBlanks" dxfId="17" priority="16">
      <formula>LEN(TRIM(BI41))&gt;0</formula>
    </cfRule>
  </conditionalFormatting>
  <conditionalFormatting sqref="BH54:BL55">
    <cfRule type="notContainsBlanks" dxfId="16" priority="17">
      <formula>LEN(TRIM(BH54))&gt;0</formula>
    </cfRule>
  </conditionalFormatting>
  <conditionalFormatting sqref="BQ55:BR55">
    <cfRule type="notContainsBlanks" dxfId="15" priority="18">
      <formula>LEN(TRIM(BQ55))&gt;0</formula>
    </cfRule>
  </conditionalFormatting>
  <conditionalFormatting sqref="X4:X57">
    <cfRule type="cellIs" dxfId="14" priority="19" operator="lessThan">
      <formula>5000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000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14.3984375" defaultRowHeight="15" customHeight="1" x14ac:dyDescent="0.45"/>
  <cols>
    <col min="1" max="1" width="41.53125" customWidth="1"/>
    <col min="2" max="2" width="26.86328125" customWidth="1"/>
    <col min="3" max="3" width="4.3984375" customWidth="1"/>
    <col min="4" max="4" width="12" customWidth="1"/>
    <col min="5" max="5" width="6.53125" customWidth="1"/>
    <col min="6" max="6" width="8" customWidth="1"/>
    <col min="7" max="11" width="10" customWidth="1"/>
    <col min="12" max="12" width="4.1328125" customWidth="1"/>
    <col min="13" max="13" width="13.265625" customWidth="1"/>
    <col min="14" max="14" width="10.265625" customWidth="1"/>
    <col min="15" max="15" width="6.1328125" customWidth="1"/>
    <col min="16" max="16" width="8.53125" customWidth="1"/>
    <col min="17" max="21" width="12.265625" customWidth="1"/>
    <col min="22" max="22" width="4" customWidth="1"/>
    <col min="23" max="23" width="12.86328125" customWidth="1"/>
    <col min="24" max="24" width="10.265625" customWidth="1"/>
    <col min="25" max="25" width="6.1328125" customWidth="1"/>
    <col min="26" max="26" width="8.53125" customWidth="1"/>
    <col min="27" max="31" width="12.265625" customWidth="1"/>
  </cols>
  <sheetData>
    <row r="1" spans="1:31" ht="31.5" customHeight="1" x14ac:dyDescent="0.45">
      <c r="A1" s="1"/>
      <c r="B1" s="1" t="s">
        <v>0</v>
      </c>
      <c r="C1" s="1"/>
      <c r="D1" s="512" t="s">
        <v>482</v>
      </c>
      <c r="E1" s="11"/>
      <c r="F1" s="11"/>
      <c r="G1" s="157" t="s">
        <v>483</v>
      </c>
      <c r="H1" s="157" t="s">
        <v>484</v>
      </c>
      <c r="I1" s="157" t="s">
        <v>485</v>
      </c>
      <c r="J1" s="157" t="s">
        <v>486</v>
      </c>
      <c r="K1" s="157" t="s">
        <v>487</v>
      </c>
      <c r="M1" s="512" t="s">
        <v>488</v>
      </c>
      <c r="O1" s="37"/>
      <c r="P1" s="37"/>
      <c r="Q1" s="64" t="s">
        <v>483</v>
      </c>
      <c r="R1" s="64" t="s">
        <v>484</v>
      </c>
      <c r="S1" s="64" t="s">
        <v>485</v>
      </c>
      <c r="T1" s="64" t="s">
        <v>486</v>
      </c>
      <c r="U1" s="64" t="s">
        <v>487</v>
      </c>
      <c r="W1" s="512" t="s">
        <v>489</v>
      </c>
      <c r="Y1" s="37"/>
      <c r="Z1" s="37"/>
      <c r="AA1" s="64" t="s">
        <v>483</v>
      </c>
      <c r="AB1" s="64" t="s">
        <v>484</v>
      </c>
      <c r="AC1" s="64" t="s">
        <v>485</v>
      </c>
      <c r="AD1" s="64" t="s">
        <v>486</v>
      </c>
      <c r="AE1" s="64" t="s">
        <v>487</v>
      </c>
    </row>
    <row r="2" spans="1:31" ht="69.75" x14ac:dyDescent="0.7">
      <c r="A2" s="6" t="s">
        <v>22</v>
      </c>
      <c r="B2" s="14" t="s">
        <v>490</v>
      </c>
      <c r="C2" s="6"/>
      <c r="D2" s="24" t="s">
        <v>52</v>
      </c>
      <c r="E2" s="560" t="s">
        <v>491</v>
      </c>
      <c r="F2" s="560" t="s">
        <v>492</v>
      </c>
      <c r="G2" s="561" t="s">
        <v>493</v>
      </c>
      <c r="H2" s="561" t="s">
        <v>494</v>
      </c>
      <c r="I2" s="561" t="s">
        <v>495</v>
      </c>
      <c r="J2" s="561" t="s">
        <v>496</v>
      </c>
      <c r="K2" s="561" t="s">
        <v>497</v>
      </c>
      <c r="M2" s="24" t="s">
        <v>52</v>
      </c>
      <c r="N2" s="37" t="s">
        <v>498</v>
      </c>
      <c r="O2" s="37" t="s">
        <v>491</v>
      </c>
      <c r="P2" s="37" t="s">
        <v>492</v>
      </c>
      <c r="Q2" s="64" t="s">
        <v>493</v>
      </c>
      <c r="R2" s="64" t="s">
        <v>494</v>
      </c>
      <c r="S2" s="64" t="s">
        <v>495</v>
      </c>
      <c r="T2" s="64" t="s">
        <v>496</v>
      </c>
      <c r="U2" s="64" t="s">
        <v>497</v>
      </c>
      <c r="W2" s="24" t="s">
        <v>52</v>
      </c>
      <c r="X2" s="37" t="s">
        <v>498</v>
      </c>
      <c r="Y2" s="37" t="s">
        <v>491</v>
      </c>
      <c r="Z2" s="37" t="s">
        <v>492</v>
      </c>
      <c r="AA2" s="64" t="s">
        <v>493</v>
      </c>
      <c r="AB2" s="64" t="s">
        <v>494</v>
      </c>
      <c r="AC2" s="64" t="s">
        <v>495</v>
      </c>
      <c r="AD2" s="64" t="s">
        <v>496</v>
      </c>
      <c r="AE2" s="64" t="s">
        <v>497</v>
      </c>
    </row>
    <row r="3" spans="1:31" ht="14.25" x14ac:dyDescent="0.45">
      <c r="A3" s="25" t="s">
        <v>53</v>
      </c>
      <c r="B3" s="35">
        <v>0.02</v>
      </c>
      <c r="C3" s="25"/>
      <c r="D3" s="39">
        <v>513.30286162025016</v>
      </c>
      <c r="E3" s="22"/>
      <c r="F3" s="35">
        <v>0.01</v>
      </c>
      <c r="G3" s="157"/>
      <c r="H3" s="157"/>
      <c r="I3" s="157"/>
      <c r="J3" s="157"/>
      <c r="K3" s="157"/>
      <c r="M3" s="39">
        <v>520.66336111111104</v>
      </c>
      <c r="N3" s="37"/>
      <c r="O3" s="37"/>
      <c r="P3" s="31">
        <v>0.01</v>
      </c>
      <c r="W3" s="39">
        <v>522.95641666666666</v>
      </c>
      <c r="X3" s="37"/>
      <c r="Y3" s="37"/>
      <c r="Z3" s="31">
        <v>0.01</v>
      </c>
    </row>
    <row r="4" spans="1:31" ht="14.25" x14ac:dyDescent="0.45">
      <c r="A4" s="40" t="s">
        <v>55</v>
      </c>
      <c r="B4" s="40"/>
      <c r="C4" s="40"/>
      <c r="D4" s="50">
        <v>0.35</v>
      </c>
      <c r="E4" s="22"/>
      <c r="F4" s="22"/>
      <c r="G4" s="22"/>
      <c r="H4" s="22"/>
      <c r="I4" s="22"/>
      <c r="J4" s="22"/>
      <c r="K4" s="22"/>
      <c r="M4" s="50">
        <v>0.35</v>
      </c>
      <c r="N4" s="37"/>
      <c r="O4" s="37"/>
      <c r="P4" s="37"/>
      <c r="W4" s="50">
        <v>0.35</v>
      </c>
      <c r="X4" s="37"/>
      <c r="Y4" s="37"/>
      <c r="Z4" s="37"/>
    </row>
    <row r="5" spans="1:31" ht="14.25" x14ac:dyDescent="0.45">
      <c r="A5" s="40" t="s">
        <v>56</v>
      </c>
      <c r="B5" s="40"/>
      <c r="C5" s="40"/>
      <c r="D5" s="50">
        <v>0</v>
      </c>
      <c r="E5" s="523"/>
      <c r="F5" s="44"/>
      <c r="G5" s="149"/>
      <c r="H5" s="149"/>
      <c r="I5" s="149"/>
      <c r="J5" s="149"/>
      <c r="K5" s="149"/>
      <c r="M5" s="50">
        <v>0</v>
      </c>
      <c r="N5" s="37"/>
      <c r="O5" s="37"/>
      <c r="P5" s="37"/>
      <c r="W5" s="50">
        <v>0</v>
      </c>
      <c r="X5" s="37"/>
      <c r="Y5" s="37"/>
      <c r="Z5" s="37"/>
    </row>
    <row r="6" spans="1:31" ht="14.25" x14ac:dyDescent="0.45">
      <c r="A6" s="40" t="s">
        <v>57</v>
      </c>
      <c r="B6" s="40"/>
      <c r="C6" s="40"/>
      <c r="D6" s="50">
        <v>0.25</v>
      </c>
      <c r="E6" s="523"/>
      <c r="F6" s="44"/>
      <c r="G6" s="149"/>
      <c r="H6" s="149"/>
      <c r="I6" s="149"/>
      <c r="J6" s="149"/>
      <c r="K6" s="149"/>
      <c r="M6" s="50">
        <v>0.25</v>
      </c>
      <c r="N6" s="37"/>
      <c r="O6" s="37"/>
      <c r="P6" s="37"/>
      <c r="W6" s="50">
        <v>0.25</v>
      </c>
      <c r="X6" s="37"/>
      <c r="Y6" s="37"/>
      <c r="Z6" s="37"/>
    </row>
    <row r="7" spans="1:31" ht="14.25" x14ac:dyDescent="0.45">
      <c r="A7" s="40" t="s">
        <v>58</v>
      </c>
      <c r="B7" s="40"/>
      <c r="C7" s="40"/>
      <c r="D7" s="50">
        <v>0.15</v>
      </c>
      <c r="E7" s="523"/>
      <c r="F7" s="44"/>
      <c r="G7" s="149"/>
      <c r="H7" s="149"/>
      <c r="I7" s="149"/>
      <c r="J7" s="149"/>
      <c r="K7" s="149"/>
      <c r="M7" s="50">
        <v>0.15</v>
      </c>
      <c r="N7" s="37"/>
      <c r="O7" s="37"/>
      <c r="P7" s="37"/>
      <c r="W7" s="50">
        <v>0.15</v>
      </c>
      <c r="X7" s="37"/>
      <c r="Y7" s="37"/>
      <c r="Z7" s="37"/>
    </row>
    <row r="8" spans="1:31" ht="14.25" x14ac:dyDescent="0.45">
      <c r="A8" s="40" t="s">
        <v>59</v>
      </c>
      <c r="B8" s="40"/>
      <c r="C8" s="40"/>
      <c r="D8" s="50">
        <v>0.25</v>
      </c>
      <c r="E8" s="523"/>
      <c r="F8" s="44"/>
      <c r="G8" s="149"/>
      <c r="H8" s="149"/>
      <c r="I8" s="149"/>
      <c r="J8" s="149"/>
      <c r="K8" s="149"/>
      <c r="M8" s="50">
        <v>0.25</v>
      </c>
      <c r="N8" s="37"/>
      <c r="O8" s="37"/>
      <c r="P8" s="37"/>
      <c r="W8" s="50">
        <v>0.25</v>
      </c>
      <c r="X8" s="37"/>
      <c r="Y8" s="37"/>
      <c r="Z8" s="37"/>
    </row>
    <row r="9" spans="1:31" ht="14.25" x14ac:dyDescent="0.45">
      <c r="A9" s="40"/>
      <c r="B9" s="40"/>
      <c r="C9" s="40"/>
      <c r="D9" s="55">
        <v>1</v>
      </c>
      <c r="E9" s="523"/>
      <c r="F9" s="44"/>
      <c r="G9" s="149"/>
      <c r="H9" s="149"/>
      <c r="I9" s="149"/>
      <c r="J9" s="149"/>
      <c r="K9" s="149"/>
      <c r="M9" s="55">
        <v>1</v>
      </c>
      <c r="N9" s="37"/>
      <c r="O9" s="37"/>
      <c r="P9" s="37"/>
      <c r="W9" s="55">
        <v>1</v>
      </c>
      <c r="X9" s="37"/>
      <c r="Y9" s="37"/>
      <c r="Z9" s="37"/>
    </row>
    <row r="10" spans="1:31" ht="14.25" hidden="1" x14ac:dyDescent="0.45">
      <c r="A10" s="40"/>
      <c r="B10" s="40"/>
      <c r="C10" s="40"/>
      <c r="D10" s="50"/>
      <c r="E10" s="523"/>
      <c r="F10" s="44"/>
      <c r="G10" s="149"/>
      <c r="H10" s="149"/>
      <c r="I10" s="149"/>
      <c r="J10" s="149"/>
      <c r="K10" s="149"/>
      <c r="M10" s="50"/>
      <c r="N10" s="37"/>
      <c r="O10" s="37"/>
      <c r="P10" s="37"/>
      <c r="W10" s="50"/>
      <c r="X10" s="37"/>
      <c r="Y10" s="37"/>
      <c r="Z10" s="37"/>
    </row>
    <row r="11" spans="1:31" ht="17.25" hidden="1" customHeight="1" x14ac:dyDescent="0.45">
      <c r="A11" s="40" t="s">
        <v>60</v>
      </c>
      <c r="B11" s="40"/>
      <c r="C11" s="40"/>
      <c r="D11" s="50">
        <v>1</v>
      </c>
      <c r="E11" s="523"/>
      <c r="F11" s="44"/>
      <c r="G11" s="149"/>
      <c r="H11" s="149"/>
      <c r="I11" s="149"/>
      <c r="J11" s="149"/>
      <c r="K11" s="149"/>
      <c r="M11" s="50">
        <v>1</v>
      </c>
      <c r="N11" s="37"/>
      <c r="O11" s="37"/>
      <c r="P11" s="37"/>
      <c r="W11" s="50">
        <v>1</v>
      </c>
      <c r="X11" s="37"/>
      <c r="Y11" s="37"/>
      <c r="Z11" s="37"/>
    </row>
    <row r="12" spans="1:31" ht="14.25" x14ac:dyDescent="0.45">
      <c r="A12" s="40" t="s">
        <v>61</v>
      </c>
      <c r="B12" s="40"/>
      <c r="C12" s="40"/>
      <c r="D12" s="57">
        <v>0.25</v>
      </c>
      <c r="E12" s="523"/>
      <c r="F12" s="44"/>
      <c r="G12" s="149"/>
      <c r="H12" s="149"/>
      <c r="I12" s="149"/>
      <c r="J12" s="149"/>
      <c r="K12" s="149"/>
      <c r="L12" s="22"/>
      <c r="M12" s="57">
        <v>0.5</v>
      </c>
      <c r="N12" s="37"/>
      <c r="O12" s="37"/>
      <c r="P12" s="37"/>
      <c r="Q12" s="22"/>
      <c r="R12" s="22"/>
      <c r="S12" s="22"/>
      <c r="T12" s="22"/>
      <c r="U12" s="22"/>
      <c r="V12" s="22"/>
      <c r="W12" s="57">
        <v>1</v>
      </c>
      <c r="X12" s="37"/>
      <c r="Y12" s="37"/>
      <c r="Z12" s="37"/>
      <c r="AA12" s="22"/>
      <c r="AB12" s="22"/>
      <c r="AC12" s="22"/>
      <c r="AD12" s="22"/>
      <c r="AE12" s="22"/>
    </row>
    <row r="13" spans="1:31" ht="14.25" x14ac:dyDescent="0.45">
      <c r="A13" s="58" t="s">
        <v>62</v>
      </c>
      <c r="B13" s="562">
        <v>1333.0224243756002</v>
      </c>
      <c r="C13" s="80"/>
      <c r="D13" s="74">
        <v>1100.3792966656258</v>
      </c>
      <c r="E13" s="563">
        <f>SUM(D13-$B13)</f>
        <v>-232.64312770997435</v>
      </c>
      <c r="F13" s="564">
        <f>SUM(D13-$B13)/D13</f>
        <v>-0.21142085135092106</v>
      </c>
      <c r="G13" s="149">
        <f t="shared" ref="G13:G66" si="0">SUM(E13/5)+B13</f>
        <v>1286.4937988336053</v>
      </c>
      <c r="H13" s="149">
        <f t="shared" ref="H13:K13" si="1">SUM(($E13/5)+G13)*(1+$F$3)</f>
        <v>1252.3648250245265</v>
      </c>
      <c r="I13" s="149">
        <f t="shared" si="1"/>
        <v>1217.894561477357</v>
      </c>
      <c r="J13" s="149">
        <f t="shared" si="1"/>
        <v>1183.0795952947158</v>
      </c>
      <c r="K13" s="149">
        <f t="shared" si="1"/>
        <v>1147.9164794502481</v>
      </c>
      <c r="L13" s="22"/>
      <c r="M13" s="145">
        <v>765.46314771931566</v>
      </c>
      <c r="N13" s="145">
        <f t="shared" ref="N13:N66" si="2">SUM(M13-D13)</f>
        <v>-334.91614894631016</v>
      </c>
      <c r="O13" s="563">
        <f t="shared" ref="O13:O66" si="3">SUM(M13-$B13)</f>
        <v>-567.55927665628451</v>
      </c>
      <c r="P13" s="564">
        <f t="shared" ref="P13:P66" si="4">SUM(M13-$B13)/M13</f>
        <v>-0.74145865590958582</v>
      </c>
      <c r="Q13" s="145">
        <v>1199.0578689803006</v>
      </c>
      <c r="R13" s="145">
        <v>1075.7442467208509</v>
      </c>
      <c r="S13" s="145">
        <v>951.19748823880684</v>
      </c>
      <c r="T13" s="145">
        <v>825.40526217194235</v>
      </c>
      <c r="U13" s="145">
        <v>698.35511384440917</v>
      </c>
      <c r="V13" s="22"/>
      <c r="W13" s="145">
        <v>663.19964739910222</v>
      </c>
      <c r="X13" s="145">
        <f t="shared" ref="X13:X66" si="5">SUM(W13-D13)</f>
        <v>-437.1796492665236</v>
      </c>
      <c r="Y13" s="565">
        <v>-669.82277697649795</v>
      </c>
      <c r="Z13" s="31">
        <v>-1.009986630124684</v>
      </c>
      <c r="AA13" s="145">
        <v>1199.0578689803006</v>
      </c>
      <c r="AB13" s="145">
        <v>1075.7442467208509</v>
      </c>
      <c r="AC13" s="145">
        <v>951.19748823880684</v>
      </c>
      <c r="AD13" s="145">
        <v>825.40526217194235</v>
      </c>
      <c r="AE13" s="145">
        <v>698.35511384440917</v>
      </c>
    </row>
    <row r="14" spans="1:31" ht="14.25" x14ac:dyDescent="0.45">
      <c r="A14" s="78" t="s">
        <v>65</v>
      </c>
      <c r="B14" s="486">
        <v>1332.8900999999998</v>
      </c>
      <c r="C14" s="103"/>
      <c r="D14" s="74">
        <v>1303.3694593091045</v>
      </c>
      <c r="E14" s="563">
        <f t="shared" ref="E14:E66" si="6">SUM(D14-B14)</f>
        <v>-29.520640690895334</v>
      </c>
      <c r="F14" s="564">
        <f t="shared" ref="F14:F66" si="7">SUM(D14-B14)/D14</f>
        <v>-2.2649480145517417E-2</v>
      </c>
      <c r="G14" s="149">
        <f t="shared" si="0"/>
        <v>1326.9859718618209</v>
      </c>
      <c r="H14" s="149">
        <f t="shared" ref="H14:K14" si="8">SUM(($E14/5)+G14)*(1+$F$3)</f>
        <v>1334.2926621608783</v>
      </c>
      <c r="I14" s="149">
        <f t="shared" si="8"/>
        <v>1341.6724193629263</v>
      </c>
      <c r="J14" s="149">
        <f t="shared" si="8"/>
        <v>1349.125974136995</v>
      </c>
      <c r="K14" s="149">
        <f t="shared" si="8"/>
        <v>1356.6540644588042</v>
      </c>
      <c r="M14" s="145">
        <v>997.43865188626796</v>
      </c>
      <c r="N14" s="145">
        <f t="shared" si="2"/>
        <v>-305.93080742283655</v>
      </c>
      <c r="O14" s="563">
        <f t="shared" si="3"/>
        <v>-335.45144811373189</v>
      </c>
      <c r="P14" s="564">
        <f t="shared" si="4"/>
        <v>-0.33631286242953962</v>
      </c>
      <c r="Q14" s="145">
        <v>1223.4270789666123</v>
      </c>
      <c r="R14" s="145">
        <v>1125.103698512557</v>
      </c>
      <c r="S14" s="145">
        <v>1025.797084253961</v>
      </c>
      <c r="T14" s="145">
        <v>925.49740385277903</v>
      </c>
      <c r="U14" s="145">
        <v>824.1947266475853</v>
      </c>
      <c r="W14" s="145">
        <v>785.57499483306151</v>
      </c>
      <c r="X14" s="145">
        <f t="shared" si="5"/>
        <v>-517.794464476043</v>
      </c>
      <c r="Y14" s="565">
        <v>-547.31510516693834</v>
      </c>
      <c r="Z14" s="31">
        <v>-0.69670637274197533</v>
      </c>
      <c r="AA14" s="145">
        <v>1223.4270789666123</v>
      </c>
      <c r="AB14" s="145">
        <v>1125.103698512557</v>
      </c>
      <c r="AC14" s="145">
        <v>1025.797084253961</v>
      </c>
      <c r="AD14" s="145">
        <v>925.49740385277903</v>
      </c>
      <c r="AE14" s="145">
        <v>824.1947266475853</v>
      </c>
    </row>
    <row r="15" spans="1:31" ht="14.25" x14ac:dyDescent="0.45">
      <c r="A15" s="80" t="s">
        <v>67</v>
      </c>
      <c r="B15" s="562">
        <v>1599.6269092507205</v>
      </c>
      <c r="C15" s="80"/>
      <c r="D15" s="74">
        <v>2337.0833494502494</v>
      </c>
      <c r="E15" s="563">
        <f t="shared" si="6"/>
        <v>737.45644019952897</v>
      </c>
      <c r="F15" s="564">
        <f t="shared" si="7"/>
        <v>0.31554563099899724</v>
      </c>
      <c r="G15" s="149">
        <f t="shared" si="0"/>
        <v>1747.1181972906263</v>
      </c>
      <c r="H15" s="149">
        <f t="shared" ref="H15:K15" si="9">SUM(($E15/5)+G15)*(1+$F$3)</f>
        <v>1913.5555801838375</v>
      </c>
      <c r="I15" s="149">
        <f t="shared" si="9"/>
        <v>2081.6573369059806</v>
      </c>
      <c r="J15" s="149">
        <f t="shared" si="9"/>
        <v>2251.4401111953453</v>
      </c>
      <c r="K15" s="149">
        <f t="shared" si="9"/>
        <v>2422.9207132276033</v>
      </c>
      <c r="M15" s="145">
        <v>2249.5252241232797</v>
      </c>
      <c r="N15" s="145">
        <f t="shared" si="2"/>
        <v>-87.55812532696973</v>
      </c>
      <c r="O15" s="563">
        <f t="shared" si="3"/>
        <v>649.89831487255924</v>
      </c>
      <c r="P15" s="564">
        <f t="shared" si="4"/>
        <v>0.28890465770431528</v>
      </c>
      <c r="Q15" s="145">
        <v>1753.9366497258966</v>
      </c>
      <c r="R15" s="145">
        <v>1927.3288541030834</v>
      </c>
      <c r="S15" s="145">
        <v>2102.4549805240422</v>
      </c>
      <c r="T15" s="145">
        <v>2279.3323682092105</v>
      </c>
      <c r="U15" s="145">
        <v>2457.9785297712306</v>
      </c>
      <c r="W15" s="145">
        <v>2371.1756116266006</v>
      </c>
      <c r="X15" s="145">
        <f t="shared" si="5"/>
        <v>34.092262176351142</v>
      </c>
      <c r="Y15" s="565">
        <v>771.54870237588011</v>
      </c>
      <c r="Z15" s="31">
        <v>0.32538657136685295</v>
      </c>
      <c r="AA15" s="145">
        <v>1753.9366497258966</v>
      </c>
      <c r="AB15" s="145">
        <v>1927.3288541030834</v>
      </c>
      <c r="AC15" s="145">
        <v>2102.4549805240422</v>
      </c>
      <c r="AD15" s="145">
        <v>2279.3323682092105</v>
      </c>
      <c r="AE15" s="145">
        <v>2457.9785297712306</v>
      </c>
    </row>
    <row r="16" spans="1:31" ht="14.25" x14ac:dyDescent="0.45">
      <c r="A16" s="83" t="s">
        <v>70</v>
      </c>
      <c r="B16" s="65">
        <v>13330.224243756003</v>
      </c>
      <c r="C16" s="83"/>
      <c r="D16" s="74">
        <v>15669.232463850769</v>
      </c>
      <c r="E16" s="563">
        <f t="shared" si="6"/>
        <v>2339.0082200947654</v>
      </c>
      <c r="F16" s="564">
        <f t="shared" si="7"/>
        <v>0.14927394979242947</v>
      </c>
      <c r="G16" s="149">
        <f t="shared" si="0"/>
        <v>13798.025887774957</v>
      </c>
      <c r="H16" s="149">
        <f t="shared" ref="H16:K16" si="10">SUM(($E16/5)+G16)*(1+$F$3)</f>
        <v>14408.485807111849</v>
      </c>
      <c r="I16" s="149">
        <f t="shared" si="10"/>
        <v>15025.050325642111</v>
      </c>
      <c r="J16" s="149">
        <f t="shared" si="10"/>
        <v>15647.780489357674</v>
      </c>
      <c r="K16" s="149">
        <f t="shared" si="10"/>
        <v>16276.737954710394</v>
      </c>
      <c r="M16" s="145">
        <v>16954.766184573684</v>
      </c>
      <c r="N16" s="145">
        <f t="shared" si="2"/>
        <v>1285.5337207229149</v>
      </c>
      <c r="O16" s="563">
        <f t="shared" si="3"/>
        <v>3624.5419408176804</v>
      </c>
      <c r="P16" s="564">
        <f t="shared" si="4"/>
        <v>0.21377717046404771</v>
      </c>
      <c r="Q16" s="145">
        <v>13933.668815871049</v>
      </c>
      <c r="R16" s="145">
        <v>14682.484521865956</v>
      </c>
      <c r="S16" s="145">
        <v>15438.788384920812</v>
      </c>
      <c r="T16" s="145">
        <v>16202.655286606217</v>
      </c>
      <c r="U16" s="145">
        <v>16974.160857308478</v>
      </c>
      <c r="W16" s="145">
        <v>16347.44710433123</v>
      </c>
      <c r="X16" s="145">
        <f t="shared" si="5"/>
        <v>678.21464048046073</v>
      </c>
      <c r="Y16" s="565">
        <v>3017.2228605752262</v>
      </c>
      <c r="Z16" s="31">
        <v>0.18456844309199924</v>
      </c>
      <c r="AA16" s="145">
        <v>13933.668815871049</v>
      </c>
      <c r="AB16" s="145">
        <v>14682.484521865956</v>
      </c>
      <c r="AC16" s="145">
        <v>15438.788384920812</v>
      </c>
      <c r="AD16" s="145">
        <v>16202.655286606217</v>
      </c>
      <c r="AE16" s="145">
        <v>16974.160857308478</v>
      </c>
    </row>
    <row r="17" spans="1:31" ht="14.25" x14ac:dyDescent="0.45">
      <c r="A17" s="86" t="s">
        <v>73</v>
      </c>
      <c r="B17" s="65">
        <v>6665.1121218780017</v>
      </c>
      <c r="C17" s="86"/>
      <c r="D17" s="74">
        <v>2009.5022295808146</v>
      </c>
      <c r="E17" s="563">
        <f t="shared" si="6"/>
        <v>-4655.6098922971869</v>
      </c>
      <c r="F17" s="564">
        <f t="shared" si="7"/>
        <v>-2.3167975749239922</v>
      </c>
      <c r="G17" s="149">
        <f t="shared" si="0"/>
        <v>5733.990143418564</v>
      </c>
      <c r="H17" s="149">
        <f t="shared" ref="H17:K17" si="11">SUM(($E17/5)+G17)*(1+$F$3)</f>
        <v>4850.8968466087172</v>
      </c>
      <c r="I17" s="149">
        <f t="shared" si="11"/>
        <v>3958.9726168307725</v>
      </c>
      <c r="J17" s="149">
        <f t="shared" si="11"/>
        <v>3058.1291447550484</v>
      </c>
      <c r="K17" s="149">
        <f t="shared" si="11"/>
        <v>2148.2772379585672</v>
      </c>
      <c r="M17" s="145">
        <v>1878.4633624593441</v>
      </c>
      <c r="N17" s="145">
        <f t="shared" si="2"/>
        <v>-131.0388671214705</v>
      </c>
      <c r="O17" s="563">
        <f t="shared" si="3"/>
        <v>-4786.6487594186574</v>
      </c>
      <c r="P17" s="564">
        <f t="shared" si="4"/>
        <v>-2.5481725409601945</v>
      </c>
      <c r="Q17" s="145">
        <v>5667.287407084832</v>
      </c>
      <c r="R17" s="145">
        <v>4716.1573192145788</v>
      </c>
      <c r="S17" s="145">
        <v>3755.5159304656227</v>
      </c>
      <c r="T17" s="145">
        <v>2785.268127829177</v>
      </c>
      <c r="U17" s="145">
        <v>1805.3178471663668</v>
      </c>
      <c r="W17" s="145">
        <v>1675.9885479121515</v>
      </c>
      <c r="X17" s="145">
        <f t="shared" si="5"/>
        <v>-333.51368166866314</v>
      </c>
      <c r="Y17" s="565">
        <v>-4989.1235739658505</v>
      </c>
      <c r="Z17" s="31">
        <v>-2.9768243823509466</v>
      </c>
      <c r="AA17" s="145">
        <v>5667.287407084832</v>
      </c>
      <c r="AB17" s="145">
        <v>4716.1573192145788</v>
      </c>
      <c r="AC17" s="145">
        <v>3755.5159304656227</v>
      </c>
      <c r="AD17" s="145">
        <v>2785.268127829177</v>
      </c>
      <c r="AE17" s="145">
        <v>1805.3178471663668</v>
      </c>
    </row>
    <row r="18" spans="1:31" ht="14.25" x14ac:dyDescent="0.45">
      <c r="A18" s="86" t="s">
        <v>76</v>
      </c>
      <c r="B18" s="65">
        <v>5332.0896975024007</v>
      </c>
      <c r="C18" s="86"/>
      <c r="D18" s="74">
        <v>3005.5253415023612</v>
      </c>
      <c r="E18" s="563">
        <f t="shared" si="6"/>
        <v>-2326.5643560000394</v>
      </c>
      <c r="F18" s="564">
        <f t="shared" si="7"/>
        <v>-0.77409573756482386</v>
      </c>
      <c r="G18" s="149">
        <f t="shared" si="0"/>
        <v>4866.7768263023927</v>
      </c>
      <c r="H18" s="149">
        <f t="shared" ref="H18:K18" si="12">SUM(($E18/5)+G18)*(1+$F$3)</f>
        <v>4445.4785946534084</v>
      </c>
      <c r="I18" s="149">
        <f t="shared" si="12"/>
        <v>4019.9673806879346</v>
      </c>
      <c r="J18" s="149">
        <f t="shared" si="12"/>
        <v>3590.2010545828057</v>
      </c>
      <c r="K18" s="149">
        <f t="shared" si="12"/>
        <v>3156.1370652166256</v>
      </c>
      <c r="M18" s="145">
        <v>2669.7441786063523</v>
      </c>
      <c r="N18" s="145">
        <f t="shared" si="2"/>
        <v>-335.78116289600894</v>
      </c>
      <c r="O18" s="563">
        <f t="shared" si="3"/>
        <v>-2662.3455188960484</v>
      </c>
      <c r="P18" s="564">
        <f t="shared" si="4"/>
        <v>-0.9972287008734424</v>
      </c>
      <c r="Q18" s="145">
        <v>4679.3470022365336</v>
      </c>
      <c r="R18" s="145">
        <v>4066.8703500403731</v>
      </c>
      <c r="S18" s="145">
        <v>3448.2689313222513</v>
      </c>
      <c r="T18" s="145">
        <v>2823.4814984169479</v>
      </c>
      <c r="U18" s="145">
        <v>2192.4461911825915</v>
      </c>
      <c r="W18" s="145">
        <v>2068.3762211730655</v>
      </c>
      <c r="X18" s="145">
        <f t="shared" si="5"/>
        <v>-937.14912032929578</v>
      </c>
      <c r="Y18" s="565">
        <v>-3263.7134763293352</v>
      </c>
      <c r="Z18" s="31">
        <v>-1.5779109443050656</v>
      </c>
      <c r="AA18" s="145">
        <v>4679.3470022365336</v>
      </c>
      <c r="AB18" s="145">
        <v>4066.8703500403731</v>
      </c>
      <c r="AC18" s="145">
        <v>3448.2689313222513</v>
      </c>
      <c r="AD18" s="145">
        <v>2823.4814984169479</v>
      </c>
      <c r="AE18" s="145">
        <v>2192.4461911825915</v>
      </c>
    </row>
    <row r="19" spans="1:31" ht="14.25" x14ac:dyDescent="0.45">
      <c r="A19" s="83" t="s">
        <v>79</v>
      </c>
      <c r="B19" s="65">
        <v>1333.0224243756002</v>
      </c>
      <c r="C19" s="83"/>
      <c r="D19" s="74">
        <v>1382.998025264224</v>
      </c>
      <c r="E19" s="563">
        <f t="shared" si="6"/>
        <v>49.975600888623831</v>
      </c>
      <c r="F19" s="564">
        <f t="shared" si="7"/>
        <v>3.6135699383284307E-2</v>
      </c>
      <c r="G19" s="149">
        <f t="shared" si="0"/>
        <v>1343.017544553325</v>
      </c>
      <c r="H19" s="149">
        <f t="shared" ref="H19:K19" si="13">SUM(($E19/5)+G19)*(1+$F$3)</f>
        <v>1366.5427913783603</v>
      </c>
      <c r="I19" s="149">
        <f t="shared" si="13"/>
        <v>1390.303290671646</v>
      </c>
      <c r="J19" s="149">
        <f t="shared" si="13"/>
        <v>1414.3013949578647</v>
      </c>
      <c r="K19" s="149">
        <f t="shared" si="13"/>
        <v>1438.5394802869455</v>
      </c>
      <c r="M19" s="145">
        <v>1276.3346497440959</v>
      </c>
      <c r="N19" s="145">
        <f t="shared" si="2"/>
        <v>-106.66337552012806</v>
      </c>
      <c r="O19" s="563">
        <f t="shared" si="3"/>
        <v>-56.687774631504226</v>
      </c>
      <c r="P19" s="564">
        <f t="shared" si="4"/>
        <v>-4.4414507310343784E-2</v>
      </c>
      <c r="Q19" s="145">
        <v>1322.708800396726</v>
      </c>
      <c r="R19" s="145">
        <v>1325.5191281820305</v>
      </c>
      <c r="S19" s="145">
        <v>1328.357559245188</v>
      </c>
      <c r="T19" s="145">
        <v>1331.224374618977</v>
      </c>
      <c r="U19" s="145">
        <v>1334.1198581465039</v>
      </c>
      <c r="W19" s="145">
        <v>1281.4543044812292</v>
      </c>
      <c r="X19" s="145">
        <f t="shared" si="5"/>
        <v>-101.5437207829948</v>
      </c>
      <c r="Y19" s="565">
        <v>-51.568119894370966</v>
      </c>
      <c r="Z19" s="31">
        <v>-4.0241871843606059E-2</v>
      </c>
      <c r="AA19" s="145">
        <v>1322.708800396726</v>
      </c>
      <c r="AB19" s="145">
        <v>1325.5191281820305</v>
      </c>
      <c r="AC19" s="145">
        <v>1328.357559245188</v>
      </c>
      <c r="AD19" s="145">
        <v>1331.224374618977</v>
      </c>
      <c r="AE19" s="145">
        <v>1334.1198581465039</v>
      </c>
    </row>
    <row r="20" spans="1:31" ht="14.25" x14ac:dyDescent="0.45">
      <c r="A20" s="83" t="s">
        <v>82</v>
      </c>
      <c r="B20" s="65">
        <v>1002.9406811968801</v>
      </c>
      <c r="C20" s="83"/>
      <c r="D20" s="74">
        <v>1012.5432291787512</v>
      </c>
      <c r="E20" s="563">
        <f t="shared" si="6"/>
        <v>9.6025479818711119</v>
      </c>
      <c r="F20" s="564">
        <f t="shared" si="7"/>
        <v>9.4835931001775609E-3</v>
      </c>
      <c r="G20" s="149">
        <f t="shared" si="0"/>
        <v>1004.8611907932543</v>
      </c>
      <c r="H20" s="149">
        <f t="shared" ref="H20:K20" si="14">SUM(($E20/5)+G20)*(1+$F$3)</f>
        <v>1016.8495173935248</v>
      </c>
      <c r="I20" s="149">
        <f t="shared" si="14"/>
        <v>1028.957727259798</v>
      </c>
      <c r="J20" s="149">
        <f t="shared" si="14"/>
        <v>1041.1870192247338</v>
      </c>
      <c r="K20" s="149">
        <f t="shared" si="14"/>
        <v>1053.5386041093191</v>
      </c>
      <c r="M20" s="145">
        <v>738.29229806984961</v>
      </c>
      <c r="N20" s="145">
        <f t="shared" si="2"/>
        <v>-274.25093110890157</v>
      </c>
      <c r="O20" s="563">
        <f t="shared" si="3"/>
        <v>-264.64838312703046</v>
      </c>
      <c r="P20" s="564">
        <f t="shared" si="4"/>
        <v>-0.35846017061116919</v>
      </c>
      <c r="Q20" s="145">
        <v>949.55956831410015</v>
      </c>
      <c r="R20" s="145">
        <v>905.14023998563346</v>
      </c>
      <c r="S20" s="145">
        <v>860.27671837388209</v>
      </c>
      <c r="T20" s="145">
        <v>814.96456154601321</v>
      </c>
      <c r="U20" s="145">
        <v>769.19928314986566</v>
      </c>
      <c r="W20" s="145">
        <v>736.03511678298071</v>
      </c>
      <c r="X20" s="145">
        <f t="shared" si="5"/>
        <v>-276.50811239577047</v>
      </c>
      <c r="Y20" s="565">
        <v>-266.90556441389936</v>
      </c>
      <c r="Z20" s="31">
        <v>-0.36262612792236681</v>
      </c>
      <c r="AA20" s="145">
        <v>949.55956831410015</v>
      </c>
      <c r="AB20" s="145">
        <v>905.14023998563346</v>
      </c>
      <c r="AC20" s="145">
        <v>860.27671837388209</v>
      </c>
      <c r="AD20" s="145">
        <v>814.96456154601321</v>
      </c>
      <c r="AE20" s="145">
        <v>769.19928314986566</v>
      </c>
    </row>
    <row r="21" spans="1:31" ht="15.75" customHeight="1" x14ac:dyDescent="0.45">
      <c r="A21" s="80" t="s">
        <v>85</v>
      </c>
      <c r="B21" s="562">
        <v>1599.6269092507205</v>
      </c>
      <c r="C21" s="80"/>
      <c r="D21" s="74">
        <v>1485.3133364415191</v>
      </c>
      <c r="E21" s="563">
        <f t="shared" si="6"/>
        <v>-114.31357280920133</v>
      </c>
      <c r="F21" s="564">
        <f t="shared" si="7"/>
        <v>-7.6962597725723822E-2</v>
      </c>
      <c r="G21" s="149">
        <f t="shared" si="0"/>
        <v>1576.7641946888803</v>
      </c>
      <c r="H21" s="149">
        <f t="shared" ref="H21:K21" si="15">SUM(($E21/5)+G21)*(1+$F$3)</f>
        <v>1569.4404949283105</v>
      </c>
      <c r="I21" s="149">
        <f t="shared" si="15"/>
        <v>1562.0435581701349</v>
      </c>
      <c r="J21" s="149">
        <f t="shared" si="15"/>
        <v>1554.5726520443777</v>
      </c>
      <c r="K21" s="149">
        <f t="shared" si="15"/>
        <v>1547.0270368573629</v>
      </c>
      <c r="M21" s="145">
        <v>960.56908554760867</v>
      </c>
      <c r="N21" s="145">
        <f t="shared" si="2"/>
        <v>-524.74425089391048</v>
      </c>
      <c r="O21" s="563">
        <f t="shared" si="3"/>
        <v>-639.05782370311181</v>
      </c>
      <c r="P21" s="564">
        <f t="shared" si="4"/>
        <v>-0.66529085030754742</v>
      </c>
      <c r="Q21" s="145">
        <v>1284.7629543392613</v>
      </c>
      <c r="R21" s="145">
        <v>979.59798942208033</v>
      </c>
      <c r="S21" s="145">
        <v>671.38137485572759</v>
      </c>
      <c r="T21" s="145">
        <v>360.08259414371128</v>
      </c>
      <c r="U21" s="145">
        <v>45.670825624574782</v>
      </c>
      <c r="W21" s="145">
        <v>25.307134693425269</v>
      </c>
      <c r="X21" s="145">
        <f t="shared" si="5"/>
        <v>-1460.0062017480939</v>
      </c>
      <c r="Y21" s="565">
        <v>-1574.3197745572952</v>
      </c>
      <c r="Z21" s="31">
        <v>-62.208535009152953</v>
      </c>
      <c r="AA21" s="145">
        <v>1284.7629543392613</v>
      </c>
      <c r="AB21" s="145">
        <v>979.59798942208033</v>
      </c>
      <c r="AC21" s="145">
        <v>671.38137485572759</v>
      </c>
      <c r="AD21" s="145">
        <v>360.08259414371128</v>
      </c>
      <c r="AE21" s="145">
        <v>45.670825624574782</v>
      </c>
    </row>
    <row r="22" spans="1:31" ht="15.75" customHeight="1" x14ac:dyDescent="0.45">
      <c r="A22" s="83" t="s">
        <v>87</v>
      </c>
      <c r="B22" s="65">
        <v>399.90672731268012</v>
      </c>
      <c r="C22" s="83"/>
      <c r="D22" s="74">
        <v>1087.64321902234</v>
      </c>
      <c r="E22" s="563">
        <f t="shared" si="6"/>
        <v>687.73649170965984</v>
      </c>
      <c r="F22" s="564">
        <f t="shared" si="7"/>
        <v>0.63231809814237794</v>
      </c>
      <c r="G22" s="149">
        <f t="shared" si="0"/>
        <v>537.45402565461211</v>
      </c>
      <c r="H22" s="149">
        <f t="shared" ref="H22:K22" si="16">SUM(($E22/5)+G22)*(1+$F$3)</f>
        <v>681.75133723650958</v>
      </c>
      <c r="I22" s="149">
        <f t="shared" si="16"/>
        <v>827.49162193422603</v>
      </c>
      <c r="J22" s="149">
        <f t="shared" si="16"/>
        <v>974.68930947891965</v>
      </c>
      <c r="K22" s="149">
        <f t="shared" si="16"/>
        <v>1123.3589738990599</v>
      </c>
      <c r="M22" s="145">
        <v>869.20824345605763</v>
      </c>
      <c r="N22" s="145">
        <f t="shared" si="2"/>
        <v>-218.43497556628233</v>
      </c>
      <c r="O22" s="563">
        <f t="shared" si="3"/>
        <v>469.30151614337751</v>
      </c>
      <c r="P22" s="564">
        <f t="shared" si="4"/>
        <v>0.53991839087649285</v>
      </c>
      <c r="Q22" s="145">
        <v>494.70762517035513</v>
      </c>
      <c r="R22" s="145">
        <v>595.40360825831044</v>
      </c>
      <c r="S22" s="145">
        <v>697.10655117714532</v>
      </c>
      <c r="T22" s="145">
        <v>799.82652352516857</v>
      </c>
      <c r="U22" s="145">
        <v>903.57369559667211</v>
      </c>
      <c r="W22" s="145">
        <v>873.91121660105523</v>
      </c>
      <c r="X22" s="145">
        <f t="shared" si="5"/>
        <v>-213.73200242128473</v>
      </c>
      <c r="Y22" s="565">
        <v>474.00448928837511</v>
      </c>
      <c r="Z22" s="31">
        <v>0.54239433054989672</v>
      </c>
      <c r="AA22" s="145">
        <v>494.70762517035513</v>
      </c>
      <c r="AB22" s="145">
        <v>595.40360825831044</v>
      </c>
      <c r="AC22" s="145">
        <v>697.10655117714532</v>
      </c>
      <c r="AD22" s="145">
        <v>799.82652352516857</v>
      </c>
      <c r="AE22" s="145">
        <v>903.57369559667211</v>
      </c>
    </row>
    <row r="23" spans="1:31" ht="15.75" customHeight="1" x14ac:dyDescent="0.45">
      <c r="A23" s="83" t="s">
        <v>90</v>
      </c>
      <c r="B23" s="65">
        <v>1802.7541358222402</v>
      </c>
      <c r="C23" s="83"/>
      <c r="D23" s="74">
        <v>3010.7403821504963</v>
      </c>
      <c r="E23" s="563">
        <f t="shared" si="6"/>
        <v>1207.9862463282561</v>
      </c>
      <c r="F23" s="564">
        <f t="shared" si="7"/>
        <v>0.40122564319724635</v>
      </c>
      <c r="G23" s="149">
        <f t="shared" si="0"/>
        <v>2044.3513850878915</v>
      </c>
      <c r="H23" s="149">
        <f t="shared" ref="H23:K23" si="17">SUM(($E23/5)+G23)*(1+$F$3)</f>
        <v>2308.8081206970783</v>
      </c>
      <c r="I23" s="149">
        <f t="shared" si="17"/>
        <v>2575.9094236623564</v>
      </c>
      <c r="J23" s="149">
        <f t="shared" si="17"/>
        <v>2845.6817396572874</v>
      </c>
      <c r="K23" s="149">
        <f t="shared" si="17"/>
        <v>3118.1517788121678</v>
      </c>
      <c r="M23" s="145">
        <v>3083.9292689623958</v>
      </c>
      <c r="N23" s="145">
        <f t="shared" si="2"/>
        <v>73.188886811899465</v>
      </c>
      <c r="O23" s="563">
        <f t="shared" si="3"/>
        <v>1281.1751331401556</v>
      </c>
      <c r="P23" s="564">
        <f t="shared" si="4"/>
        <v>0.41543596542057326</v>
      </c>
      <c r="Q23" s="145">
        <v>2111.1156761343791</v>
      </c>
      <c r="R23" s="145">
        <v>2443.6719886109831</v>
      </c>
      <c r="S23" s="145">
        <v>2779.5538642123533</v>
      </c>
      <c r="T23" s="145">
        <v>3118.7945585697371</v>
      </c>
      <c r="U23" s="145">
        <v>3461.4276598706947</v>
      </c>
      <c r="W23" s="145">
        <v>3344.5618373829343</v>
      </c>
      <c r="X23" s="145">
        <f t="shared" si="5"/>
        <v>333.82145523243798</v>
      </c>
      <c r="Y23" s="565">
        <v>1541.8077015606941</v>
      </c>
      <c r="Z23" s="31">
        <v>0.46098944391685515</v>
      </c>
      <c r="AA23" s="145">
        <v>2111.1156761343791</v>
      </c>
      <c r="AB23" s="145">
        <v>2443.6719886109831</v>
      </c>
      <c r="AC23" s="145">
        <v>2779.5538642123533</v>
      </c>
      <c r="AD23" s="145">
        <v>3118.7945585697371</v>
      </c>
      <c r="AE23" s="145">
        <v>3461.4276598706947</v>
      </c>
    </row>
    <row r="24" spans="1:31" ht="15.75" customHeight="1" x14ac:dyDescent="0.45">
      <c r="A24" s="95" t="s">
        <v>93</v>
      </c>
      <c r="B24" s="493">
        <v>1600.1198999999999</v>
      </c>
      <c r="C24" s="95"/>
      <c r="D24" s="74">
        <v>3938.8762774087618</v>
      </c>
      <c r="E24" s="563">
        <f t="shared" si="6"/>
        <v>2338.7563774087621</v>
      </c>
      <c r="F24" s="564">
        <f t="shared" si="7"/>
        <v>0.59376233542104084</v>
      </c>
      <c r="G24" s="149">
        <f t="shared" si="0"/>
        <v>2067.8711754817523</v>
      </c>
      <c r="H24" s="149">
        <f t="shared" ref="H24:K24" si="18">SUM(($E24/5)+G24)*(1+$F$3)</f>
        <v>2560.9786754731399</v>
      </c>
      <c r="I24" s="149">
        <f t="shared" si="18"/>
        <v>3059.0172504644415</v>
      </c>
      <c r="J24" s="149">
        <f t="shared" si="18"/>
        <v>3562.0362112056559</v>
      </c>
      <c r="K24" s="149">
        <f t="shared" si="18"/>
        <v>4070.0853615542828</v>
      </c>
      <c r="M24" s="145">
        <v>4208.8201104225463</v>
      </c>
      <c r="N24" s="145">
        <f t="shared" si="2"/>
        <v>269.94383301378457</v>
      </c>
      <c r="O24" s="563">
        <f t="shared" si="3"/>
        <v>2608.7002104225467</v>
      </c>
      <c r="P24" s="564">
        <f t="shared" si="4"/>
        <v>0.61981746474801103</v>
      </c>
      <c r="Q24" s="145">
        <v>2259.7098586163511</v>
      </c>
      <c r="R24" s="145">
        <v>2948.4928154050294</v>
      </c>
      <c r="S24" s="145">
        <v>3644.1636017615947</v>
      </c>
      <c r="T24" s="145">
        <v>4346.7910959817254</v>
      </c>
      <c r="U24" s="145">
        <v>5056.444865144058</v>
      </c>
      <c r="W24" s="145">
        <v>4898.0696930817558</v>
      </c>
      <c r="X24" s="145">
        <f t="shared" si="5"/>
        <v>959.19341567299398</v>
      </c>
      <c r="Y24" s="565">
        <v>3297.9497930817561</v>
      </c>
      <c r="Z24" s="31">
        <v>0.67331622449960693</v>
      </c>
      <c r="AA24" s="145">
        <v>2259.7098586163511</v>
      </c>
      <c r="AB24" s="145">
        <v>2948.4928154050294</v>
      </c>
      <c r="AC24" s="145">
        <v>3644.1636017615947</v>
      </c>
      <c r="AD24" s="145">
        <v>4346.7910959817254</v>
      </c>
      <c r="AE24" s="145">
        <v>5056.444865144058</v>
      </c>
    </row>
    <row r="25" spans="1:31" ht="15.75" customHeight="1" x14ac:dyDescent="0.45">
      <c r="A25" s="96" t="s">
        <v>95</v>
      </c>
      <c r="B25" s="65">
        <v>1333.0224243756002</v>
      </c>
      <c r="C25" s="83"/>
      <c r="D25" s="74">
        <v>1278.4280242458963</v>
      </c>
      <c r="E25" s="563">
        <f t="shared" si="6"/>
        <v>-54.594400129703899</v>
      </c>
      <c r="F25" s="564">
        <f t="shared" si="7"/>
        <v>-4.2704320536079761E-2</v>
      </c>
      <c r="G25" s="149">
        <f t="shared" si="0"/>
        <v>1322.1035443496594</v>
      </c>
      <c r="H25" s="149">
        <f t="shared" ref="H25:K25" si="19">SUM(($E25/5)+G25)*(1+$F$3)</f>
        <v>1324.2965109669558</v>
      </c>
      <c r="I25" s="149">
        <f t="shared" si="19"/>
        <v>1326.5114072504252</v>
      </c>
      <c r="J25" s="149">
        <f t="shared" si="19"/>
        <v>1328.7484524967292</v>
      </c>
      <c r="K25" s="149">
        <f t="shared" si="19"/>
        <v>1331.0078681954963</v>
      </c>
      <c r="M25" s="145">
        <v>1041.0412311430214</v>
      </c>
      <c r="N25" s="145">
        <f t="shared" si="2"/>
        <v>-237.38679310287489</v>
      </c>
      <c r="O25" s="563">
        <f t="shared" si="3"/>
        <v>-291.98119323257879</v>
      </c>
      <c r="P25" s="564">
        <f t="shared" si="4"/>
        <v>-0.28047034497566942</v>
      </c>
      <c r="Q25" s="145">
        <v>1293.4846129512894</v>
      </c>
      <c r="R25" s="145">
        <v>1266.4862695422485</v>
      </c>
      <c r="S25" s="145">
        <v>1239.217942699117</v>
      </c>
      <c r="T25" s="145">
        <v>1211.6769325875543</v>
      </c>
      <c r="U25" s="145">
        <v>1183.860512374876</v>
      </c>
      <c r="W25" s="145">
        <v>1135.3333672540466</v>
      </c>
      <c r="X25" s="145">
        <f t="shared" si="5"/>
        <v>-143.09465699184966</v>
      </c>
      <c r="Y25" s="565">
        <v>-197.68905712155356</v>
      </c>
      <c r="Z25" s="31">
        <v>-0.17412423771151075</v>
      </c>
      <c r="AA25" s="145">
        <v>1293.4846129512894</v>
      </c>
      <c r="AB25" s="145">
        <v>1266.4862695422485</v>
      </c>
      <c r="AC25" s="145">
        <v>1239.217942699117</v>
      </c>
      <c r="AD25" s="145">
        <v>1211.6769325875543</v>
      </c>
      <c r="AE25" s="145">
        <v>1183.860512374876</v>
      </c>
    </row>
    <row r="26" spans="1:31" ht="15.75" customHeight="1" x14ac:dyDescent="0.45">
      <c r="A26" s="83" t="s">
        <v>97</v>
      </c>
      <c r="B26" s="65">
        <v>1599.6269092507205</v>
      </c>
      <c r="C26" s="83"/>
      <c r="D26" s="74">
        <v>2022.7550405852962</v>
      </c>
      <c r="E26" s="563">
        <f t="shared" si="6"/>
        <v>423.12813133457576</v>
      </c>
      <c r="F26" s="564">
        <f t="shared" si="7"/>
        <v>0.20918406966972189</v>
      </c>
      <c r="G26" s="149">
        <f t="shared" si="0"/>
        <v>1684.2525355176356</v>
      </c>
      <c r="H26" s="149">
        <f t="shared" ref="H26:K26" si="20">SUM(($E26/5)+G26)*(1+$F$3)</f>
        <v>1786.5669434023962</v>
      </c>
      <c r="I26" s="149">
        <f t="shared" si="20"/>
        <v>1889.9044953660045</v>
      </c>
      <c r="J26" s="149">
        <f t="shared" si="20"/>
        <v>1994.2754228492488</v>
      </c>
      <c r="K26" s="149">
        <f t="shared" si="20"/>
        <v>2099.6900596073256</v>
      </c>
      <c r="M26" s="145">
        <v>1877.1126676787767</v>
      </c>
      <c r="N26" s="145">
        <f t="shared" si="2"/>
        <v>-145.64237290651954</v>
      </c>
      <c r="O26" s="563">
        <f t="shared" si="3"/>
        <v>277.48575842805622</v>
      </c>
      <c r="P26" s="564">
        <f t="shared" si="4"/>
        <v>0.14782584082776076</v>
      </c>
      <c r="Q26" s="145">
        <v>1699.2471404536777</v>
      </c>
      <c r="R26" s="145">
        <v>1816.8560453732014</v>
      </c>
      <c r="S26" s="145">
        <v>1935.6410393419203</v>
      </c>
      <c r="T26" s="145">
        <v>2055.6138832503266</v>
      </c>
      <c r="U26" s="145">
        <v>2176.7864555978167</v>
      </c>
      <c r="W26" s="145">
        <v>2097.7280652655063</v>
      </c>
      <c r="X26" s="145">
        <f t="shared" si="5"/>
        <v>74.973024680210074</v>
      </c>
      <c r="Y26" s="565">
        <v>498.10115601478583</v>
      </c>
      <c r="Z26" s="31">
        <v>0.23744791532440213</v>
      </c>
      <c r="AA26" s="145">
        <v>1699.2471404536777</v>
      </c>
      <c r="AB26" s="145">
        <v>1816.8560453732014</v>
      </c>
      <c r="AC26" s="145">
        <v>1935.6410393419203</v>
      </c>
      <c r="AD26" s="145">
        <v>2055.6138832503266</v>
      </c>
      <c r="AE26" s="145">
        <v>2176.7864555978167</v>
      </c>
    </row>
    <row r="27" spans="1:31" ht="15.75" customHeight="1" x14ac:dyDescent="0.45">
      <c r="A27" s="83" t="s">
        <v>99</v>
      </c>
      <c r="B27" s="65">
        <v>5431.5</v>
      </c>
      <c r="C27" s="83"/>
      <c r="D27" s="74">
        <v>4672.1808486766677</v>
      </c>
      <c r="E27" s="563">
        <f t="shared" si="6"/>
        <v>-759.31915132333233</v>
      </c>
      <c r="F27" s="564">
        <f t="shared" si="7"/>
        <v>-0.16251921231567892</v>
      </c>
      <c r="G27" s="149">
        <f t="shared" si="0"/>
        <v>5279.6361697353332</v>
      </c>
      <c r="H27" s="149">
        <f t="shared" ref="H27:K27" si="21">SUM(($E27/5)+G27)*(1+$F$3)</f>
        <v>5179.0500628653726</v>
      </c>
      <c r="I27" s="149">
        <f t="shared" si="21"/>
        <v>5077.4580949267129</v>
      </c>
      <c r="J27" s="149">
        <f t="shared" si="21"/>
        <v>4974.8502073086665</v>
      </c>
      <c r="K27" s="149">
        <f t="shared" si="21"/>
        <v>4871.2162408144395</v>
      </c>
      <c r="M27" s="145">
        <v>4796.2916148962177</v>
      </c>
      <c r="N27" s="145">
        <f t="shared" si="2"/>
        <v>124.11076621954999</v>
      </c>
      <c r="O27" s="563">
        <f t="shared" si="3"/>
        <v>-635.20838510378235</v>
      </c>
      <c r="P27" s="564">
        <f t="shared" si="4"/>
        <v>-0.13243739874593238</v>
      </c>
      <c r="Q27" s="145">
        <v>5255.2338360051026</v>
      </c>
      <c r="R27" s="145">
        <v>5129.7573487303071</v>
      </c>
      <c r="S27" s="145">
        <v>5003.0260965827638</v>
      </c>
      <c r="T27" s="145">
        <v>4875.0275319137454</v>
      </c>
      <c r="U27" s="145">
        <v>4745.7489815980362</v>
      </c>
      <c r="W27" s="145">
        <v>4550.1691800255112</v>
      </c>
      <c r="X27" s="145">
        <f t="shared" si="5"/>
        <v>-122.01166865115647</v>
      </c>
      <c r="Y27" s="565">
        <v>-881.3308199744888</v>
      </c>
      <c r="Z27" s="31">
        <v>-0.19369187937964705</v>
      </c>
      <c r="AA27" s="145">
        <v>5255.2338360051026</v>
      </c>
      <c r="AB27" s="145">
        <v>5129.7573487303071</v>
      </c>
      <c r="AC27" s="145">
        <v>5003.0260965827638</v>
      </c>
      <c r="AD27" s="145">
        <v>4875.0275319137454</v>
      </c>
      <c r="AE27" s="145">
        <v>4745.7489815980362</v>
      </c>
    </row>
    <row r="28" spans="1:31" ht="15.75" customHeight="1" x14ac:dyDescent="0.45">
      <c r="A28" s="83" t="s">
        <v>102</v>
      </c>
      <c r="B28" s="65">
        <v>1333.0224243756002</v>
      </c>
      <c r="C28" s="83"/>
      <c r="D28" s="74">
        <v>1161.289740720222</v>
      </c>
      <c r="E28" s="563">
        <f t="shared" si="6"/>
        <v>-171.7326836553782</v>
      </c>
      <c r="F28" s="564">
        <f t="shared" si="7"/>
        <v>-0.14788099613182759</v>
      </c>
      <c r="G28" s="149">
        <f t="shared" si="0"/>
        <v>1298.6758876445244</v>
      </c>
      <c r="H28" s="149">
        <f t="shared" ref="H28:K28" si="22">SUM(($E28/5)+G28)*(1+$F$3)</f>
        <v>1276.9726444225832</v>
      </c>
      <c r="I28" s="149">
        <f t="shared" si="22"/>
        <v>1255.0523687684226</v>
      </c>
      <c r="J28" s="149">
        <f t="shared" si="22"/>
        <v>1232.9128903577205</v>
      </c>
      <c r="K28" s="149">
        <f t="shared" si="22"/>
        <v>1210.5520171629112</v>
      </c>
      <c r="M28" s="145">
        <v>978.23164128904102</v>
      </c>
      <c r="N28" s="145">
        <f t="shared" si="2"/>
        <v>-183.05809943118095</v>
      </c>
      <c r="O28" s="563">
        <f t="shared" si="3"/>
        <v>-354.79078308655914</v>
      </c>
      <c r="P28" s="564">
        <f t="shared" si="4"/>
        <v>-0.36268585896387712</v>
      </c>
      <c r="Q28" s="145">
        <v>1246.3810996061652</v>
      </c>
      <c r="R28" s="145">
        <v>1171.3371725850975</v>
      </c>
      <c r="S28" s="145">
        <v>1095.5428062938192</v>
      </c>
      <c r="T28" s="145">
        <v>1018.9904963396283</v>
      </c>
      <c r="U28" s="145">
        <v>941.6726632858954</v>
      </c>
      <c r="W28" s="145">
        <v>899.81580052842571</v>
      </c>
      <c r="X28" s="145">
        <f t="shared" si="5"/>
        <v>-261.47394019179626</v>
      </c>
      <c r="Y28" s="565">
        <v>-433.20662384717446</v>
      </c>
      <c r="Z28" s="31">
        <v>-0.48143922744273837</v>
      </c>
      <c r="AA28" s="145">
        <v>1246.3810996061652</v>
      </c>
      <c r="AB28" s="145">
        <v>1171.3371725850975</v>
      </c>
      <c r="AC28" s="145">
        <v>1095.5428062938192</v>
      </c>
      <c r="AD28" s="145">
        <v>1018.9904963396283</v>
      </c>
      <c r="AE28" s="145">
        <v>941.6726632858954</v>
      </c>
    </row>
    <row r="29" spans="1:31" ht="15.75" customHeight="1" x14ac:dyDescent="0.45">
      <c r="A29" s="83" t="s">
        <v>104</v>
      </c>
      <c r="B29" s="65">
        <v>5431.5</v>
      </c>
      <c r="C29" s="83"/>
      <c r="D29" s="74">
        <v>6448.8451740934579</v>
      </c>
      <c r="E29" s="563">
        <f t="shared" si="6"/>
        <v>1017.3451740934579</v>
      </c>
      <c r="F29" s="564">
        <f t="shared" si="7"/>
        <v>0.15775617907224304</v>
      </c>
      <c r="G29" s="149">
        <f t="shared" si="0"/>
        <v>5634.9690348186914</v>
      </c>
      <c r="H29" s="149">
        <f t="shared" ref="H29:K29" si="23">SUM(($E29/5)+G29)*(1+$F$3)</f>
        <v>5896.8224503337569</v>
      </c>
      <c r="I29" s="149">
        <f t="shared" si="23"/>
        <v>6161.2944000039724</v>
      </c>
      <c r="J29" s="149">
        <f t="shared" si="23"/>
        <v>6428.4110691708902</v>
      </c>
      <c r="K29" s="149">
        <f t="shared" si="23"/>
        <v>6698.1989050294778</v>
      </c>
      <c r="M29" s="145">
        <v>6732.6322591469707</v>
      </c>
      <c r="N29" s="145">
        <f t="shared" si="2"/>
        <v>283.78708505351278</v>
      </c>
      <c r="O29" s="563">
        <f t="shared" si="3"/>
        <v>1301.1322591469707</v>
      </c>
      <c r="P29" s="564">
        <f t="shared" si="4"/>
        <v>0.19325758619583733</v>
      </c>
      <c r="Q29" s="145">
        <v>5762.2783950115263</v>
      </c>
      <c r="R29" s="145">
        <v>6153.9873579232835</v>
      </c>
      <c r="S29" s="145">
        <v>6549.6134104641578</v>
      </c>
      <c r="T29" s="145">
        <v>6949.1957235304408</v>
      </c>
      <c r="U29" s="145">
        <v>7352.7738597273865</v>
      </c>
      <c r="W29" s="145">
        <v>7085.3919750576333</v>
      </c>
      <c r="X29" s="145">
        <f t="shared" si="5"/>
        <v>636.54680096417542</v>
      </c>
      <c r="Y29" s="565">
        <v>1653.8919750576333</v>
      </c>
      <c r="Z29" s="31">
        <v>0.23342279169307079</v>
      </c>
      <c r="AA29" s="145">
        <v>5762.2783950115263</v>
      </c>
      <c r="AB29" s="145">
        <v>6153.9873579232835</v>
      </c>
      <c r="AC29" s="145">
        <v>6549.6134104641578</v>
      </c>
      <c r="AD29" s="145">
        <v>6949.1957235304408</v>
      </c>
      <c r="AE29" s="145">
        <v>7352.7738597273865</v>
      </c>
    </row>
    <row r="30" spans="1:31" ht="15.75" customHeight="1" x14ac:dyDescent="0.45">
      <c r="A30" s="58" t="s">
        <v>106</v>
      </c>
      <c r="B30" s="562">
        <v>1333.0224243756002</v>
      </c>
      <c r="C30" s="80"/>
      <c r="D30" s="74">
        <v>1366.1291944632899</v>
      </c>
      <c r="E30" s="563">
        <f t="shared" si="6"/>
        <v>33.106770087689711</v>
      </c>
      <c r="F30" s="564">
        <f t="shared" si="7"/>
        <v>2.42339964784197E-2</v>
      </c>
      <c r="G30" s="149">
        <f t="shared" si="0"/>
        <v>1339.6437783931381</v>
      </c>
      <c r="H30" s="149">
        <f t="shared" ref="H30:K30" si="24">SUM(($E30/5)+G30)*(1+$F$3)</f>
        <v>1359.7277837347826</v>
      </c>
      <c r="I30" s="149">
        <f t="shared" si="24"/>
        <v>1380.0126291298438</v>
      </c>
      <c r="J30" s="149">
        <f t="shared" si="24"/>
        <v>1400.5003229788556</v>
      </c>
      <c r="K30" s="149">
        <f t="shared" si="24"/>
        <v>1421.1928937663574</v>
      </c>
      <c r="M30" s="145">
        <v>1145.7858999185462</v>
      </c>
      <c r="N30" s="145">
        <f t="shared" si="2"/>
        <v>-220.34329454474369</v>
      </c>
      <c r="O30" s="563">
        <f t="shared" si="3"/>
        <v>-187.23652445705397</v>
      </c>
      <c r="P30" s="564">
        <f t="shared" si="4"/>
        <v>-0.163413186067628</v>
      </c>
      <c r="Q30" s="145">
        <v>1311.7440618097535</v>
      </c>
      <c r="R30" s="145">
        <v>1303.370356236346</v>
      </c>
      <c r="S30" s="145">
        <v>1294.9129136072042</v>
      </c>
      <c r="T30" s="145">
        <v>1286.3708965517712</v>
      </c>
      <c r="U30" s="145">
        <v>1277.7434593257838</v>
      </c>
      <c r="W30" s="145">
        <v>1226.6306115463669</v>
      </c>
      <c r="X30" s="145">
        <f t="shared" si="5"/>
        <v>-139.49858291692294</v>
      </c>
      <c r="Y30" s="565">
        <v>-106.39181282923323</v>
      </c>
      <c r="Z30" s="31">
        <v>-8.6735005492084599E-2</v>
      </c>
      <c r="AA30" s="145">
        <v>1311.7440618097535</v>
      </c>
      <c r="AB30" s="145">
        <v>1303.370356236346</v>
      </c>
      <c r="AC30" s="145">
        <v>1294.9129136072042</v>
      </c>
      <c r="AD30" s="145">
        <v>1286.3708965517712</v>
      </c>
      <c r="AE30" s="145">
        <v>1277.7434593257838</v>
      </c>
    </row>
    <row r="31" spans="1:31" ht="15.75" customHeight="1" x14ac:dyDescent="0.45">
      <c r="A31" s="83" t="s">
        <v>108</v>
      </c>
      <c r="B31" s="65">
        <v>399.90672731268012</v>
      </c>
      <c r="C31" s="83"/>
      <c r="D31" s="74">
        <v>1093.5478960096491</v>
      </c>
      <c r="E31" s="563">
        <f t="shared" si="6"/>
        <v>693.64116869696898</v>
      </c>
      <c r="F31" s="564">
        <f t="shared" si="7"/>
        <v>0.6343034184675973</v>
      </c>
      <c r="G31" s="149">
        <f t="shared" si="0"/>
        <v>538.63496105207389</v>
      </c>
      <c r="H31" s="149">
        <f t="shared" ref="H31:K31" si="25">SUM(($E31/5)+G31)*(1+$F$3)</f>
        <v>684.1368267393824</v>
      </c>
      <c r="I31" s="149">
        <f t="shared" si="25"/>
        <v>831.0937110835639</v>
      </c>
      <c r="J31" s="149">
        <f t="shared" si="25"/>
        <v>979.52016427118724</v>
      </c>
      <c r="K31" s="149">
        <f t="shared" si="25"/>
        <v>1129.4308819906869</v>
      </c>
      <c r="M31" s="145">
        <v>891.58012290430679</v>
      </c>
      <c r="N31" s="145">
        <f t="shared" si="2"/>
        <v>-201.9677731053423</v>
      </c>
      <c r="O31" s="563">
        <f t="shared" si="3"/>
        <v>491.67339559162667</v>
      </c>
      <c r="P31" s="564">
        <f t="shared" si="4"/>
        <v>0.55146293974119687</v>
      </c>
      <c r="Q31" s="145">
        <v>488.77172523002599</v>
      </c>
      <c r="R31" s="145">
        <v>583.4130903788456</v>
      </c>
      <c r="S31" s="145">
        <v>679.00086917915337</v>
      </c>
      <c r="T31" s="145">
        <v>775.54452576746417</v>
      </c>
      <c r="U31" s="145">
        <v>873.05361892165809</v>
      </c>
      <c r="W31" s="145">
        <v>844.23171689940943</v>
      </c>
      <c r="X31" s="145">
        <f t="shared" si="5"/>
        <v>-249.31617911023966</v>
      </c>
      <c r="Y31" s="565">
        <v>444.32498958672932</v>
      </c>
      <c r="Z31" s="31">
        <v>0.52630691395792562</v>
      </c>
      <c r="AA31" s="145">
        <v>488.77172523002599</v>
      </c>
      <c r="AB31" s="145">
        <v>583.4130903788456</v>
      </c>
      <c r="AC31" s="145">
        <v>679.00086917915337</v>
      </c>
      <c r="AD31" s="145">
        <v>775.54452576746417</v>
      </c>
      <c r="AE31" s="145">
        <v>873.05361892165809</v>
      </c>
    </row>
    <row r="32" spans="1:31" ht="15.75" customHeight="1" x14ac:dyDescent="0.45">
      <c r="A32" s="83" t="s">
        <v>110</v>
      </c>
      <c r="B32" s="65">
        <v>13330.224243756003</v>
      </c>
      <c r="C32" s="83"/>
      <c r="D32" s="74">
        <v>12681.842262310558</v>
      </c>
      <c r="E32" s="563">
        <f t="shared" si="6"/>
        <v>-648.38198144544549</v>
      </c>
      <c r="F32" s="564">
        <f t="shared" si="7"/>
        <v>-5.1126797513669282E-2</v>
      </c>
      <c r="G32" s="149">
        <f t="shared" si="0"/>
        <v>13200.547847466914</v>
      </c>
      <c r="H32" s="149">
        <f t="shared" ref="H32:K32" si="26">SUM(($E32/5)+G32)*(1+$F$3)</f>
        <v>13201.580165689604</v>
      </c>
      <c r="I32" s="149">
        <f t="shared" si="26"/>
        <v>13202.62280709452</v>
      </c>
      <c r="J32" s="149">
        <f t="shared" si="26"/>
        <v>13203.675874913486</v>
      </c>
      <c r="K32" s="149">
        <f t="shared" si="26"/>
        <v>13204.73947341064</v>
      </c>
      <c r="M32" s="145">
        <v>13307.881831984214</v>
      </c>
      <c r="N32" s="145">
        <f t="shared" si="2"/>
        <v>626.03956967365593</v>
      </c>
      <c r="O32" s="563">
        <f t="shared" si="3"/>
        <v>-22.342411771789557</v>
      </c>
      <c r="P32" s="564">
        <f t="shared" si="4"/>
        <v>-1.6788856449034375E-3</v>
      </c>
      <c r="Q32" s="145">
        <v>13516.18329775438</v>
      </c>
      <c r="R32" s="145">
        <v>13839.163775270285</v>
      </c>
      <c r="S32" s="145">
        <v>14165.374057561348</v>
      </c>
      <c r="T32" s="145">
        <v>14494.846442675322</v>
      </c>
      <c r="U32" s="145">
        <v>14827.613551640436</v>
      </c>
      <c r="W32" s="145">
        <v>14260.019513747884</v>
      </c>
      <c r="X32" s="145">
        <f t="shared" si="5"/>
        <v>1578.177251437326</v>
      </c>
      <c r="Y32" s="565">
        <v>929.79526999188056</v>
      </c>
      <c r="Z32" s="31">
        <v>6.5202945135907991E-2</v>
      </c>
      <c r="AA32" s="145">
        <v>13516.18329775438</v>
      </c>
      <c r="AB32" s="145">
        <v>13839.163775270285</v>
      </c>
      <c r="AC32" s="145">
        <v>14165.374057561348</v>
      </c>
      <c r="AD32" s="145">
        <v>14494.846442675322</v>
      </c>
      <c r="AE32" s="145">
        <v>14827.613551640436</v>
      </c>
    </row>
    <row r="33" spans="1:31" ht="15.75" customHeight="1" x14ac:dyDescent="0.45">
      <c r="A33" s="103" t="s">
        <v>112</v>
      </c>
      <c r="B33" s="486">
        <v>1333.0224243756002</v>
      </c>
      <c r="C33" s="103"/>
      <c r="D33" s="74">
        <v>1238.3805968590261</v>
      </c>
      <c r="E33" s="563">
        <f t="shared" si="6"/>
        <v>-94.64182751657404</v>
      </c>
      <c r="F33" s="564">
        <f t="shared" si="7"/>
        <v>-7.6423861740582327E-2</v>
      </c>
      <c r="G33" s="149">
        <f t="shared" si="0"/>
        <v>1314.0940588722854</v>
      </c>
      <c r="H33" s="149">
        <f t="shared" ref="H33:K33" si="27">SUM(($E33/5)+G33)*(1+$F$3)</f>
        <v>1308.1173503026603</v>
      </c>
      <c r="I33" s="149">
        <f t="shared" si="27"/>
        <v>1302.080874647339</v>
      </c>
      <c r="J33" s="149">
        <f t="shared" si="27"/>
        <v>1295.9840342354644</v>
      </c>
      <c r="K33" s="149">
        <f t="shared" si="27"/>
        <v>1289.826225419471</v>
      </c>
      <c r="M33" s="145">
        <v>1009.4329244780987</v>
      </c>
      <c r="N33" s="145">
        <f t="shared" si="2"/>
        <v>-228.94767238092743</v>
      </c>
      <c r="O33" s="563">
        <f t="shared" si="3"/>
        <v>-323.58949989750147</v>
      </c>
      <c r="P33" s="564">
        <f t="shared" si="4"/>
        <v>-0.32056562853327286</v>
      </c>
      <c r="Q33" s="145">
        <v>1268.6552547762062</v>
      </c>
      <c r="R33" s="145">
        <v>1216.3309660285804</v>
      </c>
      <c r="S33" s="145">
        <v>1163.4834343934783</v>
      </c>
      <c r="T33" s="145">
        <v>1110.1074274420253</v>
      </c>
      <c r="U33" s="145">
        <v>1056.1976604210577</v>
      </c>
      <c r="W33" s="145">
        <v>1011.1865763786304</v>
      </c>
      <c r="X33" s="145">
        <f t="shared" si="5"/>
        <v>-227.19402048039569</v>
      </c>
      <c r="Y33" s="565">
        <v>-321.83584799696973</v>
      </c>
      <c r="Z33" s="31">
        <v>-0.31827543552799398</v>
      </c>
      <c r="AA33" s="145">
        <v>1268.6552547762062</v>
      </c>
      <c r="AB33" s="145">
        <v>1216.3309660285804</v>
      </c>
      <c r="AC33" s="145">
        <v>1163.4834343934783</v>
      </c>
      <c r="AD33" s="145">
        <v>1110.1074274420253</v>
      </c>
      <c r="AE33" s="145">
        <v>1056.1976604210577</v>
      </c>
    </row>
    <row r="34" spans="1:31" ht="15.75" customHeight="1" x14ac:dyDescent="0.45">
      <c r="A34" s="83" t="s">
        <v>114</v>
      </c>
      <c r="B34" s="65">
        <v>13330.224243756003</v>
      </c>
      <c r="C34" s="83"/>
      <c r="D34" s="74">
        <v>18692.673620837908</v>
      </c>
      <c r="E34" s="563">
        <f t="shared" si="6"/>
        <v>5362.4493770819045</v>
      </c>
      <c r="F34" s="564">
        <f t="shared" si="7"/>
        <v>0.28687439185286168</v>
      </c>
      <c r="G34" s="149">
        <f t="shared" si="0"/>
        <v>14402.714119172384</v>
      </c>
      <c r="H34" s="149">
        <f t="shared" ref="H34:K34" si="28">SUM(($E34/5)+G34)*(1+$F$3)</f>
        <v>15629.956034534653</v>
      </c>
      <c r="I34" s="149">
        <f t="shared" si="28"/>
        <v>16869.470369050545</v>
      </c>
      <c r="J34" s="149">
        <f t="shared" si="28"/>
        <v>18121.379846911594</v>
      </c>
      <c r="K34" s="149">
        <f t="shared" si="28"/>
        <v>19385.808419551253</v>
      </c>
      <c r="M34" s="145">
        <v>19525.254591900015</v>
      </c>
      <c r="N34" s="145">
        <f t="shared" si="2"/>
        <v>832.58097106210698</v>
      </c>
      <c r="O34" s="563">
        <f t="shared" si="3"/>
        <v>6195.0303481440114</v>
      </c>
      <c r="P34" s="564">
        <f t="shared" si="4"/>
        <v>0.31728294855187184</v>
      </c>
      <c r="Q34" s="145">
        <v>14605.573891186268</v>
      </c>
      <c r="R34" s="145">
        <v>16039.732774002698</v>
      </c>
      <c r="S34" s="145">
        <v>17488.23324564729</v>
      </c>
      <c r="T34" s="145">
        <v>18951.218722008329</v>
      </c>
      <c r="U34" s="145">
        <v>20428.834053132978</v>
      </c>
      <c r="W34" s="145">
        <v>19706.972480907323</v>
      </c>
      <c r="X34" s="145">
        <f t="shared" si="5"/>
        <v>1014.2988600694152</v>
      </c>
      <c r="Y34" s="565">
        <v>6376.7482371513197</v>
      </c>
      <c r="Z34" s="31">
        <v>0.32357827887207408</v>
      </c>
      <c r="AA34" s="145">
        <v>14605.573891186268</v>
      </c>
      <c r="AB34" s="145">
        <v>16039.732774002698</v>
      </c>
      <c r="AC34" s="145">
        <v>17488.23324564729</v>
      </c>
      <c r="AD34" s="145">
        <v>18951.218722008329</v>
      </c>
      <c r="AE34" s="145">
        <v>20428.834053132978</v>
      </c>
    </row>
    <row r="35" spans="1:31" ht="15.75" customHeight="1" x14ac:dyDescent="0.45">
      <c r="A35" s="83" t="s">
        <v>116</v>
      </c>
      <c r="B35" s="65">
        <v>2666.0448487512003</v>
      </c>
      <c r="C35" s="83"/>
      <c r="D35" s="74">
        <v>2062.1099082008313</v>
      </c>
      <c r="E35" s="563">
        <f t="shared" si="6"/>
        <v>-603.93494055036899</v>
      </c>
      <c r="F35" s="564">
        <f t="shared" si="7"/>
        <v>-0.2928723334040404</v>
      </c>
      <c r="G35" s="149">
        <f t="shared" si="0"/>
        <v>2545.2578606411266</v>
      </c>
      <c r="H35" s="149">
        <f t="shared" ref="H35:K35" si="29">SUM(($E35/5)+G35)*(1+$F$3)</f>
        <v>2448.7155812563633</v>
      </c>
      <c r="I35" s="149">
        <f t="shared" si="29"/>
        <v>2351.2078790777523</v>
      </c>
      <c r="J35" s="149">
        <f t="shared" si="29"/>
        <v>2252.7250998773552</v>
      </c>
      <c r="K35" s="149">
        <f t="shared" si="29"/>
        <v>2153.2574928849544</v>
      </c>
      <c r="M35" s="145">
        <v>1969.74741479008</v>
      </c>
      <c r="N35" s="145">
        <f t="shared" si="2"/>
        <v>-92.362493410751313</v>
      </c>
      <c r="O35" s="563">
        <f t="shared" si="3"/>
        <v>-696.2974339611203</v>
      </c>
      <c r="P35" s="564">
        <f t="shared" si="4"/>
        <v>-0.3534957978535162</v>
      </c>
      <c r="Q35" s="145">
        <v>2517.8825455920401</v>
      </c>
      <c r="R35" s="145">
        <v>2393.4174448572085</v>
      </c>
      <c r="S35" s="145">
        <v>2267.7076931150286</v>
      </c>
      <c r="T35" s="145">
        <v>2140.7408438554271</v>
      </c>
      <c r="U35" s="145">
        <v>2012.5043261032295</v>
      </c>
      <c r="W35" s="145">
        <v>1925.2333329553994</v>
      </c>
      <c r="X35" s="145">
        <f t="shared" si="5"/>
        <v>-136.87657524543192</v>
      </c>
      <c r="Y35" s="565">
        <v>-740.81151579580091</v>
      </c>
      <c r="Z35" s="31">
        <v>-0.38479050986437641</v>
      </c>
      <c r="AA35" s="145">
        <v>2517.8825455920401</v>
      </c>
      <c r="AB35" s="145">
        <v>2393.4174448572085</v>
      </c>
      <c r="AC35" s="145">
        <v>2267.7076931150286</v>
      </c>
      <c r="AD35" s="145">
        <v>2140.7408438554271</v>
      </c>
      <c r="AE35" s="145">
        <v>2012.5043261032295</v>
      </c>
    </row>
    <row r="36" spans="1:31" ht="15.75" customHeight="1" x14ac:dyDescent="0.45">
      <c r="A36" s="105" t="s">
        <v>119</v>
      </c>
      <c r="B36" s="65">
        <v>1002.9406811968801</v>
      </c>
      <c r="C36" s="83"/>
      <c r="D36" s="74">
        <v>1176.1394865143816</v>
      </c>
      <c r="E36" s="563">
        <f t="shared" si="6"/>
        <v>173.19880531750152</v>
      </c>
      <c r="F36" s="564">
        <f t="shared" si="7"/>
        <v>0.14726042897411359</v>
      </c>
      <c r="G36" s="149">
        <f t="shared" si="0"/>
        <v>1037.5804422603803</v>
      </c>
      <c r="H36" s="149">
        <f t="shared" ref="H36:K36" si="30">SUM(($E36/5)+G36)*(1+$F$3)</f>
        <v>1082.9424053571195</v>
      </c>
      <c r="I36" s="149">
        <f t="shared" si="30"/>
        <v>1128.7579880848261</v>
      </c>
      <c r="J36" s="149">
        <f t="shared" si="30"/>
        <v>1175.0317266398097</v>
      </c>
      <c r="K36" s="149">
        <f t="shared" si="30"/>
        <v>1221.7682025803431</v>
      </c>
      <c r="M36" s="145">
        <v>991.19335091364553</v>
      </c>
      <c r="N36" s="145">
        <f t="shared" si="2"/>
        <v>-184.94613560073606</v>
      </c>
      <c r="O36" s="563">
        <f t="shared" si="3"/>
        <v>-11.747330283234533</v>
      </c>
      <c r="P36" s="564">
        <f t="shared" si="4"/>
        <v>-1.1851704082161444E-2</v>
      </c>
      <c r="Q36" s="145">
        <v>1002.0594417265045</v>
      </c>
      <c r="R36" s="145">
        <v>1011.1899842786902</v>
      </c>
      <c r="S36" s="145">
        <v>1020.4118322563977</v>
      </c>
      <c r="T36" s="145">
        <v>1029.7258987138823</v>
      </c>
      <c r="U36" s="145">
        <v>1039.1331058359419</v>
      </c>
      <c r="W36" s="145">
        <v>998.53448384500234</v>
      </c>
      <c r="X36" s="145">
        <f t="shared" si="5"/>
        <v>-177.60500266937925</v>
      </c>
      <c r="Y36" s="565">
        <v>-4.4061973518777222</v>
      </c>
      <c r="Z36" s="31">
        <v>-4.4126641825237905E-3</v>
      </c>
      <c r="AA36" s="145">
        <v>1002.0594417265045</v>
      </c>
      <c r="AB36" s="145">
        <v>1011.1899842786902</v>
      </c>
      <c r="AC36" s="145">
        <v>1020.4118322563977</v>
      </c>
      <c r="AD36" s="145">
        <v>1029.7258987138823</v>
      </c>
      <c r="AE36" s="145">
        <v>1039.1331058359419</v>
      </c>
    </row>
    <row r="37" spans="1:31" ht="15.75" customHeight="1" x14ac:dyDescent="0.45">
      <c r="A37" s="108" t="s">
        <v>121</v>
      </c>
      <c r="B37" s="486">
        <v>1600.1198999999999</v>
      </c>
      <c r="C37" s="103"/>
      <c r="D37" s="74">
        <v>1497.880742670714</v>
      </c>
      <c r="E37" s="563">
        <f t="shared" si="6"/>
        <v>-102.23915732928594</v>
      </c>
      <c r="F37" s="564">
        <f t="shared" si="7"/>
        <v>-6.8255872725217118E-2</v>
      </c>
      <c r="G37" s="149">
        <f t="shared" si="0"/>
        <v>1579.6720685341427</v>
      </c>
      <c r="H37" s="149">
        <f t="shared" ref="H37:K37" si="31">SUM(($E37/5)+G37)*(1+$F$3)</f>
        <v>1574.8164794389684</v>
      </c>
      <c r="I37" s="149">
        <f t="shared" si="31"/>
        <v>1569.9123344528423</v>
      </c>
      <c r="J37" s="149">
        <f t="shared" si="31"/>
        <v>1564.9591480168549</v>
      </c>
      <c r="K37" s="149">
        <f t="shared" si="31"/>
        <v>1559.9564297165077</v>
      </c>
      <c r="M37" s="145">
        <v>1243.068032045064</v>
      </c>
      <c r="N37" s="145">
        <f t="shared" si="2"/>
        <v>-254.81271062564997</v>
      </c>
      <c r="O37" s="563">
        <f t="shared" si="3"/>
        <v>-357.05186795493591</v>
      </c>
      <c r="P37" s="564">
        <f t="shared" si="4"/>
        <v>-0.28723437394454043</v>
      </c>
      <c r="Q37" s="145">
        <v>1542.7271738999448</v>
      </c>
      <c r="R37" s="145">
        <v>1500.1877922778885</v>
      </c>
      <c r="S37" s="145">
        <v>1457.2230168396118</v>
      </c>
      <c r="T37" s="145">
        <v>1413.8285936469522</v>
      </c>
      <c r="U37" s="145">
        <v>1370.0002262223661</v>
      </c>
      <c r="W37" s="145">
        <v>1313.1562694997247</v>
      </c>
      <c r="X37" s="145">
        <f t="shared" si="5"/>
        <v>-184.72447317098931</v>
      </c>
      <c r="Y37" s="565">
        <v>-286.96363050027526</v>
      </c>
      <c r="Z37" s="31">
        <v>-0.21852968848071697</v>
      </c>
      <c r="AA37" s="145">
        <v>1542.7271738999448</v>
      </c>
      <c r="AB37" s="145">
        <v>1500.1877922778885</v>
      </c>
      <c r="AC37" s="145">
        <v>1457.2230168396118</v>
      </c>
      <c r="AD37" s="145">
        <v>1413.8285936469522</v>
      </c>
      <c r="AE37" s="145">
        <v>1370.0002262223661</v>
      </c>
    </row>
    <row r="38" spans="1:31" ht="15.75" customHeight="1" x14ac:dyDescent="0.45">
      <c r="A38" s="83" t="s">
        <v>123</v>
      </c>
      <c r="B38" s="65">
        <v>399.90672731268012</v>
      </c>
      <c r="C38" s="83"/>
      <c r="D38" s="74">
        <v>952.16064924367276</v>
      </c>
      <c r="E38" s="563">
        <f t="shared" si="6"/>
        <v>552.25392193099265</v>
      </c>
      <c r="F38" s="564">
        <f t="shared" si="7"/>
        <v>0.58000078281922596</v>
      </c>
      <c r="G38" s="149">
        <f t="shared" si="0"/>
        <v>510.35751169887862</v>
      </c>
      <c r="H38" s="149">
        <f t="shared" ref="H38:K38" si="32">SUM(($E38/5)+G38)*(1+$F$3)</f>
        <v>627.01637904592792</v>
      </c>
      <c r="I38" s="149">
        <f t="shared" si="32"/>
        <v>744.84183506644774</v>
      </c>
      <c r="J38" s="149">
        <f t="shared" si="32"/>
        <v>863.84554564717268</v>
      </c>
      <c r="K38" s="149">
        <f t="shared" si="32"/>
        <v>984.0392933337049</v>
      </c>
      <c r="M38" s="145">
        <v>650.71334822697224</v>
      </c>
      <c r="N38" s="145">
        <f t="shared" si="2"/>
        <v>-301.44730101670052</v>
      </c>
      <c r="O38" s="563">
        <f t="shared" si="3"/>
        <v>250.80662091429213</v>
      </c>
      <c r="P38" s="564">
        <f t="shared" si="4"/>
        <v>0.38543334265030238</v>
      </c>
      <c r="Q38" s="145">
        <v>456.9892516110973</v>
      </c>
      <c r="R38" s="145">
        <v>519.21249366860968</v>
      </c>
      <c r="S38" s="145">
        <v>582.05796814669714</v>
      </c>
      <c r="T38" s="145">
        <v>645.53189736956551</v>
      </c>
      <c r="U38" s="145">
        <v>709.64056588466258</v>
      </c>
      <c r="W38" s="145">
        <v>685.31934880476615</v>
      </c>
      <c r="X38" s="145">
        <f t="shared" si="5"/>
        <v>-266.84130043890661</v>
      </c>
      <c r="Y38" s="565">
        <v>285.41262149208603</v>
      </c>
      <c r="Z38" s="31">
        <v>0.41646660347451303</v>
      </c>
      <c r="AA38" s="145">
        <v>456.9892516110973</v>
      </c>
      <c r="AB38" s="145">
        <v>519.21249366860968</v>
      </c>
      <c r="AC38" s="145">
        <v>582.05796814669714</v>
      </c>
      <c r="AD38" s="145">
        <v>645.53189736956551</v>
      </c>
      <c r="AE38" s="145">
        <v>709.64056588466258</v>
      </c>
    </row>
    <row r="39" spans="1:31" ht="15.75" customHeight="1" x14ac:dyDescent="0.45">
      <c r="A39" s="83" t="s">
        <v>125</v>
      </c>
      <c r="B39" s="65">
        <v>1600.1198999999999</v>
      </c>
      <c r="C39" s="83"/>
      <c r="D39" s="74">
        <v>2645.9750712042833</v>
      </c>
      <c r="E39" s="563">
        <f t="shared" si="6"/>
        <v>1045.8551712042834</v>
      </c>
      <c r="F39" s="564">
        <f t="shared" si="7"/>
        <v>0.39526266992692233</v>
      </c>
      <c r="G39" s="149">
        <f t="shared" si="0"/>
        <v>1809.2909342408566</v>
      </c>
      <c r="H39" s="149">
        <f t="shared" ref="H39:K39" si="33">SUM(($E39/5)+G39)*(1+$F$3)</f>
        <v>2038.6465881665304</v>
      </c>
      <c r="I39" s="149">
        <f t="shared" si="33"/>
        <v>2270.2957986314609</v>
      </c>
      <c r="J39" s="149">
        <f t="shared" si="33"/>
        <v>2504.2615012010406</v>
      </c>
      <c r="K39" s="149">
        <f t="shared" si="33"/>
        <v>2740.5668607963162</v>
      </c>
      <c r="M39" s="145">
        <v>2638.9067734448554</v>
      </c>
      <c r="N39" s="145">
        <f t="shared" si="2"/>
        <v>-7.0682977594278782</v>
      </c>
      <c r="O39" s="563">
        <f t="shared" si="3"/>
        <v>1038.7868734448555</v>
      </c>
      <c r="P39" s="564">
        <f t="shared" si="4"/>
        <v>0.39364288420420879</v>
      </c>
      <c r="Q39" s="145">
        <v>1862.7707879293976</v>
      </c>
      <c r="R39" s="145">
        <v>2146.6758926173834</v>
      </c>
      <c r="S39" s="145">
        <v>2433.4200483522491</v>
      </c>
      <c r="T39" s="145">
        <v>2723.0316456444634</v>
      </c>
      <c r="U39" s="145">
        <v>3015.5393589095997</v>
      </c>
      <c r="W39" s="145">
        <v>2913.3743396469881</v>
      </c>
      <c r="X39" s="145">
        <f t="shared" si="5"/>
        <v>267.39926844270485</v>
      </c>
      <c r="Y39" s="565">
        <v>1313.2544396469882</v>
      </c>
      <c r="Z39" s="31">
        <v>0.45076749038920777</v>
      </c>
      <c r="AA39" s="145">
        <v>1862.7707879293976</v>
      </c>
      <c r="AB39" s="145">
        <v>2146.6758926173834</v>
      </c>
      <c r="AC39" s="145">
        <v>2433.4200483522491</v>
      </c>
      <c r="AD39" s="145">
        <v>2723.0316456444634</v>
      </c>
      <c r="AE39" s="145">
        <v>3015.5393589095997</v>
      </c>
    </row>
    <row r="40" spans="1:31" ht="15.75" customHeight="1" x14ac:dyDescent="0.45">
      <c r="A40" s="95" t="s">
        <v>127</v>
      </c>
      <c r="B40" s="493">
        <v>399.90672731268012</v>
      </c>
      <c r="C40" s="95"/>
      <c r="D40" s="74">
        <v>906.69618783623071</v>
      </c>
      <c r="E40" s="563">
        <f t="shared" si="6"/>
        <v>506.78946052355059</v>
      </c>
      <c r="F40" s="564">
        <f t="shared" si="7"/>
        <v>0.55894076463800901</v>
      </c>
      <c r="G40" s="149">
        <f t="shared" si="0"/>
        <v>501.26461941739024</v>
      </c>
      <c r="H40" s="149">
        <f t="shared" ref="H40:K40" si="34">SUM(($E40/5)+G40)*(1+$F$3)</f>
        <v>608.64873663732135</v>
      </c>
      <c r="I40" s="149">
        <f t="shared" si="34"/>
        <v>717.10669502945177</v>
      </c>
      <c r="J40" s="149">
        <f t="shared" si="34"/>
        <v>826.64923300550356</v>
      </c>
      <c r="K40" s="149">
        <f t="shared" si="34"/>
        <v>937.28719636131586</v>
      </c>
      <c r="M40" s="145">
        <v>588.70561348507408</v>
      </c>
      <c r="N40" s="145">
        <f t="shared" si="2"/>
        <v>-317.99057435115662</v>
      </c>
      <c r="O40" s="563">
        <f t="shared" si="3"/>
        <v>188.79888617239396</v>
      </c>
      <c r="P40" s="564">
        <f t="shared" si="4"/>
        <v>0.32070169172453583</v>
      </c>
      <c r="Q40" s="145">
        <v>438.18504868850499</v>
      </c>
      <c r="R40" s="145">
        <v>481.22800376497315</v>
      </c>
      <c r="S40" s="145">
        <v>524.70138839220601</v>
      </c>
      <c r="T40" s="145">
        <v>568.6095068657113</v>
      </c>
      <c r="U40" s="145">
        <v>612.95670652395154</v>
      </c>
      <c r="W40" s="145">
        <v>591.29833419180454</v>
      </c>
      <c r="X40" s="145">
        <f t="shared" si="5"/>
        <v>-315.39785364442616</v>
      </c>
      <c r="Y40" s="565">
        <v>191.39160687912442</v>
      </c>
      <c r="Z40" s="31">
        <v>0.32368027408824235</v>
      </c>
      <c r="AA40" s="145">
        <v>438.18504868850499</v>
      </c>
      <c r="AB40" s="145">
        <v>481.22800376497315</v>
      </c>
      <c r="AC40" s="145">
        <v>524.70138839220601</v>
      </c>
      <c r="AD40" s="145">
        <v>568.6095068657113</v>
      </c>
      <c r="AE40" s="145">
        <v>612.95670652395154</v>
      </c>
    </row>
    <row r="41" spans="1:31" ht="15.75" customHeight="1" x14ac:dyDescent="0.45">
      <c r="A41" s="86" t="s">
        <v>129</v>
      </c>
      <c r="B41" s="65">
        <v>5332.0896975024007</v>
      </c>
      <c r="C41" s="86"/>
      <c r="D41" s="74">
        <v>1410.5002776389381</v>
      </c>
      <c r="E41" s="563">
        <f t="shared" si="6"/>
        <v>-3921.5894198634624</v>
      </c>
      <c r="F41" s="564">
        <f t="shared" si="7"/>
        <v>-2.7802826288186782</v>
      </c>
      <c r="G41" s="149">
        <f t="shared" si="0"/>
        <v>4547.7718135297082</v>
      </c>
      <c r="H41" s="149">
        <f t="shared" ref="H41:K41" si="35">SUM(($E41/5)+G41)*(1+$F$3)</f>
        <v>3801.0884688525857</v>
      </c>
      <c r="I41" s="149">
        <f t="shared" si="35"/>
        <v>3046.9382907286922</v>
      </c>
      <c r="J41" s="149">
        <f t="shared" si="35"/>
        <v>2285.2466108235599</v>
      </c>
      <c r="K41" s="149">
        <f t="shared" si="35"/>
        <v>1515.938014119376</v>
      </c>
      <c r="M41" s="145">
        <v>1086.1742199912285</v>
      </c>
      <c r="N41" s="145">
        <f t="shared" si="2"/>
        <v>-324.3260576477096</v>
      </c>
      <c r="O41" s="563">
        <f t="shared" si="3"/>
        <v>-4245.915477511172</v>
      </c>
      <c r="P41" s="564">
        <f t="shared" si="4"/>
        <v>-3.9090556554964637</v>
      </c>
      <c r="Q41" s="145">
        <v>4448.5969197528793</v>
      </c>
      <c r="R41" s="145">
        <v>3600.7551834233909</v>
      </c>
      <c r="S41" s="145">
        <v>2744.4350297306078</v>
      </c>
      <c r="T41" s="145">
        <v>1879.5516745008968</v>
      </c>
      <c r="U41" s="145">
        <v>1006.0194857188889</v>
      </c>
      <c r="W41" s="145">
        <v>914.62580875479171</v>
      </c>
      <c r="X41" s="145">
        <f t="shared" si="5"/>
        <v>-495.87446888414638</v>
      </c>
      <c r="Y41" s="565">
        <v>-4417.4638887476085</v>
      </c>
      <c r="Z41" s="31">
        <v>-4.8298045457100329</v>
      </c>
      <c r="AA41" s="145">
        <v>4448.5969197528793</v>
      </c>
      <c r="AB41" s="145">
        <v>3600.7551834233909</v>
      </c>
      <c r="AC41" s="145">
        <v>2744.4350297306078</v>
      </c>
      <c r="AD41" s="145">
        <v>1879.5516745008968</v>
      </c>
      <c r="AE41" s="145">
        <v>1006.0194857188889</v>
      </c>
    </row>
    <row r="42" spans="1:31" ht="15.75" customHeight="1" x14ac:dyDescent="0.45">
      <c r="A42" s="83" t="s">
        <v>131</v>
      </c>
      <c r="B42" s="65">
        <v>13330.224243756003</v>
      </c>
      <c r="C42" s="83"/>
      <c r="D42" s="74">
        <v>16181.459694462759</v>
      </c>
      <c r="E42" s="563">
        <f t="shared" si="6"/>
        <v>2851.2354507067557</v>
      </c>
      <c r="F42" s="564">
        <f t="shared" si="7"/>
        <v>0.17620384715245677</v>
      </c>
      <c r="G42" s="149">
        <f t="shared" si="0"/>
        <v>13900.471333897354</v>
      </c>
      <c r="H42" s="149">
        <f t="shared" ref="H42:K42" si="36">SUM(($E42/5)+G42)*(1+$F$3)</f>
        <v>14615.425608279093</v>
      </c>
      <c r="I42" s="149">
        <f t="shared" si="36"/>
        <v>15337.529425404648</v>
      </c>
      <c r="J42" s="149">
        <f t="shared" si="36"/>
        <v>16066.854280701458</v>
      </c>
      <c r="K42" s="149">
        <f t="shared" si="36"/>
        <v>16803.472384551238</v>
      </c>
      <c r="M42" s="145">
        <v>17677.024521492131</v>
      </c>
      <c r="N42" s="145">
        <f t="shared" si="2"/>
        <v>1495.5648270293714</v>
      </c>
      <c r="O42" s="563">
        <f t="shared" si="3"/>
        <v>4346.8002777361271</v>
      </c>
      <c r="P42" s="564">
        <f t="shared" si="4"/>
        <v>0.24590112846487189</v>
      </c>
      <c r="Q42" s="145">
        <v>14602.52253679784</v>
      </c>
      <c r="R42" s="145">
        <v>16033.569038138074</v>
      </c>
      <c r="S42" s="145">
        <v>17478.92600449171</v>
      </c>
      <c r="T42" s="145">
        <v>18938.736540508882</v>
      </c>
      <c r="U42" s="145">
        <v>20413.145181886226</v>
      </c>
      <c r="W42" s="145">
        <v>19691.715708965188</v>
      </c>
      <c r="X42" s="145">
        <f t="shared" si="5"/>
        <v>3510.256014502429</v>
      </c>
      <c r="Y42" s="565">
        <v>6361.4914652091848</v>
      </c>
      <c r="Z42" s="31">
        <v>0.32305420001127394</v>
      </c>
      <c r="AA42" s="145">
        <v>14602.52253679784</v>
      </c>
      <c r="AB42" s="145">
        <v>16033.569038138074</v>
      </c>
      <c r="AC42" s="145">
        <v>17478.92600449171</v>
      </c>
      <c r="AD42" s="145">
        <v>18938.736540508882</v>
      </c>
      <c r="AE42" s="145">
        <v>20413.145181886226</v>
      </c>
    </row>
    <row r="43" spans="1:31" ht="15.75" customHeight="1" x14ac:dyDescent="0.45">
      <c r="A43" s="83" t="s">
        <v>133</v>
      </c>
      <c r="B43" s="65">
        <v>10638.788491683363</v>
      </c>
      <c r="C43" s="83"/>
      <c r="D43" s="74">
        <v>7022.0516127088576</v>
      </c>
      <c r="E43" s="563">
        <f t="shared" si="6"/>
        <v>-3616.7368789745051</v>
      </c>
      <c r="F43" s="564">
        <f t="shared" si="7"/>
        <v>-0.51505415773771235</v>
      </c>
      <c r="G43" s="149">
        <f t="shared" si="0"/>
        <v>9915.4411158884614</v>
      </c>
      <c r="H43" s="149">
        <f t="shared" ref="H43:K43" si="37">SUM(($E43/5)+G43)*(1+$F$3)</f>
        <v>9284.0146774944951</v>
      </c>
      <c r="I43" s="149">
        <f t="shared" si="37"/>
        <v>8646.2739747165906</v>
      </c>
      <c r="J43" s="149">
        <f t="shared" si="37"/>
        <v>8002.1558649109065</v>
      </c>
      <c r="K43" s="149">
        <f t="shared" si="37"/>
        <v>7351.5965740071651</v>
      </c>
      <c r="M43" s="145">
        <v>7664.4376554702949</v>
      </c>
      <c r="N43" s="145">
        <f t="shared" si="2"/>
        <v>642.38604276143724</v>
      </c>
      <c r="O43" s="563">
        <f t="shared" si="3"/>
        <v>-2974.3508362130679</v>
      </c>
      <c r="P43" s="564">
        <f t="shared" si="4"/>
        <v>-0.38807163289927754</v>
      </c>
      <c r="Q43" s="145">
        <v>10167.653761779577</v>
      </c>
      <c r="R43" s="145">
        <v>9793.4842221945491</v>
      </c>
      <c r="S43" s="145">
        <v>9415.5729872136708</v>
      </c>
      <c r="T43" s="145">
        <v>9033.8826398829842</v>
      </c>
      <c r="U43" s="145">
        <v>8648.3753890789903</v>
      </c>
      <c r="W43" s="145">
        <v>8283.114842164432</v>
      </c>
      <c r="X43" s="145">
        <f t="shared" si="5"/>
        <v>1261.0632294555744</v>
      </c>
      <c r="Y43" s="565">
        <v>-2355.6736495189307</v>
      </c>
      <c r="Z43" s="31">
        <v>-0.28439466244360045</v>
      </c>
      <c r="AA43" s="145">
        <v>10167.653761779577</v>
      </c>
      <c r="AB43" s="145">
        <v>9793.4842221945491</v>
      </c>
      <c r="AC43" s="145">
        <v>9415.5729872136708</v>
      </c>
      <c r="AD43" s="145">
        <v>9033.8826398829842</v>
      </c>
      <c r="AE43" s="145">
        <v>8648.3753890789903</v>
      </c>
    </row>
    <row r="44" spans="1:31" ht="15.75" customHeight="1" x14ac:dyDescent="0.45">
      <c r="A44" s="80" t="s">
        <v>136</v>
      </c>
      <c r="B44" s="562">
        <v>10638.788491683363</v>
      </c>
      <c r="C44" s="80"/>
      <c r="D44" s="74">
        <v>7518.3398848271345</v>
      </c>
      <c r="E44" s="563">
        <f t="shared" si="6"/>
        <v>-3120.4486068562283</v>
      </c>
      <c r="F44" s="564">
        <f t="shared" si="7"/>
        <v>-0.41504489749840234</v>
      </c>
      <c r="G44" s="149">
        <f t="shared" si="0"/>
        <v>10014.698770312118</v>
      </c>
      <c r="H44" s="149">
        <f t="shared" ref="H44:K44" si="38">SUM(($E44/5)+G44)*(1+$F$3)</f>
        <v>9484.5151394302811</v>
      </c>
      <c r="I44" s="149">
        <f t="shared" si="38"/>
        <v>8949.029672239627</v>
      </c>
      <c r="J44" s="149">
        <f t="shared" si="38"/>
        <v>8408.1893503770661</v>
      </c>
      <c r="K44" s="149">
        <f t="shared" si="38"/>
        <v>7861.9406252958788</v>
      </c>
      <c r="M44" s="145">
        <v>7838.2856951375452</v>
      </c>
      <c r="N44" s="145">
        <f t="shared" si="2"/>
        <v>319.94581031041071</v>
      </c>
      <c r="O44" s="563">
        <f t="shared" si="3"/>
        <v>-2800.5027965458175</v>
      </c>
      <c r="P44" s="564">
        <f t="shared" si="4"/>
        <v>-0.35728511379511213</v>
      </c>
      <c r="Q44" s="145">
        <v>10155.410967452553</v>
      </c>
      <c r="R44" s="145">
        <v>9768.7537776539612</v>
      </c>
      <c r="S44" s="145">
        <v>9378.2300159573842</v>
      </c>
      <c r="T44" s="145">
        <v>8983.8010166438416</v>
      </c>
      <c r="U44" s="145">
        <v>8585.4277273371627</v>
      </c>
      <c r="W44" s="145">
        <v>8221.9008705293163</v>
      </c>
      <c r="X44" s="145">
        <f t="shared" si="5"/>
        <v>703.56098570218182</v>
      </c>
      <c r="Y44" s="565">
        <v>-2416.8876211540464</v>
      </c>
      <c r="Z44" s="31">
        <v>-0.29395728058667897</v>
      </c>
      <c r="AA44" s="145">
        <v>10155.410967452553</v>
      </c>
      <c r="AB44" s="145">
        <v>9768.7537776539612</v>
      </c>
      <c r="AC44" s="145">
        <v>9378.2300159573842</v>
      </c>
      <c r="AD44" s="145">
        <v>8983.8010166438416</v>
      </c>
      <c r="AE44" s="145">
        <v>8585.4277273371627</v>
      </c>
    </row>
    <row r="45" spans="1:31" ht="15.75" customHeight="1" x14ac:dyDescent="0.45">
      <c r="A45" s="96" t="s">
        <v>138</v>
      </c>
      <c r="B45" s="65">
        <v>1333.0224243756002</v>
      </c>
      <c r="C45" s="83"/>
      <c r="D45" s="74">
        <v>1337.7135801916181</v>
      </c>
      <c r="E45" s="563">
        <f t="shared" si="6"/>
        <v>4.6911558160179538</v>
      </c>
      <c r="F45" s="564">
        <f t="shared" si="7"/>
        <v>3.5068462229007041E-3</v>
      </c>
      <c r="G45" s="149">
        <f t="shared" si="0"/>
        <v>1333.9606555388038</v>
      </c>
      <c r="H45" s="149">
        <f t="shared" ref="H45:K45" si="39">SUM(($E45/5)+G45)*(1+$F$3)</f>
        <v>1348.2478755690277</v>
      </c>
      <c r="I45" s="149">
        <f t="shared" si="39"/>
        <v>1362.6779677995537</v>
      </c>
      <c r="J45" s="149">
        <f t="shared" si="39"/>
        <v>1377.2523609523851</v>
      </c>
      <c r="K45" s="149">
        <f t="shared" si="39"/>
        <v>1391.9724980367446</v>
      </c>
      <c r="M45" s="145">
        <v>1066.0053956209174</v>
      </c>
      <c r="N45" s="145">
        <f t="shared" si="2"/>
        <v>-271.70818457070072</v>
      </c>
      <c r="O45" s="563">
        <f t="shared" si="3"/>
        <v>-267.01702875468277</v>
      </c>
      <c r="P45" s="564">
        <f t="shared" si="4"/>
        <v>-0.25048374975546261</v>
      </c>
      <c r="Q45" s="145">
        <v>1274.1461430515151</v>
      </c>
      <c r="R45" s="145">
        <v>1227.4225603447044</v>
      </c>
      <c r="S45" s="145">
        <v>1180.2317418108255</v>
      </c>
      <c r="T45" s="145">
        <v>1132.5690150916078</v>
      </c>
      <c r="U45" s="145">
        <v>1084.429661105198</v>
      </c>
      <c r="W45" s="145">
        <v>1038.6410177551743</v>
      </c>
      <c r="X45" s="145">
        <f t="shared" si="5"/>
        <v>-299.07256243644383</v>
      </c>
      <c r="Y45" s="565">
        <v>-294.38140662042588</v>
      </c>
      <c r="Z45" s="31">
        <v>-0.28342940591415838</v>
      </c>
      <c r="AA45" s="145">
        <v>1274.1461430515151</v>
      </c>
      <c r="AB45" s="145">
        <v>1227.4225603447044</v>
      </c>
      <c r="AC45" s="145">
        <v>1180.2317418108255</v>
      </c>
      <c r="AD45" s="145">
        <v>1132.5690150916078</v>
      </c>
      <c r="AE45" s="145">
        <v>1084.429661105198</v>
      </c>
    </row>
    <row r="46" spans="1:31" ht="15.75" customHeight="1" x14ac:dyDescent="0.45">
      <c r="A46" s="83" t="s">
        <v>140</v>
      </c>
      <c r="B46" s="65">
        <v>1802.7541358222402</v>
      </c>
      <c r="C46" s="83"/>
      <c r="D46" s="74">
        <v>3427.4928106834664</v>
      </c>
      <c r="E46" s="563">
        <f t="shared" si="6"/>
        <v>1624.7386748612262</v>
      </c>
      <c r="F46" s="564">
        <f t="shared" si="7"/>
        <v>0.47403124225291715</v>
      </c>
      <c r="G46" s="149">
        <f t="shared" si="0"/>
        <v>2127.7018707944853</v>
      </c>
      <c r="H46" s="149">
        <f t="shared" ref="H46:K46" si="40">SUM(($E46/5)+G46)*(1+$F$3)</f>
        <v>2477.1761018243978</v>
      </c>
      <c r="I46" s="149">
        <f t="shared" si="40"/>
        <v>2830.1450751646094</v>
      </c>
      <c r="J46" s="149">
        <f t="shared" si="40"/>
        <v>3186.6437382382232</v>
      </c>
      <c r="K46" s="149">
        <f t="shared" si="40"/>
        <v>3546.707387942573</v>
      </c>
      <c r="M46" s="145">
        <v>3568.5051924292529</v>
      </c>
      <c r="N46" s="145">
        <f t="shared" si="2"/>
        <v>141.01238174578657</v>
      </c>
      <c r="O46" s="563">
        <f t="shared" si="3"/>
        <v>1765.7510566070127</v>
      </c>
      <c r="P46" s="564">
        <f t="shared" si="4"/>
        <v>0.49481532501427611</v>
      </c>
      <c r="Q46" s="145">
        <v>2191.4331099478918</v>
      </c>
      <c r="R46" s="145">
        <v>2605.913204914279</v>
      </c>
      <c r="S46" s="145">
        <v>3024.5381008303302</v>
      </c>
      <c r="T46" s="145">
        <v>3447.3492457055418</v>
      </c>
      <c r="U46" s="145">
        <v>3874.3885020295052</v>
      </c>
      <c r="W46" s="145">
        <v>3746.1490064504983</v>
      </c>
      <c r="X46" s="145">
        <f t="shared" si="5"/>
        <v>318.65619576703193</v>
      </c>
      <c r="Y46" s="565">
        <v>1943.3948706282581</v>
      </c>
      <c r="Z46" s="31">
        <v>0.51877137489243597</v>
      </c>
      <c r="AA46" s="145">
        <v>2191.4331099478918</v>
      </c>
      <c r="AB46" s="145">
        <v>2605.913204914279</v>
      </c>
      <c r="AC46" s="145">
        <v>3024.5381008303302</v>
      </c>
      <c r="AD46" s="145">
        <v>3447.3492457055418</v>
      </c>
      <c r="AE46" s="145">
        <v>3874.3885020295052</v>
      </c>
    </row>
    <row r="47" spans="1:31" ht="15.75" customHeight="1" x14ac:dyDescent="0.45">
      <c r="A47" s="83" t="s">
        <v>142</v>
      </c>
      <c r="B47" s="65">
        <v>13330.224243756003</v>
      </c>
      <c r="C47" s="83"/>
      <c r="D47" s="74">
        <v>13882.610861335197</v>
      </c>
      <c r="E47" s="563">
        <f t="shared" si="6"/>
        <v>552.38661757919363</v>
      </c>
      <c r="F47" s="564">
        <f t="shared" si="7"/>
        <v>3.9789822180902532E-2</v>
      </c>
      <c r="G47" s="149">
        <f t="shared" si="0"/>
        <v>13440.701567271843</v>
      </c>
      <c r="H47" s="149">
        <f t="shared" ref="H47:K47" si="41">SUM(($E47/5)+G47)*(1+$F$3)</f>
        <v>13686.690679695559</v>
      </c>
      <c r="I47" s="149">
        <f t="shared" si="41"/>
        <v>13935.139683243513</v>
      </c>
      <c r="J47" s="149">
        <f t="shared" si="41"/>
        <v>14186.073176826945</v>
      </c>
      <c r="K47" s="149">
        <f t="shared" si="41"/>
        <v>14439.516005346211</v>
      </c>
      <c r="M47" s="145">
        <v>14907.654495724415</v>
      </c>
      <c r="N47" s="145">
        <f t="shared" si="2"/>
        <v>1025.0436343892179</v>
      </c>
      <c r="O47" s="563">
        <f t="shared" si="3"/>
        <v>1577.4302519684115</v>
      </c>
      <c r="P47" s="564">
        <f t="shared" si="4"/>
        <v>0.10581344318254933</v>
      </c>
      <c r="Q47" s="145">
        <v>13503.624034484426</v>
      </c>
      <c r="R47" s="145">
        <v>13813.794063464979</v>
      </c>
      <c r="S47" s="145">
        <v>14127.065792735335</v>
      </c>
      <c r="T47" s="145">
        <v>14443.470239298396</v>
      </c>
      <c r="U47" s="145">
        <v>14763.038730327087</v>
      </c>
      <c r="W47" s="145">
        <v>14197.22319739812</v>
      </c>
      <c r="X47" s="145">
        <f t="shared" si="5"/>
        <v>314.61233606292262</v>
      </c>
      <c r="Y47" s="565">
        <v>866.99895364211625</v>
      </c>
      <c r="Z47" s="31">
        <v>6.1068206196899719E-2</v>
      </c>
      <c r="AA47" s="145">
        <v>13503.624034484426</v>
      </c>
      <c r="AB47" s="145">
        <v>13813.794063464979</v>
      </c>
      <c r="AC47" s="145">
        <v>14127.065792735335</v>
      </c>
      <c r="AD47" s="145">
        <v>14443.470239298396</v>
      </c>
      <c r="AE47" s="145">
        <v>14763.038730327087</v>
      </c>
    </row>
    <row r="48" spans="1:31" ht="15.75" customHeight="1" x14ac:dyDescent="0.45">
      <c r="A48" s="83" t="s">
        <v>144</v>
      </c>
      <c r="B48" s="65">
        <v>2666.0448487512003</v>
      </c>
      <c r="C48" s="83"/>
      <c r="D48" s="74">
        <v>1535.7484145658875</v>
      </c>
      <c r="E48" s="563">
        <f t="shared" si="6"/>
        <v>-1130.2964341853128</v>
      </c>
      <c r="F48" s="564">
        <f t="shared" si="7"/>
        <v>-0.73599062415754835</v>
      </c>
      <c r="G48" s="149">
        <f t="shared" si="0"/>
        <v>2439.9855619141376</v>
      </c>
      <c r="H48" s="149">
        <f t="shared" ref="H48:K48" si="42">SUM(($E48/5)+G48)*(1+$F$3)</f>
        <v>2236.0655378278457</v>
      </c>
      <c r="I48" s="149">
        <f t="shared" si="42"/>
        <v>2030.1063135006912</v>
      </c>
      <c r="J48" s="149">
        <f t="shared" si="42"/>
        <v>1822.0874969302649</v>
      </c>
      <c r="K48" s="149">
        <f t="shared" si="42"/>
        <v>1611.9884921941346</v>
      </c>
      <c r="M48" s="145">
        <v>1390.9694084999885</v>
      </c>
      <c r="N48" s="145">
        <f t="shared" si="2"/>
        <v>-144.77900606589901</v>
      </c>
      <c r="O48" s="563">
        <f t="shared" si="3"/>
        <v>-1275.0754402512118</v>
      </c>
      <c r="P48" s="564">
        <f t="shared" si="4"/>
        <v>-0.91668115233838543</v>
      </c>
      <c r="Q48" s="145">
        <v>2417.4537033571178</v>
      </c>
      <c r="R48" s="145">
        <v>2190.5511835426655</v>
      </c>
      <c r="S48" s="145">
        <v>1961.3796385300686</v>
      </c>
      <c r="T48" s="145">
        <v>1729.9163780673457</v>
      </c>
      <c r="U48" s="145">
        <v>1496.1384849999956</v>
      </c>
      <c r="W48" s="145">
        <v>1423.0891217807869</v>
      </c>
      <c r="X48" s="145">
        <f t="shared" si="5"/>
        <v>-112.65929278510066</v>
      </c>
      <c r="Y48" s="565">
        <v>-1242.9557269704135</v>
      </c>
      <c r="Z48" s="31">
        <v>-0.87342086166398147</v>
      </c>
      <c r="AA48" s="145">
        <v>2417.4537033571178</v>
      </c>
      <c r="AB48" s="145">
        <v>2190.5511835426655</v>
      </c>
      <c r="AC48" s="145">
        <v>1961.3796385300686</v>
      </c>
      <c r="AD48" s="145">
        <v>1729.9163780673457</v>
      </c>
      <c r="AE48" s="145">
        <v>1496.1384849999956</v>
      </c>
    </row>
    <row r="49" spans="1:31" ht="15.75" customHeight="1" x14ac:dyDescent="0.45">
      <c r="A49" s="83" t="s">
        <v>146</v>
      </c>
      <c r="B49" s="65">
        <v>1333.0224243756002</v>
      </c>
      <c r="C49" s="83"/>
      <c r="D49" s="74">
        <v>1318.2821248697587</v>
      </c>
      <c r="E49" s="563">
        <f t="shared" si="6"/>
        <v>-14.740299505841449</v>
      </c>
      <c r="F49" s="564">
        <f t="shared" si="7"/>
        <v>-1.1181445327795622E-2</v>
      </c>
      <c r="G49" s="149">
        <f t="shared" si="0"/>
        <v>1330.0743644744318</v>
      </c>
      <c r="H49" s="149">
        <f t="shared" ref="H49:K49" si="43">SUM(($E49/5)+G49)*(1+$F$3)</f>
        <v>1340.3975676189962</v>
      </c>
      <c r="I49" s="149">
        <f t="shared" si="43"/>
        <v>1350.8240027950062</v>
      </c>
      <c r="J49" s="149">
        <f t="shared" si="43"/>
        <v>1361.3547023227763</v>
      </c>
      <c r="K49" s="149">
        <f t="shared" si="43"/>
        <v>1371.9907088458242</v>
      </c>
      <c r="M49" s="145">
        <v>1172.3850090209901</v>
      </c>
      <c r="N49" s="145">
        <f t="shared" si="2"/>
        <v>-145.89711584876864</v>
      </c>
      <c r="O49" s="563">
        <f t="shared" si="3"/>
        <v>-160.63741535461008</v>
      </c>
      <c r="P49" s="564">
        <f t="shared" si="4"/>
        <v>-0.13701762997528577</v>
      </c>
      <c r="Q49" s="145">
        <v>1300.7314242094699</v>
      </c>
      <c r="R49" s="145">
        <v>1281.124828283773</v>
      </c>
      <c r="S49" s="145">
        <v>1261.3221663988193</v>
      </c>
      <c r="T49" s="145">
        <v>1241.321477895016</v>
      </c>
      <c r="U49" s="145">
        <v>1221.1207825061745</v>
      </c>
      <c r="W49" s="145">
        <v>1171.5674235449492</v>
      </c>
      <c r="X49" s="145">
        <f t="shared" si="5"/>
        <v>-146.71470132480954</v>
      </c>
      <c r="Y49" s="565">
        <v>-161.45500083065099</v>
      </c>
      <c r="Z49" s="31">
        <v>-0.13781110466704308</v>
      </c>
      <c r="AA49" s="145">
        <v>1300.7314242094699</v>
      </c>
      <c r="AB49" s="145">
        <v>1281.124828283773</v>
      </c>
      <c r="AC49" s="145">
        <v>1261.3221663988193</v>
      </c>
      <c r="AD49" s="145">
        <v>1241.321477895016</v>
      </c>
      <c r="AE49" s="145">
        <v>1221.1207825061745</v>
      </c>
    </row>
    <row r="50" spans="1:31" ht="15.75" customHeight="1" x14ac:dyDescent="0.45">
      <c r="A50" s="83" t="s">
        <v>148</v>
      </c>
      <c r="B50" s="65">
        <v>10638.788491683363</v>
      </c>
      <c r="C50" s="83"/>
      <c r="D50" s="74">
        <v>6745.4075199146901</v>
      </c>
      <c r="E50" s="563">
        <f t="shared" si="6"/>
        <v>-3893.3809717686727</v>
      </c>
      <c r="F50" s="564">
        <f t="shared" si="7"/>
        <v>-0.57718988219379108</v>
      </c>
      <c r="G50" s="149">
        <f t="shared" si="0"/>
        <v>9860.1122973296278</v>
      </c>
      <c r="H50" s="149">
        <f t="shared" ref="H50:K50" si="44">SUM(($E50/5)+G50)*(1+$F$3)</f>
        <v>9172.2504640056522</v>
      </c>
      <c r="I50" s="149">
        <f t="shared" si="44"/>
        <v>8477.5100123484372</v>
      </c>
      <c r="J50" s="149">
        <f t="shared" si="44"/>
        <v>7775.8221561746495</v>
      </c>
      <c r="K50" s="149">
        <f t="shared" si="44"/>
        <v>7067.117421439124</v>
      </c>
      <c r="M50" s="145">
        <v>7099.110833247938</v>
      </c>
      <c r="N50" s="145">
        <f t="shared" si="2"/>
        <v>353.70331333324793</v>
      </c>
      <c r="O50" s="563">
        <f t="shared" si="3"/>
        <v>-3539.6776584354247</v>
      </c>
      <c r="P50" s="564">
        <f t="shared" si="4"/>
        <v>-0.49860859219970438</v>
      </c>
      <c r="Q50" s="145">
        <v>9965.24087893252</v>
      </c>
      <c r="R50" s="145">
        <v>9384.6101988434948</v>
      </c>
      <c r="S50" s="145">
        <v>8798.1732119535791</v>
      </c>
      <c r="T50" s="145">
        <v>8205.8718551947641</v>
      </c>
      <c r="U50" s="145">
        <v>7607.6474848683602</v>
      </c>
      <c r="W50" s="145">
        <v>7271.0504279291508</v>
      </c>
      <c r="X50" s="145">
        <f t="shared" si="5"/>
        <v>525.64290801446077</v>
      </c>
      <c r="Y50" s="565">
        <v>-3367.7380637542119</v>
      </c>
      <c r="Z50" s="31">
        <v>-0.46317077527316347</v>
      </c>
      <c r="AA50" s="145">
        <v>9965.24087893252</v>
      </c>
      <c r="AB50" s="145">
        <v>9384.6101988434948</v>
      </c>
      <c r="AC50" s="145">
        <v>8798.1732119535791</v>
      </c>
      <c r="AD50" s="145">
        <v>8205.8718551947641</v>
      </c>
      <c r="AE50" s="145">
        <v>7607.6474848683602</v>
      </c>
    </row>
    <row r="51" spans="1:31" ht="15.75" customHeight="1" x14ac:dyDescent="0.45">
      <c r="A51" s="80" t="s">
        <v>150</v>
      </c>
      <c r="B51" s="562">
        <v>13330.224243756003</v>
      </c>
      <c r="C51" s="80"/>
      <c r="D51" s="74">
        <v>15163.042944718432</v>
      </c>
      <c r="E51" s="563">
        <f t="shared" si="6"/>
        <v>1832.8187009624289</v>
      </c>
      <c r="F51" s="564">
        <f t="shared" si="7"/>
        <v>0.12087406911953867</v>
      </c>
      <c r="G51" s="149">
        <f t="shared" si="0"/>
        <v>13696.787983948489</v>
      </c>
      <c r="H51" s="149">
        <f t="shared" ref="H51:K51" si="45">SUM(($E51/5)+G51)*(1+$F$3)</f>
        <v>14203.985241382383</v>
      </c>
      <c r="I51" s="149">
        <f t="shared" si="45"/>
        <v>14716.254471390617</v>
      </c>
      <c r="J51" s="149">
        <f t="shared" si="45"/>
        <v>15233.646393698933</v>
      </c>
      <c r="K51" s="149">
        <f t="shared" si="45"/>
        <v>15756.212235230332</v>
      </c>
      <c r="M51" s="145">
        <v>16339.177094379338</v>
      </c>
      <c r="N51" s="145">
        <f t="shared" si="2"/>
        <v>1176.1341496609057</v>
      </c>
      <c r="O51" s="563">
        <f t="shared" si="3"/>
        <v>3008.9528506233346</v>
      </c>
      <c r="P51" s="564">
        <f t="shared" si="4"/>
        <v>0.18415571563015934</v>
      </c>
      <c r="Q51" s="145">
        <v>14245.394727203937</v>
      </c>
      <c r="R51" s="145">
        <v>15312.170862758388</v>
      </c>
      <c r="S51" s="145">
        <v>16389.614759668384</v>
      </c>
      <c r="T51" s="145">
        <v>17477.833095547481</v>
      </c>
      <c r="U51" s="145">
        <v>18576.933614785372</v>
      </c>
      <c r="W51" s="145">
        <v>17906.076660995674</v>
      </c>
      <c r="X51" s="145">
        <f t="shared" si="5"/>
        <v>2743.0337162772412</v>
      </c>
      <c r="Y51" s="565">
        <v>4575.8524172396701</v>
      </c>
      <c r="Z51" s="31">
        <v>0.25554746044437121</v>
      </c>
      <c r="AA51" s="145">
        <v>14245.394727203937</v>
      </c>
      <c r="AB51" s="145">
        <v>15312.170862758388</v>
      </c>
      <c r="AC51" s="145">
        <v>16389.614759668384</v>
      </c>
      <c r="AD51" s="145">
        <v>17477.833095547481</v>
      </c>
      <c r="AE51" s="145">
        <v>18576.933614785372</v>
      </c>
    </row>
    <row r="52" spans="1:31" ht="15.75" customHeight="1" x14ac:dyDescent="0.45">
      <c r="A52" s="80" t="s">
        <v>152</v>
      </c>
      <c r="B52" s="562">
        <v>1802.7541358222402</v>
      </c>
      <c r="C52" s="80"/>
      <c r="D52" s="74">
        <v>1869.3730906243027</v>
      </c>
      <c r="E52" s="563">
        <f t="shared" si="6"/>
        <v>66.61895480206249</v>
      </c>
      <c r="F52" s="564">
        <f t="shared" si="7"/>
        <v>3.5637056688247383E-2</v>
      </c>
      <c r="G52" s="149">
        <f t="shared" si="0"/>
        <v>1816.0779267826526</v>
      </c>
      <c r="H52" s="149">
        <f t="shared" ref="H52:K52" si="46">SUM(($E52/5)+G52)*(1+$F$3)</f>
        <v>1847.6957349204959</v>
      </c>
      <c r="I52" s="149">
        <f t="shared" si="46"/>
        <v>1879.6297211397175</v>
      </c>
      <c r="J52" s="149">
        <f t="shared" si="46"/>
        <v>1911.8830472211312</v>
      </c>
      <c r="K52" s="149">
        <f t="shared" si="46"/>
        <v>1944.4589065633591</v>
      </c>
      <c r="M52" s="145">
        <v>1516.9043215382831</v>
      </c>
      <c r="N52" s="145">
        <f t="shared" si="2"/>
        <v>-352.46876908601962</v>
      </c>
      <c r="O52" s="563">
        <f t="shared" si="3"/>
        <v>-285.84981428395713</v>
      </c>
      <c r="P52" s="564">
        <f t="shared" si="4"/>
        <v>-0.18844287686785588</v>
      </c>
      <c r="Q52" s="145">
        <v>1687.3076677472579</v>
      </c>
      <c r="R52" s="145">
        <v>1587.5798116689984</v>
      </c>
      <c r="S52" s="145">
        <v>1486.8546770299563</v>
      </c>
      <c r="T52" s="145">
        <v>1385.1222910445238</v>
      </c>
      <c r="U52" s="145">
        <v>1282.3725811992369</v>
      </c>
      <c r="W52" s="145">
        <v>1225.5217954473287</v>
      </c>
      <c r="X52" s="145">
        <f t="shared" si="5"/>
        <v>-643.85129517697396</v>
      </c>
      <c r="Y52" s="565">
        <v>-577.23234037491147</v>
      </c>
      <c r="Z52" s="31">
        <v>-0.47100944472735012</v>
      </c>
      <c r="AA52" s="145">
        <v>1687.3076677472579</v>
      </c>
      <c r="AB52" s="145">
        <v>1587.5798116689984</v>
      </c>
      <c r="AC52" s="145">
        <v>1486.8546770299563</v>
      </c>
      <c r="AD52" s="145">
        <v>1385.1222910445238</v>
      </c>
      <c r="AE52" s="145">
        <v>1282.3725811992369</v>
      </c>
    </row>
    <row r="53" spans="1:31" ht="15.75" customHeight="1" x14ac:dyDescent="0.45">
      <c r="A53" s="83" t="s">
        <v>154</v>
      </c>
      <c r="B53" s="65">
        <v>1599.6269092507205</v>
      </c>
      <c r="C53" s="83"/>
      <c r="D53" s="74">
        <v>2370.8595874245284</v>
      </c>
      <c r="E53" s="563">
        <f t="shared" si="6"/>
        <v>771.23267817380793</v>
      </c>
      <c r="F53" s="564">
        <f t="shared" si="7"/>
        <v>0.32529664863518981</v>
      </c>
      <c r="G53" s="149">
        <f t="shared" si="0"/>
        <v>1753.8734448854821</v>
      </c>
      <c r="H53" s="149">
        <f t="shared" ref="H53:K53" si="47">SUM(($E53/5)+G53)*(1+$F$3)</f>
        <v>1927.2011803254461</v>
      </c>
      <c r="I53" s="149">
        <f t="shared" si="47"/>
        <v>2102.2621931198096</v>
      </c>
      <c r="J53" s="149">
        <f t="shared" si="47"/>
        <v>2279.073816042117</v>
      </c>
      <c r="K53" s="149">
        <f t="shared" si="47"/>
        <v>2457.6535551936472</v>
      </c>
      <c r="M53" s="145">
        <v>2226.828317340211</v>
      </c>
      <c r="N53" s="145">
        <f t="shared" si="2"/>
        <v>-144.03127008431738</v>
      </c>
      <c r="O53" s="563">
        <f t="shared" si="3"/>
        <v>627.20140808949054</v>
      </c>
      <c r="P53" s="564">
        <f t="shared" si="4"/>
        <v>0.281656831469899</v>
      </c>
      <c r="Q53" s="145">
        <v>1674.9014388587971</v>
      </c>
      <c r="R53" s="145">
        <v>1767.6777281515424</v>
      </c>
      <c r="S53" s="145">
        <v>1861.3817803372151</v>
      </c>
      <c r="T53" s="145">
        <v>1956.0228730447445</v>
      </c>
      <c r="U53" s="145">
        <v>2051.6103766793494</v>
      </c>
      <c r="W53" s="145">
        <v>1975.9995572911032</v>
      </c>
      <c r="X53" s="145">
        <f t="shared" si="5"/>
        <v>-394.8600301334252</v>
      </c>
      <c r="Y53" s="565">
        <v>376.37264804038273</v>
      </c>
      <c r="Z53" s="31">
        <v>0.1904720305486059</v>
      </c>
      <c r="AA53" s="145">
        <v>1674.9014388587971</v>
      </c>
      <c r="AB53" s="145">
        <v>1767.6777281515424</v>
      </c>
      <c r="AC53" s="145">
        <v>1861.3817803372151</v>
      </c>
      <c r="AD53" s="145">
        <v>1956.0228730447445</v>
      </c>
      <c r="AE53" s="145">
        <v>2051.6103766793494</v>
      </c>
    </row>
    <row r="54" spans="1:31" ht="15.75" customHeight="1" x14ac:dyDescent="0.45">
      <c r="A54" s="103" t="s">
        <v>156</v>
      </c>
      <c r="B54" s="486">
        <v>1333.0224243756002</v>
      </c>
      <c r="C54" s="103"/>
      <c r="D54" s="74">
        <v>1768.1680577587751</v>
      </c>
      <c r="E54" s="563">
        <f t="shared" si="6"/>
        <v>435.14563338317498</v>
      </c>
      <c r="F54" s="564">
        <f t="shared" si="7"/>
        <v>0.24609970272550888</v>
      </c>
      <c r="G54" s="149">
        <f t="shared" si="0"/>
        <v>1420.0515510522353</v>
      </c>
      <c r="H54" s="149">
        <f t="shared" ref="H54:K54" si="48">SUM(($E54/5)+G54)*(1+$F$3)</f>
        <v>1522.151484506159</v>
      </c>
      <c r="I54" s="149">
        <f t="shared" si="48"/>
        <v>1625.2724172946221</v>
      </c>
      <c r="J54" s="149">
        <f t="shared" si="48"/>
        <v>1729.4245594109698</v>
      </c>
      <c r="K54" s="149">
        <f t="shared" si="48"/>
        <v>1834.6182229484809</v>
      </c>
      <c r="M54" s="145">
        <v>1647.2598547756184</v>
      </c>
      <c r="N54" s="145">
        <f t="shared" si="2"/>
        <v>-120.9082029831568</v>
      </c>
      <c r="O54" s="563">
        <f t="shared" si="3"/>
        <v>314.23743040001818</v>
      </c>
      <c r="P54" s="564">
        <f t="shared" si="4"/>
        <v>0.19076372770756442</v>
      </c>
      <c r="Q54" s="145">
        <v>1447.58760748585</v>
      </c>
      <c r="R54" s="145">
        <v>1577.7743185020609</v>
      </c>
      <c r="S54" s="145">
        <v>1709.2628966284337</v>
      </c>
      <c r="T54" s="145">
        <v>1842.0663605360703</v>
      </c>
      <c r="U54" s="145">
        <v>1976.1978590827832</v>
      </c>
      <c r="W54" s="145">
        <v>1905.8483399268496</v>
      </c>
      <c r="X54" s="145">
        <f t="shared" si="5"/>
        <v>137.68028216807443</v>
      </c>
      <c r="Y54" s="565">
        <v>572.82591555124941</v>
      </c>
      <c r="Z54" s="31">
        <v>0.3005621714754258</v>
      </c>
      <c r="AA54" s="145">
        <v>1447.58760748585</v>
      </c>
      <c r="AB54" s="145">
        <v>1577.7743185020609</v>
      </c>
      <c r="AC54" s="145">
        <v>1709.2628966284337</v>
      </c>
      <c r="AD54" s="145">
        <v>1842.0663605360703</v>
      </c>
      <c r="AE54" s="145">
        <v>1976.1978590827832</v>
      </c>
    </row>
    <row r="55" spans="1:31" ht="15.75" customHeight="1" x14ac:dyDescent="0.45">
      <c r="A55" s="58" t="s">
        <v>157</v>
      </c>
      <c r="B55" s="562">
        <v>1802.7541358222402</v>
      </c>
      <c r="C55" s="80"/>
      <c r="D55" s="74">
        <v>2322.7729513325216</v>
      </c>
      <c r="E55" s="563">
        <f t="shared" si="6"/>
        <v>520.01881551028146</v>
      </c>
      <c r="F55" s="564">
        <f t="shared" si="7"/>
        <v>0.22387845321341399</v>
      </c>
      <c r="G55" s="149">
        <f t="shared" si="0"/>
        <v>1906.7578989242966</v>
      </c>
      <c r="H55" s="149">
        <f t="shared" ref="H55:K55" si="49">SUM(($E55/5)+G55)*(1+$F$3)</f>
        <v>2030.8692786466165</v>
      </c>
      <c r="I55" s="149">
        <f t="shared" si="49"/>
        <v>2156.2217721661596</v>
      </c>
      <c r="J55" s="149">
        <f t="shared" si="49"/>
        <v>2282.8277906208982</v>
      </c>
      <c r="K55" s="149">
        <f t="shared" si="49"/>
        <v>2410.6998692601842</v>
      </c>
      <c r="M55" s="145">
        <v>1915.6910198930707</v>
      </c>
      <c r="N55" s="145">
        <f t="shared" si="2"/>
        <v>-407.08193143945095</v>
      </c>
      <c r="O55" s="563">
        <f t="shared" si="3"/>
        <v>112.9368840708305</v>
      </c>
      <c r="P55" s="564">
        <f t="shared" si="4"/>
        <v>5.8953601023370862E-2</v>
      </c>
      <c r="Q55" s="145">
        <v>1760.1607460574239</v>
      </c>
      <c r="R55" s="145">
        <v>1734.7430298555337</v>
      </c>
      <c r="S55" s="145">
        <v>1709.0711364916247</v>
      </c>
      <c r="T55" s="145">
        <v>1683.1425241940765</v>
      </c>
      <c r="U55" s="145">
        <v>1656.9546257735528</v>
      </c>
      <c r="W55" s="145">
        <v>1589.7871869981586</v>
      </c>
      <c r="X55" s="145">
        <f t="shared" si="5"/>
        <v>-732.98576433436301</v>
      </c>
      <c r="Y55" s="565">
        <v>-212.96694882408156</v>
      </c>
      <c r="Z55" s="31">
        <v>-0.13395940699849673</v>
      </c>
      <c r="AA55" s="145">
        <v>1760.1607460574239</v>
      </c>
      <c r="AB55" s="145">
        <v>1734.7430298555337</v>
      </c>
      <c r="AC55" s="145">
        <v>1709.0711364916247</v>
      </c>
      <c r="AD55" s="145">
        <v>1683.1425241940765</v>
      </c>
      <c r="AE55" s="145">
        <v>1656.9546257735528</v>
      </c>
    </row>
    <row r="56" spans="1:31" ht="15.75" customHeight="1" x14ac:dyDescent="0.45">
      <c r="A56" s="83" t="s">
        <v>159</v>
      </c>
      <c r="B56" s="65">
        <v>399.90672731268012</v>
      </c>
      <c r="C56" s="83"/>
      <c r="D56" s="74">
        <v>915.20354402849171</v>
      </c>
      <c r="E56" s="563">
        <f t="shared" si="6"/>
        <v>515.29681671581159</v>
      </c>
      <c r="F56" s="564">
        <f t="shared" si="7"/>
        <v>0.5630406701088666</v>
      </c>
      <c r="G56" s="149">
        <f t="shared" si="0"/>
        <v>502.96609065584244</v>
      </c>
      <c r="H56" s="149">
        <f t="shared" ref="H56:K56" si="50">SUM(($E56/5)+G56)*(1+$F$3)</f>
        <v>612.08570853899482</v>
      </c>
      <c r="I56" s="149">
        <f t="shared" si="50"/>
        <v>722.29652260097873</v>
      </c>
      <c r="J56" s="149">
        <f t="shared" si="50"/>
        <v>833.60944480358251</v>
      </c>
      <c r="K56" s="149">
        <f t="shared" si="50"/>
        <v>946.03549622821231</v>
      </c>
      <c r="M56" s="145">
        <v>593.08635893150267</v>
      </c>
      <c r="N56" s="145">
        <f t="shared" si="2"/>
        <v>-322.11718509698903</v>
      </c>
      <c r="O56" s="563">
        <f t="shared" si="3"/>
        <v>193.17963161882255</v>
      </c>
      <c r="P56" s="564">
        <f t="shared" si="4"/>
        <v>0.32571922909650575</v>
      </c>
      <c r="Q56" s="145">
        <v>441.8391912137397</v>
      </c>
      <c r="R56" s="145">
        <v>488.60937166594726</v>
      </c>
      <c r="S56" s="145">
        <v>535.84725392267694</v>
      </c>
      <c r="T56" s="145">
        <v>583.55751500197391</v>
      </c>
      <c r="U56" s="145">
        <v>631.74487869206382</v>
      </c>
      <c r="W56" s="145">
        <v>609.56904681797812</v>
      </c>
      <c r="X56" s="145">
        <f t="shared" si="5"/>
        <v>-305.63449721051359</v>
      </c>
      <c r="Y56" s="565">
        <v>209.662319505298</v>
      </c>
      <c r="Z56" s="31">
        <v>0.34395171572401828</v>
      </c>
      <c r="AA56" s="145">
        <v>441.8391912137397</v>
      </c>
      <c r="AB56" s="145">
        <v>488.60937166594726</v>
      </c>
      <c r="AC56" s="145">
        <v>535.84725392267694</v>
      </c>
      <c r="AD56" s="145">
        <v>583.55751500197391</v>
      </c>
      <c r="AE56" s="145">
        <v>631.74487869206382</v>
      </c>
    </row>
    <row r="57" spans="1:31" ht="15.75" customHeight="1" x14ac:dyDescent="0.45">
      <c r="A57" s="95" t="s">
        <v>161</v>
      </c>
      <c r="B57" s="493">
        <v>399.90672731268012</v>
      </c>
      <c r="C57" s="95"/>
      <c r="D57" s="74">
        <v>896.74022609302688</v>
      </c>
      <c r="E57" s="563">
        <f t="shared" si="6"/>
        <v>496.83349878034676</v>
      </c>
      <c r="F57" s="564">
        <f t="shared" si="7"/>
        <v>0.55404395199820755</v>
      </c>
      <c r="G57" s="149">
        <f t="shared" si="0"/>
        <v>499.27342706874947</v>
      </c>
      <c r="H57" s="149">
        <f t="shared" ref="H57:K57" si="51">SUM(($E57/5)+G57)*(1+$F$3)</f>
        <v>604.62652809306701</v>
      </c>
      <c r="I57" s="149">
        <f t="shared" si="51"/>
        <v>711.03316012762775</v>
      </c>
      <c r="J57" s="149">
        <f t="shared" si="51"/>
        <v>818.50385848253404</v>
      </c>
      <c r="K57" s="149">
        <f t="shared" si="51"/>
        <v>927.04926382098938</v>
      </c>
      <c r="M57" s="145">
        <v>572.07572403230949</v>
      </c>
      <c r="N57" s="145">
        <f t="shared" si="2"/>
        <v>-324.66450206071738</v>
      </c>
      <c r="O57" s="563">
        <f t="shared" si="3"/>
        <v>172.16899671962938</v>
      </c>
      <c r="P57" s="564">
        <f t="shared" si="4"/>
        <v>0.30095490769313904</v>
      </c>
      <c r="Q57" s="145">
        <v>434.84442284564886</v>
      </c>
      <c r="R57" s="145">
        <v>474.47993956240379</v>
      </c>
      <c r="S57" s="145">
        <v>514.51181144632631</v>
      </c>
      <c r="T57" s="145">
        <v>554.944002049088</v>
      </c>
      <c r="U57" s="145">
        <v>595.78051455787727</v>
      </c>
      <c r="W57" s="145">
        <v>574.59520497752396</v>
      </c>
      <c r="X57" s="145">
        <f t="shared" si="5"/>
        <v>-322.14502111550291</v>
      </c>
      <c r="Y57" s="565">
        <v>174.68847766484384</v>
      </c>
      <c r="Z57" s="31">
        <v>0.30402007561423527</v>
      </c>
      <c r="AA57" s="145">
        <v>434.84442284564886</v>
      </c>
      <c r="AB57" s="145">
        <v>474.47993956240379</v>
      </c>
      <c r="AC57" s="145">
        <v>514.51181144632631</v>
      </c>
      <c r="AD57" s="145">
        <v>554.944002049088</v>
      </c>
      <c r="AE57" s="145">
        <v>595.78051455787727</v>
      </c>
    </row>
    <row r="58" spans="1:31" ht="15.75" customHeight="1" x14ac:dyDescent="0.45">
      <c r="A58" s="83" t="s">
        <v>163</v>
      </c>
      <c r="B58" s="65">
        <v>13330.224243756003</v>
      </c>
      <c r="C58" s="83"/>
      <c r="D58" s="74">
        <v>19948.039267780867</v>
      </c>
      <c r="E58" s="563">
        <f t="shared" si="6"/>
        <v>6617.8150240248633</v>
      </c>
      <c r="F58" s="564">
        <f t="shared" si="7"/>
        <v>0.33175265674925986</v>
      </c>
      <c r="G58" s="149">
        <f t="shared" si="0"/>
        <v>14653.787248560977</v>
      </c>
      <c r="H58" s="149">
        <f t="shared" ref="H58:K58" si="52">SUM(($E58/5)+G58)*(1+$F$3)</f>
        <v>16137.123755899609</v>
      </c>
      <c r="I58" s="149">
        <f t="shared" si="52"/>
        <v>17635.293628311629</v>
      </c>
      <c r="J58" s="149">
        <f t="shared" si="52"/>
        <v>19148.445199447768</v>
      </c>
      <c r="K58" s="149">
        <f t="shared" si="52"/>
        <v>20676.728286295267</v>
      </c>
      <c r="M58" s="145">
        <v>19827.83420972529</v>
      </c>
      <c r="N58" s="145">
        <f t="shared" si="2"/>
        <v>-120.20505805557696</v>
      </c>
      <c r="O58" s="563">
        <f t="shared" si="3"/>
        <v>6497.6099659692863</v>
      </c>
      <c r="P58" s="564">
        <f t="shared" si="4"/>
        <v>0.32770144723029282</v>
      </c>
      <c r="Q58" s="145">
        <v>14114.845669327333</v>
      </c>
      <c r="R58" s="145">
        <v>15048.461765847649</v>
      </c>
      <c r="S58" s="145">
        <v>15991.414023333169</v>
      </c>
      <c r="T58" s="145">
        <v>16943.795803393543</v>
      </c>
      <c r="U58" s="145">
        <v>17905.701401254519</v>
      </c>
      <c r="W58" s="145">
        <v>17253.331371612647</v>
      </c>
      <c r="X58" s="145">
        <f t="shared" si="5"/>
        <v>-2694.70789616822</v>
      </c>
      <c r="Y58" s="565">
        <v>3923.1071278566433</v>
      </c>
      <c r="Z58" s="31">
        <v>0.22738258735999431</v>
      </c>
      <c r="AA58" s="145">
        <v>14114.845669327333</v>
      </c>
      <c r="AB58" s="145">
        <v>15048.461765847649</v>
      </c>
      <c r="AC58" s="145">
        <v>15991.414023333169</v>
      </c>
      <c r="AD58" s="145">
        <v>16943.795803393543</v>
      </c>
      <c r="AE58" s="145">
        <v>17905.701401254519</v>
      </c>
    </row>
    <row r="59" spans="1:31" ht="15.75" customHeight="1" x14ac:dyDescent="0.45">
      <c r="A59" s="86" t="s">
        <v>165</v>
      </c>
      <c r="B59" s="65">
        <v>6665.1121218780017</v>
      </c>
      <c r="C59" s="86"/>
      <c r="D59" s="74">
        <v>2412.1021794895073</v>
      </c>
      <c r="E59" s="563">
        <f t="shared" si="6"/>
        <v>-4253.0099423884949</v>
      </c>
      <c r="F59" s="564">
        <f t="shared" si="7"/>
        <v>-1.7631964261516457</v>
      </c>
      <c r="G59" s="149">
        <f t="shared" si="0"/>
        <v>5814.5101334003029</v>
      </c>
      <c r="H59" s="149">
        <f t="shared" ref="H59:K59" si="53">SUM(($E59/5)+G59)*(1+$F$3)</f>
        <v>5013.5472263718302</v>
      </c>
      <c r="I59" s="149">
        <f t="shared" si="53"/>
        <v>4204.5746902730725</v>
      </c>
      <c r="J59" s="149">
        <f t="shared" si="53"/>
        <v>3387.5124288133275</v>
      </c>
      <c r="K59" s="149">
        <f t="shared" si="53"/>
        <v>2562.2795447389849</v>
      </c>
      <c r="M59" s="145">
        <v>2338.1554104425059</v>
      </c>
      <c r="N59" s="145">
        <f t="shared" si="2"/>
        <v>-73.946769047001453</v>
      </c>
      <c r="O59" s="563">
        <f t="shared" si="3"/>
        <v>-4326.9567114354959</v>
      </c>
      <c r="P59" s="564">
        <f t="shared" si="4"/>
        <v>-1.8505855907228173</v>
      </c>
      <c r="Q59" s="145">
        <v>5701.3642902582524</v>
      </c>
      <c r="R59" s="145">
        <v>4784.9926232248881</v>
      </c>
      <c r="S59" s="145">
        <v>3859.4572395211903</v>
      </c>
      <c r="T59" s="145">
        <v>2924.666501980455</v>
      </c>
      <c r="U59" s="145">
        <v>1980.5278570643125</v>
      </c>
      <c r="W59" s="145">
        <v>1846.3729637792544</v>
      </c>
      <c r="X59" s="145">
        <f t="shared" si="5"/>
        <v>-565.7292157102529</v>
      </c>
      <c r="Y59" s="565">
        <v>-4818.7391580987478</v>
      </c>
      <c r="Z59" s="31">
        <v>-2.6098406186773317</v>
      </c>
      <c r="AA59" s="145">
        <v>5701.3642902582524</v>
      </c>
      <c r="AB59" s="145">
        <v>4784.9926232248881</v>
      </c>
      <c r="AC59" s="145">
        <v>3859.4572395211903</v>
      </c>
      <c r="AD59" s="145">
        <v>2924.666501980455</v>
      </c>
      <c r="AE59" s="145">
        <v>1980.5278570643125</v>
      </c>
    </row>
    <row r="60" spans="1:31" ht="15.75" customHeight="1" x14ac:dyDescent="0.45">
      <c r="A60" s="80" t="s">
        <v>167</v>
      </c>
      <c r="B60" s="562">
        <v>1333.0224243756002</v>
      </c>
      <c r="C60" s="80"/>
      <c r="D60" s="74">
        <v>1397.7482374211706</v>
      </c>
      <c r="E60" s="563">
        <f t="shared" si="6"/>
        <v>64.725813045570476</v>
      </c>
      <c r="F60" s="564">
        <f t="shared" si="7"/>
        <v>4.6307204196507412E-2</v>
      </c>
      <c r="G60" s="149">
        <f t="shared" si="0"/>
        <v>1345.9675869847142</v>
      </c>
      <c r="H60" s="149">
        <f t="shared" ref="H60:K60" si="54">SUM(($E60/5)+G60)*(1+$F$3)</f>
        <v>1372.5018770897666</v>
      </c>
      <c r="I60" s="149">
        <f t="shared" si="54"/>
        <v>1399.3015100958694</v>
      </c>
      <c r="J60" s="149">
        <f t="shared" si="54"/>
        <v>1426.3691394320333</v>
      </c>
      <c r="K60" s="149">
        <f t="shared" si="54"/>
        <v>1453.7074450615589</v>
      </c>
      <c r="M60" s="145">
        <v>1179.9315411149958</v>
      </c>
      <c r="N60" s="145">
        <f t="shared" si="2"/>
        <v>-217.81669630617489</v>
      </c>
      <c r="O60" s="563">
        <f t="shared" si="3"/>
        <v>-153.09088326060441</v>
      </c>
      <c r="P60" s="564">
        <f t="shared" si="4"/>
        <v>-0.12974556398071932</v>
      </c>
      <c r="Q60" s="145">
        <v>1294.3507620497805</v>
      </c>
      <c r="R60" s="145">
        <v>1268.2358907212006</v>
      </c>
      <c r="S60" s="145">
        <v>1241.8598706793348</v>
      </c>
      <c r="T60" s="145">
        <v>1215.2200904370504</v>
      </c>
      <c r="U60" s="145">
        <v>1188.3139123923431</v>
      </c>
      <c r="W60" s="145">
        <v>1139.6641127465016</v>
      </c>
      <c r="X60" s="145">
        <f t="shared" si="5"/>
        <v>-258.08412467466906</v>
      </c>
      <c r="Y60" s="565">
        <v>-193.35831162909858</v>
      </c>
      <c r="Z60" s="31">
        <v>-0.16966254308308448</v>
      </c>
      <c r="AA60" s="145">
        <v>1294.3507620497805</v>
      </c>
      <c r="AB60" s="145">
        <v>1268.2358907212006</v>
      </c>
      <c r="AC60" s="145">
        <v>1241.8598706793348</v>
      </c>
      <c r="AD60" s="145">
        <v>1215.2200904370504</v>
      </c>
      <c r="AE60" s="145">
        <v>1188.3139123923431</v>
      </c>
    </row>
    <row r="61" spans="1:31" ht="15.75" customHeight="1" x14ac:dyDescent="0.45">
      <c r="A61" s="80" t="s">
        <v>169</v>
      </c>
      <c r="B61" s="562">
        <v>10638.788491683363</v>
      </c>
      <c r="C61" s="80"/>
      <c r="D61" s="74">
        <v>4560.3196017624741</v>
      </c>
      <c r="E61" s="563">
        <f t="shared" si="6"/>
        <v>-6078.4688899208886</v>
      </c>
      <c r="F61" s="564">
        <f t="shared" si="7"/>
        <v>-1.332904142852549</v>
      </c>
      <c r="G61" s="149">
        <f t="shared" si="0"/>
        <v>9423.0947136991854</v>
      </c>
      <c r="H61" s="149">
        <f t="shared" ref="H61:K61" si="55">SUM(($E61/5)+G61)*(1+$F$3)</f>
        <v>8289.4749450721574</v>
      </c>
      <c r="I61" s="149">
        <f t="shared" si="55"/>
        <v>7144.5189787588597</v>
      </c>
      <c r="J61" s="149">
        <f t="shared" si="55"/>
        <v>5988.1134527824279</v>
      </c>
      <c r="K61" s="149">
        <f t="shared" si="55"/>
        <v>4820.1438715462318</v>
      </c>
      <c r="M61" s="145">
        <v>4221.8973390071587</v>
      </c>
      <c r="N61" s="145">
        <f t="shared" si="2"/>
        <v>-338.42226275531539</v>
      </c>
      <c r="O61" s="563">
        <f t="shared" si="3"/>
        <v>-6416.891152676204</v>
      </c>
      <c r="P61" s="564">
        <f t="shared" si="4"/>
        <v>-1.5199069606427782</v>
      </c>
      <c r="Q61" s="145">
        <v>9209.3103617779125</v>
      </c>
      <c r="R61" s="145">
        <v>7857.630554191187</v>
      </c>
      <c r="S61" s="145">
        <v>6492.4339485285946</v>
      </c>
      <c r="T61" s="145">
        <v>5113.5853768093757</v>
      </c>
      <c r="U61" s="145">
        <v>3720.9483193729648</v>
      </c>
      <c r="W61" s="145">
        <v>3491.3978421561123</v>
      </c>
      <c r="X61" s="145">
        <f t="shared" si="5"/>
        <v>-1068.9217596063618</v>
      </c>
      <c r="Y61" s="565">
        <v>-7147.3906495272504</v>
      </c>
      <c r="Z61" s="31">
        <v>-2.0471429990669239</v>
      </c>
      <c r="AA61" s="145">
        <v>9209.3103617779125</v>
      </c>
      <c r="AB61" s="145">
        <v>7857.630554191187</v>
      </c>
      <c r="AC61" s="145">
        <v>6492.4339485285946</v>
      </c>
      <c r="AD61" s="145">
        <v>5113.5853768093757</v>
      </c>
      <c r="AE61" s="145">
        <v>3720.9483193729648</v>
      </c>
    </row>
    <row r="62" spans="1:31" ht="15.75" customHeight="1" x14ac:dyDescent="0.45">
      <c r="A62" s="83" t="s">
        <v>171</v>
      </c>
      <c r="B62" s="65">
        <v>1802.7541358222402</v>
      </c>
      <c r="C62" s="83"/>
      <c r="D62" s="74">
        <v>2926.3501629716488</v>
      </c>
      <c r="E62" s="563">
        <f t="shared" si="6"/>
        <v>1123.5960271494087</v>
      </c>
      <c r="F62" s="564">
        <f t="shared" si="7"/>
        <v>0.38395816104536851</v>
      </c>
      <c r="G62" s="149">
        <f t="shared" si="0"/>
        <v>2027.4733412521218</v>
      </c>
      <c r="H62" s="149">
        <f t="shared" ref="H62:K62" si="56">SUM(($E62/5)+G62)*(1+$F$3)</f>
        <v>2274.7144721488235</v>
      </c>
      <c r="I62" s="149">
        <f t="shared" si="56"/>
        <v>2524.428014354492</v>
      </c>
      <c r="J62" s="149">
        <f t="shared" si="56"/>
        <v>2776.6386919822176</v>
      </c>
      <c r="K62" s="149">
        <f t="shared" si="56"/>
        <v>3031.3714763862204</v>
      </c>
      <c r="M62" s="145">
        <v>2716.5231512089381</v>
      </c>
      <c r="N62" s="145">
        <f t="shared" si="2"/>
        <v>-209.82701176271075</v>
      </c>
      <c r="O62" s="563">
        <f t="shared" si="3"/>
        <v>913.7690153866979</v>
      </c>
      <c r="P62" s="564">
        <f t="shared" si="4"/>
        <v>0.33637446269509685</v>
      </c>
      <c r="Q62" s="145">
        <v>1915.5482225947981</v>
      </c>
      <c r="R62" s="145">
        <v>2048.6257324610297</v>
      </c>
      <c r="S62" s="145">
        <v>2183.0340174259236</v>
      </c>
      <c r="T62" s="145">
        <v>2318.7863852404662</v>
      </c>
      <c r="U62" s="145">
        <v>2455.8962767331545</v>
      </c>
      <c r="W62" s="145">
        <v>2366.72456968503</v>
      </c>
      <c r="X62" s="145">
        <f t="shared" si="5"/>
        <v>-559.62559328661882</v>
      </c>
      <c r="Y62" s="565">
        <v>563.97043386278983</v>
      </c>
      <c r="Z62" s="31">
        <v>0.23829153636489459</v>
      </c>
      <c r="AA62" s="145">
        <v>1915.5482225947981</v>
      </c>
      <c r="AB62" s="145">
        <v>2048.6257324610297</v>
      </c>
      <c r="AC62" s="145">
        <v>2183.0340174259236</v>
      </c>
      <c r="AD62" s="145">
        <v>2318.7863852404662</v>
      </c>
      <c r="AE62" s="145">
        <v>2455.8962767331545</v>
      </c>
    </row>
    <row r="63" spans="1:31" ht="15.75" customHeight="1" x14ac:dyDescent="0.45">
      <c r="A63" s="78" t="s">
        <v>173</v>
      </c>
      <c r="B63" s="486">
        <v>1600.1198999999999</v>
      </c>
      <c r="C63" s="103"/>
      <c r="D63" s="74">
        <v>2845.1496558442846</v>
      </c>
      <c r="E63" s="563">
        <f t="shared" si="6"/>
        <v>1245.0297558442846</v>
      </c>
      <c r="F63" s="564">
        <f t="shared" si="7"/>
        <v>0.43759728184661273</v>
      </c>
      <c r="G63" s="149">
        <f t="shared" si="0"/>
        <v>1849.1258511688568</v>
      </c>
      <c r="H63" s="149">
        <f t="shared" ref="H63:K63" si="57">SUM(($E63/5)+G63)*(1+$F$3)</f>
        <v>2119.1131203610912</v>
      </c>
      <c r="I63" s="149">
        <f t="shared" si="57"/>
        <v>2391.8002622452477</v>
      </c>
      <c r="J63" s="149">
        <f t="shared" si="57"/>
        <v>2667.2142755482455</v>
      </c>
      <c r="K63" s="149">
        <f t="shared" si="57"/>
        <v>2945.3824289842732</v>
      </c>
      <c r="M63" s="145">
        <v>3025.4407883558406</v>
      </c>
      <c r="N63" s="145">
        <f t="shared" si="2"/>
        <v>180.29113251155604</v>
      </c>
      <c r="O63" s="563">
        <f t="shared" si="3"/>
        <v>1425.3208883558407</v>
      </c>
      <c r="P63" s="564">
        <f t="shared" si="4"/>
        <v>0.4711118108282078</v>
      </c>
      <c r="Q63" s="145">
        <v>2001.2044651908382</v>
      </c>
      <c r="R63" s="145">
        <v>2426.3119206854935</v>
      </c>
      <c r="S63" s="145">
        <v>2855.6704507350955</v>
      </c>
      <c r="T63" s="145">
        <v>3289.3225660851936</v>
      </c>
      <c r="U63" s="145">
        <v>3727.3112025887922</v>
      </c>
      <c r="W63" s="145">
        <v>3605.5427259541916</v>
      </c>
      <c r="X63" s="145">
        <f t="shared" si="5"/>
        <v>760.39307010990706</v>
      </c>
      <c r="Y63" s="565">
        <v>2005.4228259541917</v>
      </c>
      <c r="Z63" s="31">
        <v>0.55620553641434523</v>
      </c>
      <c r="AA63" s="145">
        <v>2001.2044651908382</v>
      </c>
      <c r="AB63" s="145">
        <v>2426.3119206854935</v>
      </c>
      <c r="AC63" s="145">
        <v>2855.6704507350955</v>
      </c>
      <c r="AD63" s="145">
        <v>3289.3225660851936</v>
      </c>
      <c r="AE63" s="145">
        <v>3727.3112025887922</v>
      </c>
    </row>
    <row r="64" spans="1:31" ht="15.75" customHeight="1" x14ac:dyDescent="0.45">
      <c r="A64" s="83" t="s">
        <v>175</v>
      </c>
      <c r="B64" s="65">
        <v>1333.0224243756002</v>
      </c>
      <c r="C64" s="83"/>
      <c r="D64" s="74">
        <v>1266.8223638007569</v>
      </c>
      <c r="E64" s="563">
        <f t="shared" si="6"/>
        <v>-66.200060574843292</v>
      </c>
      <c r="F64" s="564">
        <f t="shared" si="7"/>
        <v>-5.2256782376518811E-2</v>
      </c>
      <c r="G64" s="149">
        <f t="shared" si="0"/>
        <v>1319.7824122606314</v>
      </c>
      <c r="H64" s="149">
        <f t="shared" ref="H64:K64" si="58">SUM(($E64/5)+G64)*(1+$F$3)</f>
        <v>1319.6078241471193</v>
      </c>
      <c r="I64" s="149">
        <f t="shared" si="58"/>
        <v>1319.4314901524722</v>
      </c>
      <c r="J64" s="149">
        <f t="shared" si="58"/>
        <v>1319.2533928178784</v>
      </c>
      <c r="K64" s="149">
        <f t="shared" si="58"/>
        <v>1319.0735145099388</v>
      </c>
      <c r="M64" s="145">
        <v>1070.0152341803762</v>
      </c>
      <c r="N64" s="145">
        <f t="shared" si="2"/>
        <v>-196.80712962038069</v>
      </c>
      <c r="O64" s="563">
        <f t="shared" si="3"/>
        <v>-263.00719019522398</v>
      </c>
      <c r="P64" s="564">
        <f t="shared" si="4"/>
        <v>-0.24579761277575227</v>
      </c>
      <c r="Q64" s="145">
        <v>1279.867523717933</v>
      </c>
      <c r="R64" s="145">
        <v>1238.9797492908683</v>
      </c>
      <c r="S64" s="145">
        <v>1197.6830971195332</v>
      </c>
      <c r="T64" s="145">
        <v>1155.9734784264847</v>
      </c>
      <c r="U64" s="145">
        <v>1113.8467635465056</v>
      </c>
      <c r="W64" s="145">
        <v>1067.2479210872646</v>
      </c>
      <c r="X64" s="145">
        <f t="shared" si="5"/>
        <v>-199.57444271349232</v>
      </c>
      <c r="Y64" s="565">
        <v>-265.77450328833561</v>
      </c>
      <c r="Z64" s="31">
        <v>-0.24902789505326597</v>
      </c>
      <c r="AA64" s="145">
        <v>1279.867523717933</v>
      </c>
      <c r="AB64" s="145">
        <v>1238.9797492908683</v>
      </c>
      <c r="AC64" s="145">
        <v>1197.6830971195332</v>
      </c>
      <c r="AD64" s="145">
        <v>1155.9734784264847</v>
      </c>
      <c r="AE64" s="145">
        <v>1113.8467635465056</v>
      </c>
    </row>
    <row r="65" spans="1:31" ht="15.75" customHeight="1" x14ac:dyDescent="0.45">
      <c r="A65" s="83" t="s">
        <v>177</v>
      </c>
      <c r="B65" s="65">
        <v>1599.6269092507205</v>
      </c>
      <c r="C65" s="83"/>
      <c r="D65" s="74">
        <v>1814.2113107678667</v>
      </c>
      <c r="E65" s="563">
        <f t="shared" si="6"/>
        <v>214.58440151714626</v>
      </c>
      <c r="F65" s="564">
        <f t="shared" si="7"/>
        <v>0.11827971760705383</v>
      </c>
      <c r="G65" s="149">
        <f t="shared" si="0"/>
        <v>1642.5437895541497</v>
      </c>
      <c r="H65" s="149">
        <f t="shared" ref="H65:K65" si="59">SUM(($E65/5)+G65)*(1+$F$3)</f>
        <v>1702.3152765561547</v>
      </c>
      <c r="I65" s="149">
        <f t="shared" si="59"/>
        <v>1762.6844784281798</v>
      </c>
      <c r="J65" s="149">
        <f t="shared" si="59"/>
        <v>1823.6573723189251</v>
      </c>
      <c r="K65" s="149">
        <f t="shared" si="59"/>
        <v>1885.2399951485779</v>
      </c>
      <c r="M65" s="145">
        <v>1661.2430272991858</v>
      </c>
      <c r="N65" s="145">
        <f t="shared" si="2"/>
        <v>-152.96828346868097</v>
      </c>
      <c r="O65" s="563">
        <f t="shared" si="3"/>
        <v>61.616118048465296</v>
      </c>
      <c r="P65" s="564">
        <f t="shared" si="4"/>
        <v>3.7090369702643386E-2</v>
      </c>
      <c r="Q65" s="145">
        <v>1608.6079248147844</v>
      </c>
      <c r="R65" s="145">
        <v>1633.7648297826368</v>
      </c>
      <c r="S65" s="145">
        <v>1659.1733038001678</v>
      </c>
      <c r="T65" s="145">
        <v>1684.835862557874</v>
      </c>
      <c r="U65" s="145">
        <v>1710.7550469031573</v>
      </c>
      <c r="W65" s="145">
        <v>1644.5319870710405</v>
      </c>
      <c r="X65" s="145">
        <f t="shared" si="5"/>
        <v>-169.67932369682626</v>
      </c>
      <c r="Y65" s="565">
        <v>44.905077820320003</v>
      </c>
      <c r="Z65" s="31">
        <v>2.7305688289041587E-2</v>
      </c>
      <c r="AA65" s="145">
        <v>1608.6079248147844</v>
      </c>
      <c r="AB65" s="145">
        <v>1633.7648297826368</v>
      </c>
      <c r="AC65" s="145">
        <v>1659.1733038001678</v>
      </c>
      <c r="AD65" s="145">
        <v>1684.835862557874</v>
      </c>
      <c r="AE65" s="145">
        <v>1710.7550469031573</v>
      </c>
    </row>
    <row r="66" spans="1:31" ht="15.75" customHeight="1" x14ac:dyDescent="0.45">
      <c r="A66" s="118" t="s">
        <v>179</v>
      </c>
      <c r="B66" s="566">
        <v>1600.1198999999999</v>
      </c>
      <c r="C66" s="545"/>
      <c r="D66" s="74">
        <v>1517.5589826859334</v>
      </c>
      <c r="E66" s="563">
        <f t="shared" si="6"/>
        <v>-82.560917314066501</v>
      </c>
      <c r="F66" s="564">
        <f t="shared" si="7"/>
        <v>-5.4403761735798646E-2</v>
      </c>
      <c r="G66" s="149">
        <f t="shared" si="0"/>
        <v>1583.6077165371867</v>
      </c>
      <c r="H66" s="149">
        <f t="shared" ref="H66:K66" si="60">SUM(($E66/5)+G66)*(1+$F$3)</f>
        <v>1582.7664884051171</v>
      </c>
      <c r="I66" s="149">
        <f t="shared" si="60"/>
        <v>1581.9168479917269</v>
      </c>
      <c r="J66" s="149">
        <f t="shared" si="60"/>
        <v>1581.0587111742027</v>
      </c>
      <c r="K66" s="149">
        <f t="shared" si="60"/>
        <v>1580.1919929885034</v>
      </c>
      <c r="M66" s="145">
        <v>1251.5604573249659</v>
      </c>
      <c r="N66" s="145">
        <f t="shared" si="2"/>
        <v>-265.99852536096751</v>
      </c>
      <c r="O66" s="563">
        <f t="shared" si="3"/>
        <v>-348.55944267503401</v>
      </c>
      <c r="P66" s="564">
        <f t="shared" si="4"/>
        <v>-0.27849988439234546</v>
      </c>
      <c r="Q66" s="145">
        <v>1507.6008122655833</v>
      </c>
      <c r="R66" s="145">
        <v>1429.2325417764782</v>
      </c>
      <c r="S66" s="145">
        <v>1350.0805885824823</v>
      </c>
      <c r="T66" s="145">
        <v>1270.1371158565462</v>
      </c>
      <c r="U66" s="145">
        <v>1189.3942084033508</v>
      </c>
      <c r="W66" s="145">
        <v>1137.5244613279167</v>
      </c>
      <c r="X66" s="145">
        <f t="shared" si="5"/>
        <v>-380.03452135801672</v>
      </c>
      <c r="Y66" s="565">
        <v>-462.59543867208322</v>
      </c>
      <c r="Z66" s="31">
        <v>-0.40666856353318437</v>
      </c>
      <c r="AA66" s="145">
        <v>1507.6008122655833</v>
      </c>
      <c r="AB66" s="145">
        <v>1429.2325417764782</v>
      </c>
      <c r="AC66" s="145">
        <v>1350.0805885824823</v>
      </c>
      <c r="AD66" s="145">
        <v>1270.1371158565462</v>
      </c>
      <c r="AE66" s="145">
        <v>1189.3942084033508</v>
      </c>
    </row>
    <row r="67" spans="1:31" ht="15.75" customHeight="1" x14ac:dyDescent="0.45">
      <c r="A67" s="52"/>
      <c r="B67" s="52"/>
      <c r="C67" s="52"/>
      <c r="D67" s="22"/>
      <c r="E67" s="22"/>
      <c r="F67" s="22"/>
      <c r="G67" s="22"/>
      <c r="H67" s="22"/>
      <c r="I67" s="22"/>
      <c r="J67" s="22"/>
      <c r="K67" s="22"/>
      <c r="O67" s="37"/>
      <c r="P67" s="37"/>
      <c r="Y67" s="37"/>
      <c r="Z67" s="37"/>
    </row>
    <row r="68" spans="1:31" ht="15.75" customHeight="1" x14ac:dyDescent="0.5">
      <c r="A68" s="124"/>
      <c r="B68" s="124"/>
      <c r="C68" s="124"/>
      <c r="D68" s="22"/>
      <c r="E68" s="22"/>
      <c r="F68" s="22"/>
      <c r="G68" s="22"/>
      <c r="H68" s="22"/>
      <c r="I68" s="22"/>
      <c r="J68" s="22"/>
      <c r="K68" s="22"/>
      <c r="O68" s="37"/>
      <c r="P68" s="37"/>
      <c r="Y68" s="37"/>
      <c r="Z68" s="37"/>
    </row>
    <row r="69" spans="1:31" ht="15.75" customHeight="1" x14ac:dyDescent="0.5">
      <c r="A69" s="132" t="s">
        <v>181</v>
      </c>
      <c r="B69" s="142">
        <f>SUM(B13:B68)</f>
        <v>221470.18022905494</v>
      </c>
      <c r="C69" s="124"/>
      <c r="D69" s="142">
        <f t="shared" ref="D69:E69" si="61">SUM(D13:D68)</f>
        <v>221614.31000000006</v>
      </c>
      <c r="E69" s="567">
        <f t="shared" si="61"/>
        <v>144.12977094507073</v>
      </c>
      <c r="F69" s="141"/>
      <c r="G69" s="142">
        <f t="shared" ref="G69:K69" si="62">SUM(G13:G68)</f>
        <v>221499.00618324391</v>
      </c>
      <c r="H69" s="142">
        <f t="shared" si="62"/>
        <v>223743.11045880726</v>
      </c>
      <c r="I69" s="142">
        <f t="shared" si="62"/>
        <v>226009.65577712629</v>
      </c>
      <c r="J69" s="142">
        <f t="shared" si="62"/>
        <v>228298.86654862843</v>
      </c>
      <c r="K69" s="142">
        <f t="shared" si="62"/>
        <v>230610.96942784553</v>
      </c>
      <c r="M69" s="142">
        <f t="shared" ref="M69:O69" si="63">SUM(M13:M68)</f>
        <v>221614.30999999994</v>
      </c>
      <c r="N69" s="567">
        <f t="shared" si="63"/>
        <v>-9.0949470177292824E-12</v>
      </c>
      <c r="O69" s="567">
        <f t="shared" si="63"/>
        <v>144.12977094506118</v>
      </c>
      <c r="P69" s="37"/>
      <c r="Q69" s="142">
        <f t="shared" ref="Q69:U69" si="64">SUM(Q13:Q68)</f>
        <v>221499.00618324397</v>
      </c>
      <c r="R69" s="142">
        <f t="shared" si="64"/>
        <v>223743.11045880723</v>
      </c>
      <c r="S69" s="142">
        <f t="shared" si="64"/>
        <v>226009.65577712635</v>
      </c>
      <c r="T69" s="142">
        <f t="shared" si="64"/>
        <v>228298.86654862843</v>
      </c>
      <c r="U69" s="142">
        <f t="shared" si="64"/>
        <v>230610.96942784562</v>
      </c>
      <c r="W69" s="142">
        <f t="shared" ref="W69:Y69" si="65">SUM(W13:W68)</f>
        <v>221614.31</v>
      </c>
      <c r="X69" s="567">
        <f t="shared" si="65"/>
        <v>-6.8212102632969618E-13</v>
      </c>
      <c r="Y69" s="567">
        <f t="shared" si="65"/>
        <v>144.12977094506959</v>
      </c>
      <c r="Z69" s="37"/>
      <c r="AA69" s="142">
        <f t="shared" ref="AA69:AE69" si="66">SUM(AA13:AA68)</f>
        <v>221499.00618324397</v>
      </c>
      <c r="AB69" s="142">
        <f t="shared" si="66"/>
        <v>223743.11045880723</v>
      </c>
      <c r="AC69" s="142">
        <f t="shared" si="66"/>
        <v>226009.65577712635</v>
      </c>
      <c r="AD69" s="142">
        <f t="shared" si="66"/>
        <v>228298.86654862843</v>
      </c>
      <c r="AE69" s="142">
        <f t="shared" si="66"/>
        <v>230610.96942784562</v>
      </c>
    </row>
    <row r="70" spans="1:31" ht="15.75" customHeight="1" x14ac:dyDescent="0.45">
      <c r="A70" s="83" t="s">
        <v>182</v>
      </c>
      <c r="B70" s="65">
        <v>54</v>
      </c>
      <c r="C70" s="83"/>
      <c r="D70" s="22"/>
      <c r="E70" s="22"/>
      <c r="F70" s="22"/>
      <c r="G70" s="511"/>
      <c r="H70" s="149">
        <f t="shared" ref="H70:K70" si="67">SUM(H69-G69)</f>
        <v>2244.1042755633534</v>
      </c>
      <c r="I70" s="149">
        <f t="shared" si="67"/>
        <v>2266.5453183190257</v>
      </c>
      <c r="J70" s="149">
        <f t="shared" si="67"/>
        <v>2289.2107715021411</v>
      </c>
      <c r="K70" s="149">
        <f t="shared" si="67"/>
        <v>2312.1028792170982</v>
      </c>
      <c r="O70" s="37"/>
      <c r="P70" s="37"/>
      <c r="Q70" s="511"/>
      <c r="R70" s="149">
        <f t="shared" ref="R70:U70" si="68">SUM(R69-Q69)</f>
        <v>2244.1042755632661</v>
      </c>
      <c r="S70" s="149">
        <f t="shared" si="68"/>
        <v>2266.545318319113</v>
      </c>
      <c r="T70" s="149">
        <f t="shared" si="68"/>
        <v>2289.2107715020829</v>
      </c>
      <c r="U70" s="149">
        <f t="shared" si="68"/>
        <v>2312.1028792171855</v>
      </c>
      <c r="Y70" s="37"/>
      <c r="Z70" s="37"/>
      <c r="AA70" s="511"/>
      <c r="AB70" s="149">
        <f t="shared" ref="AB70:AE70" si="69">SUM(AB69-AA69)</f>
        <v>2244.1042755632661</v>
      </c>
      <c r="AC70" s="149">
        <f t="shared" si="69"/>
        <v>2266.545318319113</v>
      </c>
      <c r="AD70" s="149">
        <f t="shared" si="69"/>
        <v>2289.2107715020829</v>
      </c>
      <c r="AE70" s="149">
        <f t="shared" si="69"/>
        <v>2312.1028792171855</v>
      </c>
    </row>
    <row r="71" spans="1:31" ht="15.75" customHeight="1" x14ac:dyDescent="0.45">
      <c r="A71" s="96" t="s">
        <v>183</v>
      </c>
      <c r="B71" s="65"/>
      <c r="C71" s="83"/>
      <c r="D71" s="22"/>
      <c r="E71" s="22"/>
      <c r="F71" s="22"/>
      <c r="G71" s="22"/>
      <c r="H71" s="22"/>
      <c r="I71" s="22"/>
      <c r="J71" s="22"/>
      <c r="K71" s="22"/>
      <c r="O71" s="37"/>
      <c r="P71" s="37"/>
      <c r="Y71" s="37"/>
      <c r="Z71" s="37"/>
    </row>
    <row r="72" spans="1:31" ht="15.75" customHeight="1" x14ac:dyDescent="0.45">
      <c r="A72" s="83"/>
      <c r="B72" s="65"/>
      <c r="C72" s="83"/>
      <c r="D72" s="22"/>
      <c r="E72" s="22"/>
      <c r="F72" s="22"/>
      <c r="G72" s="22"/>
      <c r="H72" s="22"/>
      <c r="I72" s="22"/>
      <c r="J72" s="22"/>
      <c r="K72" s="22"/>
      <c r="O72" s="37"/>
      <c r="P72" s="37"/>
      <c r="Y72" s="37"/>
      <c r="Z72" s="37"/>
    </row>
    <row r="73" spans="1:31" ht="15.75" customHeight="1" x14ac:dyDescent="0.45">
      <c r="A73" s="83" t="s">
        <v>184</v>
      </c>
      <c r="B73" s="65">
        <v>219871.62799999997</v>
      </c>
      <c r="C73" s="83"/>
      <c r="D73" s="22"/>
      <c r="E73" s="44"/>
      <c r="F73" s="556">
        <v>0.02</v>
      </c>
      <c r="G73" s="149">
        <f>SUM(B73*(1+F73))</f>
        <v>224269.06055999998</v>
      </c>
      <c r="H73" s="149">
        <f t="shared" ref="H73:K73" si="70">SUM(G73*(1+$F$73))</f>
        <v>228754.44177119998</v>
      </c>
      <c r="I73" s="149">
        <f t="shared" si="70"/>
        <v>233329.530606624</v>
      </c>
      <c r="J73" s="149">
        <f t="shared" si="70"/>
        <v>237996.12121875648</v>
      </c>
      <c r="K73" s="149">
        <f t="shared" si="70"/>
        <v>242756.04364313162</v>
      </c>
      <c r="O73" s="37"/>
      <c r="P73" s="37"/>
      <c r="Y73" s="37"/>
      <c r="Z73" s="37"/>
    </row>
    <row r="74" spans="1:31" ht="15.75" customHeight="1" x14ac:dyDescent="0.45">
      <c r="A74" s="66" t="s">
        <v>185</v>
      </c>
      <c r="B74" s="66">
        <v>0.03</v>
      </c>
      <c r="C74" s="66"/>
      <c r="D74" s="22"/>
      <c r="E74" s="22"/>
      <c r="F74" s="556"/>
      <c r="G74" s="149"/>
      <c r="H74" s="149"/>
      <c r="I74" s="149"/>
      <c r="J74" s="149"/>
      <c r="K74" s="149"/>
      <c r="O74" s="37"/>
      <c r="P74" s="37"/>
      <c r="Y74" s="37"/>
      <c r="Z74" s="37"/>
    </row>
    <row r="75" spans="1:31" ht="15.75" customHeight="1" x14ac:dyDescent="0.45">
      <c r="A75" s="22"/>
      <c r="B75" s="145">
        <v>1598.5522290549707</v>
      </c>
      <c r="C75" s="22"/>
      <c r="D75" s="22"/>
      <c r="E75" s="45"/>
      <c r="F75" s="45"/>
      <c r="G75" s="149"/>
      <c r="H75" s="149"/>
      <c r="I75" s="149"/>
      <c r="J75" s="149"/>
      <c r="K75" s="149"/>
      <c r="O75" s="37"/>
      <c r="P75" s="37"/>
      <c r="Y75" s="37"/>
      <c r="Z75" s="37"/>
    </row>
    <row r="76" spans="1:31" ht="15.75" customHeight="1" x14ac:dyDescent="0.45">
      <c r="A76" s="22"/>
      <c r="B76" s="22"/>
      <c r="C76" s="22"/>
      <c r="D76" s="22"/>
      <c r="E76" s="45"/>
      <c r="F76" s="45"/>
      <c r="G76" s="532"/>
      <c r="H76" s="532"/>
      <c r="I76" s="532"/>
      <c r="J76" s="532"/>
      <c r="K76" s="532"/>
      <c r="O76" s="37"/>
      <c r="P76" s="37"/>
      <c r="Y76" s="37"/>
      <c r="Z76" s="37"/>
    </row>
    <row r="77" spans="1:31" ht="15.75" customHeight="1" x14ac:dyDescent="0.45">
      <c r="A77" s="22"/>
      <c r="B77" s="22"/>
      <c r="C77" s="22"/>
      <c r="D77" s="22"/>
      <c r="E77" s="45"/>
      <c r="F77" s="45"/>
      <c r="G77" s="532"/>
      <c r="H77" s="532"/>
      <c r="I77" s="532"/>
      <c r="J77" s="532"/>
      <c r="K77" s="532"/>
      <c r="O77" s="37"/>
      <c r="P77" s="37"/>
      <c r="Y77" s="37"/>
      <c r="Z77" s="37"/>
    </row>
    <row r="78" spans="1:31" ht="15.75" customHeight="1" x14ac:dyDescent="0.45">
      <c r="A78" s="22"/>
      <c r="B78" s="145"/>
      <c r="C78" s="22"/>
      <c r="D78" s="22"/>
      <c r="E78" s="145"/>
      <c r="F78" s="45"/>
      <c r="G78" s="145"/>
      <c r="H78" s="145"/>
      <c r="I78" s="145"/>
      <c r="J78" s="145"/>
      <c r="K78" s="145"/>
      <c r="O78" s="37"/>
      <c r="P78" s="37"/>
      <c r="Y78" s="37"/>
      <c r="Z78" s="37"/>
    </row>
    <row r="79" spans="1:31" ht="15.75" customHeight="1" x14ac:dyDescent="0.45">
      <c r="A79" s="160" t="s">
        <v>189</v>
      </c>
      <c r="B79" s="568">
        <f>SUM(B13,B15,B21,B30,B44,B51,B52,B55,B61,B66,B60)</f>
        <v>47011.750490395454</v>
      </c>
      <c r="C79" s="160"/>
      <c r="D79" s="568">
        <f>SUM(D13,D15,D21,D30,D44,D51,D52,D55,D61,D66,D60)</f>
        <v>40638.060870392655</v>
      </c>
      <c r="E79" s="569"/>
      <c r="F79" s="569"/>
      <c r="G79" s="568">
        <f t="shared" ref="G79:K79" si="71">SUM(G13,G15,G21,G30,G44,G51,G52,G55,G61,G66,G60)</f>
        <v>45737.012566394893</v>
      </c>
      <c r="H79" s="568">
        <f t="shared" si="71"/>
        <v>44906.897388818281</v>
      </c>
      <c r="I79" s="568">
        <f t="shared" si="71"/>
        <v>44068.481059465899</v>
      </c>
      <c r="J79" s="568">
        <f t="shared" si="71"/>
        <v>43221.680566819989</v>
      </c>
      <c r="K79" s="568">
        <f t="shared" si="71"/>
        <v>42366.412069247628</v>
      </c>
      <c r="M79" s="64">
        <v>38998.185935466507</v>
      </c>
      <c r="O79" s="37"/>
      <c r="P79" s="37"/>
      <c r="Q79" s="64">
        <v>45409.037579409662</v>
      </c>
      <c r="R79" s="64">
        <v>44244.387915108113</v>
      </c>
      <c r="S79" s="64">
        <v>43068.091754163543</v>
      </c>
      <c r="T79" s="64">
        <v>41880.032631609523</v>
      </c>
      <c r="U79" s="64">
        <v>40680.092917829985</v>
      </c>
      <c r="W79" s="64">
        <v>38998.185935466507</v>
      </c>
      <c r="Y79" s="37"/>
      <c r="Z79" s="37"/>
      <c r="AA79" s="64">
        <v>45409.037579409662</v>
      </c>
      <c r="AB79" s="64">
        <v>44244.387915108113</v>
      </c>
      <c r="AC79" s="64">
        <v>43068.091754163543</v>
      </c>
      <c r="AD79" s="64">
        <v>41880.032631609523</v>
      </c>
      <c r="AE79" s="64">
        <v>40680.092917829985</v>
      </c>
    </row>
    <row r="80" spans="1:31" ht="15.75" customHeight="1" x14ac:dyDescent="0.45">
      <c r="A80" s="22"/>
      <c r="B80" s="22"/>
      <c r="C80" s="22"/>
      <c r="D80" s="22"/>
      <c r="E80" s="45"/>
      <c r="F80" s="45"/>
      <c r="G80" s="149"/>
      <c r="H80" s="149"/>
      <c r="I80" s="149"/>
      <c r="J80" s="149"/>
      <c r="K80" s="149"/>
      <c r="O80" s="37"/>
      <c r="P80" s="37"/>
      <c r="Y80" s="37"/>
      <c r="Z80" s="37"/>
    </row>
    <row r="81" spans="1:26" ht="15.75" customHeight="1" x14ac:dyDescent="0.45">
      <c r="A81" s="22"/>
      <c r="B81" s="22"/>
      <c r="C81" s="22"/>
      <c r="D81" s="22"/>
      <c r="E81" s="45"/>
      <c r="F81" s="45"/>
      <c r="G81" s="45"/>
      <c r="H81" s="45"/>
      <c r="I81" s="45"/>
      <c r="J81" s="45"/>
      <c r="K81" s="45"/>
      <c r="O81" s="37"/>
      <c r="P81" s="37"/>
      <c r="Y81" s="37"/>
      <c r="Z81" s="37"/>
    </row>
    <row r="82" spans="1:26" ht="15.75" customHeight="1" x14ac:dyDescent="0.45">
      <c r="A82" s="22"/>
      <c r="B82" s="22"/>
      <c r="C82" s="22"/>
      <c r="D82" s="22"/>
      <c r="E82" s="45"/>
      <c r="F82" s="45"/>
      <c r="G82" s="45"/>
      <c r="H82" s="45"/>
      <c r="I82" s="45"/>
      <c r="J82" s="45"/>
      <c r="K82" s="45"/>
      <c r="O82" s="37"/>
      <c r="P82" s="37"/>
      <c r="Y82" s="37"/>
      <c r="Z82" s="37"/>
    </row>
    <row r="83" spans="1:26" ht="15.75" customHeight="1" x14ac:dyDescent="0.45">
      <c r="A83" s="22"/>
      <c r="B83" s="22"/>
      <c r="C83" s="22"/>
      <c r="D83" s="22"/>
      <c r="E83" s="45"/>
      <c r="F83" s="45"/>
      <c r="G83" s="45"/>
      <c r="H83" s="45"/>
      <c r="I83" s="45"/>
      <c r="J83" s="45"/>
      <c r="K83" s="45"/>
      <c r="O83" s="37"/>
      <c r="P83" s="37"/>
      <c r="Y83" s="37"/>
      <c r="Z83" s="37"/>
    </row>
    <row r="84" spans="1:26" ht="15.75" customHeight="1" x14ac:dyDescent="0.45">
      <c r="A84" s="22"/>
      <c r="B84" s="22"/>
      <c r="C84" s="22"/>
      <c r="D84" s="22"/>
      <c r="E84" s="45"/>
      <c r="F84" s="45"/>
      <c r="G84" s="45"/>
      <c r="H84" s="45"/>
      <c r="I84" s="45"/>
      <c r="J84" s="45"/>
      <c r="K84" s="45"/>
      <c r="O84" s="37"/>
      <c r="P84" s="37"/>
      <c r="Y84" s="37"/>
      <c r="Z84" s="37"/>
    </row>
    <row r="85" spans="1:26" ht="15.75" customHeight="1" x14ac:dyDescent="0.45">
      <c r="A85" s="22"/>
      <c r="B85" s="22"/>
      <c r="C85" s="22"/>
      <c r="D85" s="22"/>
      <c r="E85" s="45"/>
      <c r="F85" s="45"/>
      <c r="G85" s="45"/>
      <c r="H85" s="45"/>
      <c r="I85" s="45"/>
      <c r="J85" s="45"/>
      <c r="K85" s="45"/>
      <c r="O85" s="37"/>
      <c r="P85" s="37"/>
      <c r="Y85" s="37"/>
      <c r="Z85" s="37"/>
    </row>
    <row r="86" spans="1:26" ht="15.75" customHeight="1" x14ac:dyDescent="0.45">
      <c r="A86" s="22"/>
      <c r="B86" s="22"/>
      <c r="C86" s="22"/>
      <c r="D86" s="22"/>
      <c r="E86" s="45"/>
      <c r="F86" s="45"/>
      <c r="G86" s="45"/>
      <c r="H86" s="45"/>
      <c r="I86" s="45"/>
      <c r="J86" s="45"/>
      <c r="K86" s="45"/>
      <c r="O86" s="37"/>
      <c r="P86" s="37"/>
      <c r="Y86" s="37"/>
      <c r="Z86" s="37"/>
    </row>
    <row r="87" spans="1:26" ht="15.75" customHeight="1" x14ac:dyDescent="0.45">
      <c r="A87" s="22"/>
      <c r="B87" s="22"/>
      <c r="C87" s="22"/>
      <c r="D87" s="22"/>
      <c r="E87" s="45"/>
      <c r="F87" s="45"/>
      <c r="G87" s="45"/>
      <c r="H87" s="45"/>
      <c r="I87" s="45"/>
      <c r="J87" s="45"/>
      <c r="K87" s="45"/>
      <c r="O87" s="37"/>
      <c r="P87" s="37"/>
      <c r="Y87" s="37"/>
      <c r="Z87" s="37"/>
    </row>
    <row r="88" spans="1:26" ht="15.75" customHeight="1" x14ac:dyDescent="0.45">
      <c r="A88" s="22"/>
      <c r="B88" s="22"/>
      <c r="C88" s="22"/>
      <c r="D88" s="22"/>
      <c r="E88" s="45"/>
      <c r="F88" s="45"/>
      <c r="G88" s="45"/>
      <c r="H88" s="45"/>
      <c r="I88" s="45"/>
      <c r="J88" s="45"/>
      <c r="K88" s="45"/>
      <c r="O88" s="37"/>
      <c r="P88" s="37"/>
      <c r="Y88" s="37"/>
      <c r="Z88" s="37"/>
    </row>
    <row r="89" spans="1:26" ht="15.75" customHeight="1" x14ac:dyDescent="0.45">
      <c r="A89" s="22"/>
      <c r="B89" s="22"/>
      <c r="C89" s="22"/>
      <c r="D89" s="22"/>
      <c r="E89" s="45"/>
      <c r="F89" s="45"/>
      <c r="G89" s="45"/>
      <c r="H89" s="45"/>
      <c r="I89" s="45"/>
      <c r="J89" s="45"/>
      <c r="K89" s="45"/>
      <c r="O89" s="37"/>
      <c r="P89" s="37"/>
      <c r="Y89" s="37"/>
      <c r="Z89" s="37"/>
    </row>
    <row r="90" spans="1:26" ht="15.75" customHeight="1" x14ac:dyDescent="0.45">
      <c r="A90" s="22"/>
      <c r="B90" s="22"/>
      <c r="C90" s="22"/>
      <c r="D90" s="22"/>
      <c r="E90" s="45"/>
      <c r="F90" s="45"/>
      <c r="G90" s="45"/>
      <c r="H90" s="45"/>
      <c r="I90" s="45"/>
      <c r="J90" s="45"/>
      <c r="K90" s="45"/>
      <c r="O90" s="37"/>
      <c r="P90" s="37"/>
      <c r="Y90" s="37"/>
      <c r="Z90" s="37"/>
    </row>
    <row r="91" spans="1:26" ht="15.75" customHeight="1" x14ac:dyDescent="0.45">
      <c r="A91" s="22"/>
      <c r="B91" s="22"/>
      <c r="C91" s="22"/>
      <c r="D91" s="22"/>
      <c r="E91" s="45"/>
      <c r="F91" s="45"/>
      <c r="G91" s="45"/>
      <c r="H91" s="45"/>
      <c r="I91" s="45"/>
      <c r="J91" s="45"/>
      <c r="K91" s="45"/>
      <c r="O91" s="37"/>
      <c r="P91" s="37"/>
      <c r="Y91" s="37"/>
      <c r="Z91" s="37"/>
    </row>
    <row r="92" spans="1:26" ht="15.75" customHeight="1" x14ac:dyDescent="0.45">
      <c r="A92" s="22"/>
      <c r="B92" s="22"/>
      <c r="C92" s="22"/>
      <c r="D92" s="22"/>
      <c r="E92" s="45"/>
      <c r="F92" s="45"/>
      <c r="G92" s="45"/>
      <c r="H92" s="45"/>
      <c r="I92" s="45"/>
      <c r="J92" s="45"/>
      <c r="K92" s="45"/>
      <c r="O92" s="37"/>
      <c r="P92" s="37"/>
      <c r="Y92" s="37"/>
      <c r="Z92" s="37"/>
    </row>
    <row r="93" spans="1:26" ht="15.75" customHeight="1" x14ac:dyDescent="0.45">
      <c r="A93" s="22"/>
      <c r="B93" s="22"/>
      <c r="C93" s="22"/>
      <c r="D93" s="22"/>
      <c r="E93" s="45"/>
      <c r="F93" s="45"/>
      <c r="G93" s="45"/>
      <c r="H93" s="45"/>
      <c r="I93" s="45"/>
      <c r="J93" s="45"/>
      <c r="K93" s="45"/>
      <c r="O93" s="37"/>
      <c r="P93" s="37"/>
      <c r="Y93" s="37"/>
      <c r="Z93" s="37"/>
    </row>
    <row r="94" spans="1:26" ht="15.75" customHeight="1" x14ac:dyDescent="0.45">
      <c r="A94" s="22"/>
      <c r="B94" s="22"/>
      <c r="C94" s="22"/>
      <c r="D94" s="22"/>
      <c r="E94" s="45"/>
      <c r="F94" s="45"/>
      <c r="G94" s="45"/>
      <c r="H94" s="45"/>
      <c r="I94" s="45"/>
      <c r="J94" s="45"/>
      <c r="K94" s="45"/>
      <c r="O94" s="37"/>
      <c r="P94" s="37"/>
      <c r="Y94" s="37"/>
      <c r="Z94" s="37"/>
    </row>
    <row r="95" spans="1:26" ht="15.75" customHeight="1" x14ac:dyDescent="0.45">
      <c r="A95" s="22"/>
      <c r="B95" s="22"/>
      <c r="C95" s="22"/>
      <c r="D95" s="22"/>
      <c r="E95" s="45"/>
      <c r="F95" s="45"/>
      <c r="G95" s="45"/>
      <c r="H95" s="45"/>
      <c r="I95" s="45"/>
      <c r="J95" s="45"/>
      <c r="K95" s="45"/>
      <c r="O95" s="37"/>
      <c r="P95" s="37"/>
      <c r="Y95" s="37"/>
      <c r="Z95" s="37"/>
    </row>
    <row r="96" spans="1:26" ht="15.75" customHeight="1" x14ac:dyDescent="0.45">
      <c r="A96" s="22"/>
      <c r="B96" s="22"/>
      <c r="C96" s="22"/>
      <c r="D96" s="22"/>
      <c r="E96" s="45"/>
      <c r="F96" s="45"/>
      <c r="G96" s="45"/>
      <c r="H96" s="45"/>
      <c r="I96" s="45"/>
      <c r="J96" s="45"/>
      <c r="K96" s="45"/>
      <c r="O96" s="37"/>
      <c r="P96" s="37"/>
      <c r="Y96" s="37"/>
      <c r="Z96" s="37"/>
    </row>
    <row r="97" spans="1:26" ht="15.75" customHeight="1" x14ac:dyDescent="0.45">
      <c r="A97" s="22"/>
      <c r="B97" s="22"/>
      <c r="C97" s="22"/>
      <c r="D97" s="22"/>
      <c r="E97" s="45"/>
      <c r="F97" s="45"/>
      <c r="G97" s="45"/>
      <c r="H97" s="45"/>
      <c r="I97" s="45"/>
      <c r="J97" s="45"/>
      <c r="K97" s="45"/>
      <c r="O97" s="37"/>
      <c r="P97" s="37"/>
      <c r="Y97" s="37"/>
      <c r="Z97" s="37"/>
    </row>
    <row r="98" spans="1:26" ht="15.75" customHeight="1" x14ac:dyDescent="0.45">
      <c r="A98" s="22"/>
      <c r="B98" s="22"/>
      <c r="C98" s="22"/>
      <c r="D98" s="22"/>
      <c r="E98" s="45"/>
      <c r="F98" s="45"/>
      <c r="G98" s="45"/>
      <c r="H98" s="45"/>
      <c r="I98" s="45"/>
      <c r="J98" s="45"/>
      <c r="K98" s="45"/>
      <c r="O98" s="37"/>
      <c r="P98" s="37"/>
      <c r="Y98" s="37"/>
      <c r="Z98" s="37"/>
    </row>
    <row r="99" spans="1:26" ht="15.75" customHeight="1" x14ac:dyDescent="0.45">
      <c r="A99" s="22"/>
      <c r="B99" s="22"/>
      <c r="C99" s="22"/>
      <c r="D99" s="22"/>
      <c r="E99" s="45"/>
      <c r="F99" s="45"/>
      <c r="G99" s="45"/>
      <c r="H99" s="45"/>
      <c r="I99" s="45"/>
      <c r="J99" s="45"/>
      <c r="K99" s="45"/>
      <c r="O99" s="37"/>
      <c r="P99" s="37"/>
      <c r="Y99" s="37"/>
      <c r="Z99" s="37"/>
    </row>
    <row r="100" spans="1:26" ht="15.75" customHeight="1" x14ac:dyDescent="0.45">
      <c r="A100" s="22"/>
      <c r="B100" s="22"/>
      <c r="C100" s="22"/>
      <c r="D100" s="22"/>
      <c r="E100" s="45"/>
      <c r="F100" s="45"/>
      <c r="G100" s="45"/>
      <c r="H100" s="45"/>
      <c r="I100" s="45"/>
      <c r="J100" s="45"/>
      <c r="K100" s="45"/>
      <c r="O100" s="37"/>
      <c r="P100" s="37"/>
      <c r="Y100" s="37"/>
      <c r="Z100" s="37"/>
    </row>
    <row r="101" spans="1:26" ht="15.75" customHeight="1" x14ac:dyDescent="0.45">
      <c r="A101" s="22"/>
      <c r="B101" s="22"/>
      <c r="C101" s="22"/>
      <c r="D101" s="22"/>
      <c r="E101" s="45"/>
      <c r="F101" s="45"/>
      <c r="G101" s="45"/>
      <c r="H101" s="45"/>
      <c r="I101" s="45"/>
      <c r="J101" s="45"/>
      <c r="K101" s="45"/>
      <c r="O101" s="37"/>
      <c r="P101" s="37"/>
      <c r="Y101" s="37"/>
      <c r="Z101" s="37"/>
    </row>
    <row r="102" spans="1:26" ht="15.75" customHeight="1" x14ac:dyDescent="0.45">
      <c r="A102" s="22"/>
      <c r="B102" s="22"/>
      <c r="C102" s="22"/>
      <c r="D102" s="22"/>
      <c r="E102" s="45"/>
      <c r="F102" s="45"/>
      <c r="G102" s="45"/>
      <c r="H102" s="45"/>
      <c r="I102" s="45"/>
      <c r="J102" s="45"/>
      <c r="K102" s="45"/>
      <c r="O102" s="37"/>
      <c r="P102" s="37"/>
      <c r="Y102" s="37"/>
      <c r="Z102" s="37"/>
    </row>
    <row r="103" spans="1:26" ht="15.75" customHeight="1" x14ac:dyDescent="0.45">
      <c r="A103" s="22"/>
      <c r="B103" s="22"/>
      <c r="C103" s="22"/>
      <c r="D103" s="22"/>
      <c r="E103" s="45"/>
      <c r="F103" s="45"/>
      <c r="G103" s="45"/>
      <c r="H103" s="45"/>
      <c r="I103" s="45"/>
      <c r="J103" s="45"/>
      <c r="K103" s="45"/>
      <c r="O103" s="37"/>
      <c r="P103" s="37"/>
      <c r="Y103" s="37"/>
      <c r="Z103" s="37"/>
    </row>
    <row r="104" spans="1:26" ht="15.75" customHeight="1" x14ac:dyDescent="0.45">
      <c r="A104" s="22"/>
      <c r="B104" s="22"/>
      <c r="C104" s="22"/>
      <c r="D104" s="22"/>
      <c r="E104" s="45"/>
      <c r="F104" s="45"/>
      <c r="G104" s="45"/>
      <c r="H104" s="45"/>
      <c r="I104" s="45"/>
      <c r="J104" s="45"/>
      <c r="K104" s="45"/>
      <c r="O104" s="37"/>
      <c r="P104" s="37"/>
      <c r="Y104" s="37"/>
      <c r="Z104" s="37"/>
    </row>
    <row r="105" spans="1:26" ht="15.75" customHeight="1" x14ac:dyDescent="0.45">
      <c r="A105" s="22"/>
      <c r="B105" s="22"/>
      <c r="C105" s="22"/>
      <c r="D105" s="22"/>
      <c r="E105" s="45"/>
      <c r="F105" s="45"/>
      <c r="G105" s="45"/>
      <c r="H105" s="45"/>
      <c r="I105" s="45"/>
      <c r="J105" s="45"/>
      <c r="K105" s="45"/>
      <c r="O105" s="37"/>
      <c r="P105" s="37"/>
      <c r="Y105" s="37"/>
      <c r="Z105" s="37"/>
    </row>
    <row r="106" spans="1:26" ht="15.75" customHeight="1" x14ac:dyDescent="0.45">
      <c r="A106" s="22"/>
      <c r="B106" s="22"/>
      <c r="C106" s="22"/>
      <c r="D106" s="22"/>
      <c r="E106" s="45"/>
      <c r="F106" s="45"/>
      <c r="G106" s="45"/>
      <c r="H106" s="45"/>
      <c r="I106" s="45"/>
      <c r="J106" s="45"/>
      <c r="K106" s="45"/>
      <c r="O106" s="37"/>
      <c r="P106" s="37"/>
      <c r="Y106" s="37"/>
      <c r="Z106" s="37"/>
    </row>
    <row r="107" spans="1:26" ht="15.75" customHeight="1" x14ac:dyDescent="0.45">
      <c r="A107" s="22"/>
      <c r="B107" s="22"/>
      <c r="C107" s="22"/>
      <c r="D107" s="22"/>
      <c r="E107" s="45"/>
      <c r="F107" s="45"/>
      <c r="G107" s="45"/>
      <c r="H107" s="45"/>
      <c r="I107" s="45"/>
      <c r="J107" s="45"/>
      <c r="K107" s="45"/>
      <c r="O107" s="37"/>
      <c r="P107" s="37"/>
      <c r="Y107" s="37"/>
      <c r="Z107" s="37"/>
    </row>
    <row r="108" spans="1:26" ht="15.75" customHeight="1" x14ac:dyDescent="0.45">
      <c r="A108" s="22"/>
      <c r="B108" s="22"/>
      <c r="C108" s="22"/>
      <c r="D108" s="22"/>
      <c r="E108" s="45"/>
      <c r="F108" s="45"/>
      <c r="G108" s="45"/>
      <c r="H108" s="45"/>
      <c r="I108" s="45"/>
      <c r="J108" s="45"/>
      <c r="K108" s="45"/>
      <c r="O108" s="37"/>
      <c r="P108" s="37"/>
      <c r="Y108" s="37"/>
      <c r="Z108" s="37"/>
    </row>
    <row r="109" spans="1:26" ht="15.75" customHeight="1" x14ac:dyDescent="0.45">
      <c r="A109" s="22"/>
      <c r="B109" s="22"/>
      <c r="C109" s="22"/>
      <c r="D109" s="22"/>
      <c r="E109" s="45"/>
      <c r="F109" s="45"/>
      <c r="G109" s="45"/>
      <c r="H109" s="45"/>
      <c r="I109" s="45"/>
      <c r="J109" s="45"/>
      <c r="K109" s="45"/>
      <c r="O109" s="37"/>
      <c r="P109" s="37"/>
      <c r="Y109" s="37"/>
      <c r="Z109" s="37"/>
    </row>
    <row r="110" spans="1:26" ht="15.75" customHeight="1" x14ac:dyDescent="0.45">
      <c r="A110" s="22"/>
      <c r="B110" s="22"/>
      <c r="C110" s="22"/>
      <c r="D110" s="22"/>
      <c r="E110" s="45"/>
      <c r="F110" s="45"/>
      <c r="G110" s="45"/>
      <c r="H110" s="45"/>
      <c r="I110" s="45"/>
      <c r="J110" s="45"/>
      <c r="K110" s="45"/>
      <c r="O110" s="37"/>
      <c r="P110" s="37"/>
      <c r="Y110" s="37"/>
      <c r="Z110" s="37"/>
    </row>
    <row r="111" spans="1:26" ht="15.75" customHeight="1" x14ac:dyDescent="0.45">
      <c r="A111" s="22"/>
      <c r="B111" s="22"/>
      <c r="C111" s="22"/>
      <c r="D111" s="22"/>
      <c r="E111" s="45"/>
      <c r="F111" s="45"/>
      <c r="G111" s="45"/>
      <c r="H111" s="45"/>
      <c r="I111" s="45"/>
      <c r="J111" s="45"/>
      <c r="K111" s="45"/>
      <c r="O111" s="37"/>
      <c r="P111" s="37"/>
      <c r="Y111" s="37"/>
      <c r="Z111" s="37"/>
    </row>
    <row r="112" spans="1:26" ht="15.75" customHeight="1" x14ac:dyDescent="0.45">
      <c r="A112" s="22"/>
      <c r="B112" s="22"/>
      <c r="C112" s="22"/>
      <c r="D112" s="22"/>
      <c r="E112" s="45"/>
      <c r="F112" s="45"/>
      <c r="G112" s="45"/>
      <c r="H112" s="45"/>
      <c r="I112" s="45"/>
      <c r="J112" s="45"/>
      <c r="K112" s="45"/>
      <c r="O112" s="37"/>
      <c r="P112" s="37"/>
      <c r="Y112" s="37"/>
      <c r="Z112" s="37"/>
    </row>
    <row r="113" spans="1:26" ht="15.75" customHeight="1" x14ac:dyDescent="0.45">
      <c r="A113" s="22"/>
      <c r="B113" s="22"/>
      <c r="C113" s="22"/>
      <c r="D113" s="22"/>
      <c r="E113" s="45"/>
      <c r="F113" s="45"/>
      <c r="G113" s="45"/>
      <c r="H113" s="45"/>
      <c r="I113" s="45"/>
      <c r="J113" s="45"/>
      <c r="K113" s="45"/>
      <c r="O113" s="37"/>
      <c r="P113" s="37"/>
      <c r="Y113" s="37"/>
      <c r="Z113" s="37"/>
    </row>
    <row r="114" spans="1:26" ht="15.75" customHeight="1" x14ac:dyDescent="0.45">
      <c r="A114" s="22"/>
      <c r="B114" s="22"/>
      <c r="C114" s="22"/>
      <c r="D114" s="22"/>
      <c r="E114" s="45"/>
      <c r="F114" s="45"/>
      <c r="G114" s="45"/>
      <c r="H114" s="45"/>
      <c r="I114" s="45"/>
      <c r="J114" s="45"/>
      <c r="K114" s="45"/>
      <c r="O114" s="37"/>
      <c r="P114" s="37"/>
      <c r="Y114" s="37"/>
      <c r="Z114" s="37"/>
    </row>
    <row r="115" spans="1:26" ht="15.75" customHeight="1" x14ac:dyDescent="0.45">
      <c r="A115" s="22"/>
      <c r="B115" s="22"/>
      <c r="C115" s="22"/>
      <c r="D115" s="22"/>
      <c r="E115" s="45"/>
      <c r="F115" s="45"/>
      <c r="G115" s="45"/>
      <c r="H115" s="45"/>
      <c r="I115" s="45"/>
      <c r="J115" s="45"/>
      <c r="K115" s="45"/>
      <c r="O115" s="37"/>
      <c r="P115" s="37"/>
      <c r="Y115" s="37"/>
      <c r="Z115" s="37"/>
    </row>
    <row r="116" spans="1:26" ht="15.75" customHeight="1" x14ac:dyDescent="0.45">
      <c r="A116" s="22"/>
      <c r="B116" s="22"/>
      <c r="C116" s="22"/>
      <c r="D116" s="22"/>
      <c r="E116" s="45"/>
      <c r="F116" s="45"/>
      <c r="G116" s="45"/>
      <c r="H116" s="45"/>
      <c r="I116" s="45"/>
      <c r="J116" s="45"/>
      <c r="K116" s="45"/>
      <c r="O116" s="37"/>
      <c r="P116" s="37"/>
      <c r="Y116" s="37"/>
      <c r="Z116" s="37"/>
    </row>
    <row r="117" spans="1:26" ht="15.75" customHeight="1" x14ac:dyDescent="0.45">
      <c r="A117" s="22"/>
      <c r="B117" s="22"/>
      <c r="C117" s="22"/>
      <c r="D117" s="22"/>
      <c r="E117" s="45"/>
      <c r="F117" s="45"/>
      <c r="G117" s="45"/>
      <c r="H117" s="45"/>
      <c r="I117" s="45"/>
      <c r="J117" s="45"/>
      <c r="K117" s="45"/>
      <c r="O117" s="37"/>
      <c r="P117" s="37"/>
      <c r="Y117" s="37"/>
      <c r="Z117" s="37"/>
    </row>
    <row r="118" spans="1:26" ht="15.75" customHeight="1" x14ac:dyDescent="0.45">
      <c r="A118" s="22"/>
      <c r="B118" s="22"/>
      <c r="C118" s="22"/>
      <c r="D118" s="22"/>
      <c r="E118" s="45"/>
      <c r="F118" s="45"/>
      <c r="G118" s="45"/>
      <c r="H118" s="45"/>
      <c r="I118" s="45"/>
      <c r="J118" s="45"/>
      <c r="K118" s="45"/>
      <c r="O118" s="37"/>
      <c r="P118" s="37"/>
      <c r="Y118" s="37"/>
      <c r="Z118" s="37"/>
    </row>
    <row r="119" spans="1:26" ht="15.75" customHeight="1" x14ac:dyDescent="0.45">
      <c r="A119" s="22"/>
      <c r="B119" s="22"/>
      <c r="C119" s="22"/>
      <c r="D119" s="22"/>
      <c r="E119" s="45"/>
      <c r="F119" s="45"/>
      <c r="G119" s="45"/>
      <c r="H119" s="45"/>
      <c r="I119" s="45"/>
      <c r="J119" s="45"/>
      <c r="K119" s="45"/>
      <c r="O119" s="37"/>
      <c r="P119" s="37"/>
      <c r="Y119" s="37"/>
      <c r="Z119" s="37"/>
    </row>
    <row r="120" spans="1:26" ht="15.75" customHeight="1" x14ac:dyDescent="0.45">
      <c r="A120" s="22"/>
      <c r="B120" s="22"/>
      <c r="C120" s="22"/>
      <c r="D120" s="22"/>
      <c r="E120" s="45"/>
      <c r="F120" s="45"/>
      <c r="G120" s="45"/>
      <c r="H120" s="45"/>
      <c r="I120" s="45"/>
      <c r="J120" s="45"/>
      <c r="K120" s="45"/>
      <c r="O120" s="37"/>
      <c r="P120" s="37"/>
      <c r="Y120" s="37"/>
      <c r="Z120" s="37"/>
    </row>
    <row r="121" spans="1:26" ht="15.75" customHeight="1" x14ac:dyDescent="0.45">
      <c r="A121" s="22"/>
      <c r="B121" s="22"/>
      <c r="C121" s="22"/>
      <c r="D121" s="22"/>
      <c r="E121" s="45"/>
      <c r="F121" s="45"/>
      <c r="G121" s="45"/>
      <c r="H121" s="45"/>
      <c r="I121" s="45"/>
      <c r="J121" s="45"/>
      <c r="K121" s="45"/>
      <c r="O121" s="37"/>
      <c r="P121" s="37"/>
      <c r="Y121" s="37"/>
      <c r="Z121" s="37"/>
    </row>
    <row r="122" spans="1:26" ht="15.75" customHeight="1" x14ac:dyDescent="0.45">
      <c r="A122" s="22"/>
      <c r="B122" s="22"/>
      <c r="C122" s="22"/>
      <c r="D122" s="22"/>
      <c r="E122" s="45"/>
      <c r="F122" s="45"/>
      <c r="G122" s="45"/>
      <c r="H122" s="45"/>
      <c r="I122" s="45"/>
      <c r="J122" s="45"/>
      <c r="K122" s="45"/>
      <c r="O122" s="37"/>
      <c r="P122" s="37"/>
      <c r="Y122" s="37"/>
      <c r="Z122" s="37"/>
    </row>
    <row r="123" spans="1:26" ht="15.75" customHeight="1" x14ac:dyDescent="0.45">
      <c r="A123" s="22"/>
      <c r="B123" s="22"/>
      <c r="C123" s="22"/>
      <c r="D123" s="22"/>
      <c r="E123" s="45"/>
      <c r="F123" s="45"/>
      <c r="G123" s="45"/>
      <c r="H123" s="45"/>
      <c r="I123" s="45"/>
      <c r="J123" s="45"/>
      <c r="K123" s="45"/>
      <c r="O123" s="37"/>
      <c r="P123" s="37"/>
      <c r="Y123" s="37"/>
      <c r="Z123" s="37"/>
    </row>
    <row r="124" spans="1:26" ht="15.75" customHeight="1" x14ac:dyDescent="0.45">
      <c r="A124" s="22"/>
      <c r="B124" s="22"/>
      <c r="C124" s="22"/>
      <c r="D124" s="22"/>
      <c r="E124" s="45"/>
      <c r="F124" s="45"/>
      <c r="G124" s="45"/>
      <c r="H124" s="45"/>
      <c r="I124" s="45"/>
      <c r="J124" s="45"/>
      <c r="K124" s="45"/>
      <c r="O124" s="37"/>
      <c r="P124" s="37"/>
      <c r="Y124" s="37"/>
      <c r="Z124" s="37"/>
    </row>
    <row r="125" spans="1:26" ht="15.75" customHeight="1" x14ac:dyDescent="0.45">
      <c r="A125" s="22"/>
      <c r="B125" s="22"/>
      <c r="C125" s="22"/>
      <c r="D125" s="22"/>
      <c r="E125" s="45"/>
      <c r="F125" s="45"/>
      <c r="G125" s="45"/>
      <c r="H125" s="45"/>
      <c r="I125" s="45"/>
      <c r="J125" s="45"/>
      <c r="K125" s="45"/>
      <c r="O125" s="37"/>
      <c r="P125" s="37"/>
      <c r="Y125" s="37"/>
      <c r="Z125" s="37"/>
    </row>
    <row r="126" spans="1:26" ht="15.75" customHeight="1" x14ac:dyDescent="0.45">
      <c r="A126" s="22"/>
      <c r="B126" s="22"/>
      <c r="C126" s="22"/>
      <c r="D126" s="22"/>
      <c r="E126" s="45"/>
      <c r="F126" s="45"/>
      <c r="G126" s="45"/>
      <c r="H126" s="45"/>
      <c r="I126" s="45"/>
      <c r="J126" s="45"/>
      <c r="K126" s="45"/>
      <c r="O126" s="37"/>
      <c r="P126" s="37"/>
      <c r="Y126" s="37"/>
      <c r="Z126" s="37"/>
    </row>
    <row r="127" spans="1:26" ht="15.75" customHeight="1" x14ac:dyDescent="0.45">
      <c r="A127" s="22"/>
      <c r="B127" s="22"/>
      <c r="C127" s="22"/>
      <c r="D127" s="22"/>
      <c r="E127" s="45"/>
      <c r="F127" s="45"/>
      <c r="G127" s="45"/>
      <c r="H127" s="45"/>
      <c r="I127" s="45"/>
      <c r="J127" s="45"/>
      <c r="K127" s="45"/>
      <c r="O127" s="37"/>
      <c r="P127" s="37"/>
      <c r="Y127" s="37"/>
      <c r="Z127" s="37"/>
    </row>
    <row r="128" spans="1:26" ht="15.75" customHeight="1" x14ac:dyDescent="0.45">
      <c r="A128" s="22"/>
      <c r="B128" s="22"/>
      <c r="C128" s="22"/>
      <c r="D128" s="22"/>
      <c r="E128" s="45"/>
      <c r="F128" s="45"/>
      <c r="G128" s="45"/>
      <c r="H128" s="45"/>
      <c r="I128" s="45"/>
      <c r="J128" s="45"/>
      <c r="K128" s="45"/>
      <c r="O128" s="37"/>
      <c r="P128" s="37"/>
      <c r="Y128" s="37"/>
      <c r="Z128" s="37"/>
    </row>
    <row r="129" spans="1:26" ht="15.75" customHeight="1" x14ac:dyDescent="0.45">
      <c r="A129" s="22"/>
      <c r="B129" s="22"/>
      <c r="C129" s="22"/>
      <c r="D129" s="22"/>
      <c r="E129" s="45"/>
      <c r="F129" s="45"/>
      <c r="G129" s="45"/>
      <c r="H129" s="45"/>
      <c r="I129" s="45"/>
      <c r="J129" s="45"/>
      <c r="K129" s="45"/>
      <c r="O129" s="37"/>
      <c r="P129" s="37"/>
      <c r="Y129" s="37"/>
      <c r="Z129" s="37"/>
    </row>
    <row r="130" spans="1:26" ht="15.75" customHeight="1" x14ac:dyDescent="0.45">
      <c r="A130" s="22"/>
      <c r="B130" s="22"/>
      <c r="C130" s="22"/>
      <c r="D130" s="22"/>
      <c r="E130" s="45"/>
      <c r="F130" s="45"/>
      <c r="G130" s="45"/>
      <c r="H130" s="45"/>
      <c r="I130" s="45"/>
      <c r="J130" s="45"/>
      <c r="K130" s="45"/>
      <c r="O130" s="37"/>
      <c r="P130" s="37"/>
      <c r="Y130" s="37"/>
      <c r="Z130" s="37"/>
    </row>
    <row r="131" spans="1:26" ht="15.75" customHeight="1" x14ac:dyDescent="0.45">
      <c r="A131" s="22"/>
      <c r="B131" s="22"/>
      <c r="C131" s="22"/>
      <c r="D131" s="22"/>
      <c r="E131" s="45"/>
      <c r="F131" s="45"/>
      <c r="G131" s="45"/>
      <c r="H131" s="45"/>
      <c r="I131" s="45"/>
      <c r="J131" s="45"/>
      <c r="K131" s="45"/>
      <c r="O131" s="37"/>
      <c r="P131" s="37"/>
      <c r="Y131" s="37"/>
      <c r="Z131" s="37"/>
    </row>
    <row r="132" spans="1:26" ht="15.75" customHeight="1" x14ac:dyDescent="0.45">
      <c r="A132" s="22"/>
      <c r="B132" s="22"/>
      <c r="C132" s="22"/>
      <c r="D132" s="22"/>
      <c r="E132" s="45"/>
      <c r="F132" s="45"/>
      <c r="G132" s="45"/>
      <c r="H132" s="45"/>
      <c r="I132" s="45"/>
      <c r="J132" s="45"/>
      <c r="K132" s="45"/>
      <c r="O132" s="37"/>
      <c r="P132" s="37"/>
      <c r="Y132" s="37"/>
      <c r="Z132" s="37"/>
    </row>
    <row r="133" spans="1:26" ht="15.75" customHeight="1" x14ac:dyDescent="0.45">
      <c r="A133" s="22"/>
      <c r="B133" s="22"/>
      <c r="C133" s="22"/>
      <c r="D133" s="22"/>
      <c r="E133" s="45"/>
      <c r="F133" s="45"/>
      <c r="G133" s="45"/>
      <c r="H133" s="45"/>
      <c r="I133" s="45"/>
      <c r="J133" s="45"/>
      <c r="K133" s="45"/>
      <c r="O133" s="37"/>
      <c r="P133" s="37"/>
      <c r="Y133" s="37"/>
      <c r="Z133" s="37"/>
    </row>
    <row r="134" spans="1:26" ht="15.75" customHeight="1" x14ac:dyDescent="0.45">
      <c r="A134" s="22"/>
      <c r="B134" s="22"/>
      <c r="C134" s="22"/>
      <c r="D134" s="22"/>
      <c r="E134" s="45"/>
      <c r="F134" s="45"/>
      <c r="G134" s="45"/>
      <c r="H134" s="45"/>
      <c r="I134" s="45"/>
      <c r="J134" s="45"/>
      <c r="K134" s="45"/>
      <c r="O134" s="37"/>
      <c r="P134" s="37"/>
      <c r="Y134" s="37"/>
      <c r="Z134" s="37"/>
    </row>
    <row r="135" spans="1:26" ht="15.75" customHeight="1" x14ac:dyDescent="0.45">
      <c r="A135" s="22"/>
      <c r="B135" s="22"/>
      <c r="C135" s="22"/>
      <c r="D135" s="22"/>
      <c r="E135" s="45"/>
      <c r="F135" s="45"/>
      <c r="G135" s="45"/>
      <c r="H135" s="45"/>
      <c r="I135" s="45"/>
      <c r="J135" s="45"/>
      <c r="K135" s="45"/>
      <c r="O135" s="37"/>
      <c r="P135" s="37"/>
      <c r="Y135" s="37"/>
      <c r="Z135" s="37"/>
    </row>
    <row r="136" spans="1:26" ht="15.75" customHeight="1" x14ac:dyDescent="0.45">
      <c r="A136" s="22"/>
      <c r="B136" s="22"/>
      <c r="C136" s="22"/>
      <c r="D136" s="22"/>
      <c r="E136" s="45"/>
      <c r="F136" s="45"/>
      <c r="G136" s="45"/>
      <c r="H136" s="45"/>
      <c r="I136" s="45"/>
      <c r="J136" s="45"/>
      <c r="K136" s="45"/>
      <c r="O136" s="37"/>
      <c r="P136" s="37"/>
      <c r="Y136" s="37"/>
      <c r="Z136" s="37"/>
    </row>
    <row r="137" spans="1:26" ht="15.75" customHeight="1" x14ac:dyDescent="0.45">
      <c r="A137" s="22"/>
      <c r="B137" s="22"/>
      <c r="C137" s="22"/>
      <c r="D137" s="22"/>
      <c r="E137" s="45"/>
      <c r="F137" s="45"/>
      <c r="G137" s="45"/>
      <c r="H137" s="45"/>
      <c r="I137" s="45"/>
      <c r="J137" s="45"/>
      <c r="K137" s="45"/>
      <c r="O137" s="37"/>
      <c r="P137" s="37"/>
      <c r="Y137" s="37"/>
      <c r="Z137" s="37"/>
    </row>
    <row r="138" spans="1:26" ht="15.75" customHeight="1" x14ac:dyDescent="0.45">
      <c r="A138" s="22"/>
      <c r="B138" s="22"/>
      <c r="C138" s="22"/>
      <c r="D138" s="22"/>
      <c r="E138" s="45"/>
      <c r="F138" s="45"/>
      <c r="G138" s="45"/>
      <c r="H138" s="45"/>
      <c r="I138" s="45"/>
      <c r="J138" s="45"/>
      <c r="K138" s="45"/>
      <c r="O138" s="37"/>
      <c r="P138" s="37"/>
      <c r="Y138" s="37"/>
      <c r="Z138" s="37"/>
    </row>
    <row r="139" spans="1:26" ht="15.75" customHeight="1" x14ac:dyDescent="0.45">
      <c r="A139" s="22"/>
      <c r="B139" s="22"/>
      <c r="C139" s="22"/>
      <c r="D139" s="22"/>
      <c r="E139" s="45"/>
      <c r="F139" s="45"/>
      <c r="G139" s="45"/>
      <c r="H139" s="45"/>
      <c r="I139" s="45"/>
      <c r="J139" s="45"/>
      <c r="K139" s="45"/>
      <c r="O139" s="37"/>
      <c r="P139" s="37"/>
      <c r="Y139" s="37"/>
      <c r="Z139" s="37"/>
    </row>
    <row r="140" spans="1:26" ht="15.75" customHeight="1" x14ac:dyDescent="0.45">
      <c r="A140" s="22"/>
      <c r="B140" s="22"/>
      <c r="C140" s="22"/>
      <c r="D140" s="22"/>
      <c r="E140" s="45"/>
      <c r="F140" s="45"/>
      <c r="G140" s="45"/>
      <c r="H140" s="45"/>
      <c r="I140" s="45"/>
      <c r="J140" s="45"/>
      <c r="K140" s="45"/>
      <c r="O140" s="37"/>
      <c r="P140" s="37"/>
      <c r="Y140" s="37"/>
      <c r="Z140" s="37"/>
    </row>
    <row r="141" spans="1:26" ht="15.75" customHeight="1" x14ac:dyDescent="0.45">
      <c r="A141" s="22"/>
      <c r="B141" s="22"/>
      <c r="C141" s="22"/>
      <c r="D141" s="22"/>
      <c r="E141" s="45"/>
      <c r="F141" s="45"/>
      <c r="G141" s="45"/>
      <c r="H141" s="45"/>
      <c r="I141" s="45"/>
      <c r="J141" s="45"/>
      <c r="K141" s="45"/>
      <c r="O141" s="37"/>
      <c r="P141" s="37"/>
      <c r="Y141" s="37"/>
      <c r="Z141" s="37"/>
    </row>
    <row r="142" spans="1:26" ht="15.75" customHeight="1" x14ac:dyDescent="0.45">
      <c r="A142" s="22"/>
      <c r="B142" s="22"/>
      <c r="C142" s="22"/>
      <c r="D142" s="22"/>
      <c r="E142" s="45"/>
      <c r="F142" s="45"/>
      <c r="G142" s="45"/>
      <c r="H142" s="45"/>
      <c r="I142" s="45"/>
      <c r="J142" s="45"/>
      <c r="K142" s="45"/>
      <c r="O142" s="37"/>
      <c r="P142" s="37"/>
      <c r="Y142" s="37"/>
      <c r="Z142" s="37"/>
    </row>
    <row r="143" spans="1:26" ht="15.75" customHeight="1" x14ac:dyDescent="0.45">
      <c r="A143" s="22"/>
      <c r="B143" s="22"/>
      <c r="C143" s="22"/>
      <c r="D143" s="22"/>
      <c r="E143" s="45"/>
      <c r="F143" s="45"/>
      <c r="G143" s="45"/>
      <c r="H143" s="45"/>
      <c r="I143" s="45"/>
      <c r="J143" s="45"/>
      <c r="K143" s="45"/>
      <c r="O143" s="37"/>
      <c r="P143" s="37"/>
      <c r="Y143" s="37"/>
      <c r="Z143" s="37"/>
    </row>
    <row r="144" spans="1:26" ht="15.75" customHeight="1" x14ac:dyDescent="0.45">
      <c r="A144" s="22"/>
      <c r="B144" s="22"/>
      <c r="C144" s="22"/>
      <c r="D144" s="22"/>
      <c r="E144" s="45"/>
      <c r="F144" s="45"/>
      <c r="G144" s="45"/>
      <c r="H144" s="45"/>
      <c r="I144" s="45"/>
      <c r="J144" s="45"/>
      <c r="K144" s="45"/>
      <c r="O144" s="37"/>
      <c r="P144" s="37"/>
      <c r="Y144" s="37"/>
      <c r="Z144" s="37"/>
    </row>
    <row r="145" spans="1:26" ht="15.75" customHeight="1" x14ac:dyDescent="0.45">
      <c r="A145" s="22"/>
      <c r="B145" s="22"/>
      <c r="C145" s="22"/>
      <c r="D145" s="22"/>
      <c r="E145" s="45"/>
      <c r="F145" s="45"/>
      <c r="G145" s="45"/>
      <c r="H145" s="45"/>
      <c r="I145" s="45"/>
      <c r="J145" s="45"/>
      <c r="K145" s="45"/>
      <c r="O145" s="37"/>
      <c r="P145" s="37"/>
      <c r="Y145" s="37"/>
      <c r="Z145" s="37"/>
    </row>
    <row r="146" spans="1:26" ht="15.75" customHeight="1" x14ac:dyDescent="0.45">
      <c r="A146" s="22"/>
      <c r="B146" s="22"/>
      <c r="C146" s="22"/>
      <c r="D146" s="22"/>
      <c r="E146" s="45"/>
      <c r="F146" s="45"/>
      <c r="G146" s="45"/>
      <c r="H146" s="45"/>
      <c r="I146" s="45"/>
      <c r="J146" s="45"/>
      <c r="K146" s="45"/>
      <c r="O146" s="37"/>
      <c r="P146" s="37"/>
      <c r="Y146" s="37"/>
      <c r="Z146" s="37"/>
    </row>
    <row r="147" spans="1:26" ht="15.75" customHeight="1" x14ac:dyDescent="0.45">
      <c r="A147" s="22"/>
      <c r="B147" s="22"/>
      <c r="C147" s="22"/>
      <c r="D147" s="22"/>
      <c r="E147" s="45"/>
      <c r="F147" s="45"/>
      <c r="G147" s="45"/>
      <c r="H147" s="45"/>
      <c r="I147" s="45"/>
      <c r="J147" s="45"/>
      <c r="K147" s="45"/>
      <c r="O147" s="37"/>
      <c r="P147" s="37"/>
      <c r="Y147" s="37"/>
      <c r="Z147" s="37"/>
    </row>
    <row r="148" spans="1:26" ht="15.75" customHeight="1" x14ac:dyDescent="0.45">
      <c r="A148" s="22"/>
      <c r="B148" s="22"/>
      <c r="C148" s="22"/>
      <c r="D148" s="22"/>
      <c r="E148" s="45"/>
      <c r="F148" s="45"/>
      <c r="G148" s="45"/>
      <c r="H148" s="45"/>
      <c r="I148" s="45"/>
      <c r="J148" s="45"/>
      <c r="K148" s="45"/>
      <c r="O148" s="37"/>
      <c r="P148" s="37"/>
      <c r="Y148" s="37"/>
      <c r="Z148" s="37"/>
    </row>
    <row r="149" spans="1:26" ht="15.75" customHeight="1" x14ac:dyDescent="0.45">
      <c r="A149" s="22"/>
      <c r="B149" s="22"/>
      <c r="C149" s="22"/>
      <c r="D149" s="22"/>
      <c r="E149" s="45"/>
      <c r="F149" s="45"/>
      <c r="G149" s="45"/>
      <c r="H149" s="45"/>
      <c r="I149" s="45"/>
      <c r="J149" s="45"/>
      <c r="K149" s="45"/>
      <c r="O149" s="37"/>
      <c r="P149" s="37"/>
      <c r="Y149" s="37"/>
      <c r="Z149" s="37"/>
    </row>
    <row r="150" spans="1:26" ht="15.75" customHeight="1" x14ac:dyDescent="0.45">
      <c r="A150" s="22"/>
      <c r="B150" s="22"/>
      <c r="C150" s="22"/>
      <c r="D150" s="22"/>
      <c r="E150" s="45"/>
      <c r="F150" s="45"/>
      <c r="G150" s="45"/>
      <c r="H150" s="45"/>
      <c r="I150" s="45"/>
      <c r="J150" s="45"/>
      <c r="K150" s="45"/>
      <c r="O150" s="37"/>
      <c r="P150" s="37"/>
      <c r="Y150" s="37"/>
      <c r="Z150" s="37"/>
    </row>
    <row r="151" spans="1:26" ht="15.75" customHeight="1" x14ac:dyDescent="0.45">
      <c r="A151" s="22"/>
      <c r="B151" s="22"/>
      <c r="C151" s="22"/>
      <c r="D151" s="22"/>
      <c r="E151" s="45"/>
      <c r="F151" s="45"/>
      <c r="G151" s="45"/>
      <c r="H151" s="45"/>
      <c r="I151" s="45"/>
      <c r="J151" s="45"/>
      <c r="K151" s="45"/>
      <c r="O151" s="37"/>
      <c r="P151" s="37"/>
      <c r="Y151" s="37"/>
      <c r="Z151" s="37"/>
    </row>
    <row r="152" spans="1:26" ht="15.75" customHeight="1" x14ac:dyDescent="0.45">
      <c r="A152" s="22"/>
      <c r="B152" s="22"/>
      <c r="C152" s="22"/>
      <c r="D152" s="22"/>
      <c r="E152" s="45"/>
      <c r="F152" s="45"/>
      <c r="G152" s="45"/>
      <c r="H152" s="45"/>
      <c r="I152" s="45"/>
      <c r="J152" s="45"/>
      <c r="K152" s="45"/>
      <c r="O152" s="37"/>
      <c r="P152" s="37"/>
      <c r="Y152" s="37"/>
      <c r="Z152" s="37"/>
    </row>
    <row r="153" spans="1:26" ht="15.75" customHeight="1" x14ac:dyDescent="0.45">
      <c r="A153" s="22"/>
      <c r="B153" s="22"/>
      <c r="C153" s="22"/>
      <c r="D153" s="22"/>
      <c r="E153" s="45"/>
      <c r="F153" s="45"/>
      <c r="G153" s="45"/>
      <c r="H153" s="45"/>
      <c r="I153" s="45"/>
      <c r="J153" s="45"/>
      <c r="K153" s="45"/>
      <c r="O153" s="37"/>
      <c r="P153" s="37"/>
      <c r="Y153" s="37"/>
      <c r="Z153" s="37"/>
    </row>
    <row r="154" spans="1:26" ht="15.75" customHeight="1" x14ac:dyDescent="0.45">
      <c r="A154" s="22"/>
      <c r="B154" s="22"/>
      <c r="C154" s="22"/>
      <c r="D154" s="22"/>
      <c r="E154" s="45"/>
      <c r="F154" s="45"/>
      <c r="G154" s="45"/>
      <c r="H154" s="45"/>
      <c r="I154" s="45"/>
      <c r="J154" s="45"/>
      <c r="K154" s="45"/>
      <c r="O154" s="37"/>
      <c r="P154" s="37"/>
      <c r="Y154" s="37"/>
      <c r="Z154" s="37"/>
    </row>
    <row r="155" spans="1:26" ht="15.75" customHeight="1" x14ac:dyDescent="0.45">
      <c r="A155" s="22"/>
      <c r="B155" s="22"/>
      <c r="C155" s="22"/>
      <c r="D155" s="22"/>
      <c r="E155" s="45"/>
      <c r="F155" s="45"/>
      <c r="G155" s="45"/>
      <c r="H155" s="45"/>
      <c r="I155" s="45"/>
      <c r="J155" s="45"/>
      <c r="K155" s="45"/>
      <c r="O155" s="37"/>
      <c r="P155" s="37"/>
      <c r="Y155" s="37"/>
      <c r="Z155" s="37"/>
    </row>
    <row r="156" spans="1:26" ht="15.75" customHeight="1" x14ac:dyDescent="0.45">
      <c r="A156" s="22"/>
      <c r="B156" s="22"/>
      <c r="C156" s="22"/>
      <c r="D156" s="22"/>
      <c r="E156" s="45"/>
      <c r="F156" s="45"/>
      <c r="G156" s="45"/>
      <c r="H156" s="45"/>
      <c r="I156" s="45"/>
      <c r="J156" s="45"/>
      <c r="K156" s="45"/>
      <c r="O156" s="37"/>
      <c r="P156" s="37"/>
      <c r="Y156" s="37"/>
      <c r="Z156" s="37"/>
    </row>
    <row r="157" spans="1:26" ht="15.75" customHeight="1" x14ac:dyDescent="0.45">
      <c r="A157" s="22"/>
      <c r="B157" s="22"/>
      <c r="C157" s="22"/>
      <c r="D157" s="22"/>
      <c r="E157" s="45"/>
      <c r="F157" s="45"/>
      <c r="G157" s="45"/>
      <c r="H157" s="45"/>
      <c r="I157" s="45"/>
      <c r="J157" s="45"/>
      <c r="K157" s="45"/>
      <c r="O157" s="37"/>
      <c r="P157" s="37"/>
      <c r="Y157" s="37"/>
      <c r="Z157" s="37"/>
    </row>
    <row r="158" spans="1:26" ht="15.75" customHeight="1" x14ac:dyDescent="0.45">
      <c r="A158" s="22"/>
      <c r="B158" s="22"/>
      <c r="C158" s="22"/>
      <c r="D158" s="22"/>
      <c r="E158" s="45"/>
      <c r="F158" s="45"/>
      <c r="G158" s="45"/>
      <c r="H158" s="45"/>
      <c r="I158" s="45"/>
      <c r="J158" s="45"/>
      <c r="K158" s="45"/>
      <c r="O158" s="37"/>
      <c r="P158" s="37"/>
      <c r="Y158" s="37"/>
      <c r="Z158" s="37"/>
    </row>
    <row r="159" spans="1:26" ht="15.75" customHeight="1" x14ac:dyDescent="0.45">
      <c r="A159" s="22"/>
      <c r="B159" s="22"/>
      <c r="C159" s="22"/>
      <c r="D159" s="22"/>
      <c r="E159" s="45"/>
      <c r="F159" s="45"/>
      <c r="G159" s="45"/>
      <c r="H159" s="45"/>
      <c r="I159" s="45"/>
      <c r="J159" s="45"/>
      <c r="K159" s="45"/>
      <c r="O159" s="37"/>
      <c r="P159" s="37"/>
      <c r="Y159" s="37"/>
      <c r="Z159" s="37"/>
    </row>
    <row r="160" spans="1:26" ht="15.75" customHeight="1" x14ac:dyDescent="0.45">
      <c r="A160" s="22"/>
      <c r="B160" s="22"/>
      <c r="C160" s="22"/>
      <c r="D160" s="22"/>
      <c r="E160" s="45"/>
      <c r="F160" s="45"/>
      <c r="G160" s="45"/>
      <c r="H160" s="45"/>
      <c r="I160" s="45"/>
      <c r="J160" s="45"/>
      <c r="K160" s="45"/>
      <c r="O160" s="37"/>
      <c r="P160" s="37"/>
      <c r="Y160" s="37"/>
      <c r="Z160" s="37"/>
    </row>
    <row r="161" spans="1:26" ht="15.75" customHeight="1" x14ac:dyDescent="0.45">
      <c r="A161" s="22"/>
      <c r="B161" s="22"/>
      <c r="C161" s="22"/>
      <c r="D161" s="22"/>
      <c r="E161" s="45"/>
      <c r="F161" s="45"/>
      <c r="G161" s="45"/>
      <c r="H161" s="45"/>
      <c r="I161" s="45"/>
      <c r="J161" s="45"/>
      <c r="K161" s="45"/>
      <c r="O161" s="37"/>
      <c r="P161" s="37"/>
      <c r="Y161" s="37"/>
      <c r="Z161" s="37"/>
    </row>
    <row r="162" spans="1:26" ht="15.75" customHeight="1" x14ac:dyDescent="0.45">
      <c r="A162" s="22"/>
      <c r="B162" s="22"/>
      <c r="C162" s="22"/>
      <c r="D162" s="22"/>
      <c r="E162" s="45"/>
      <c r="F162" s="45"/>
      <c r="G162" s="45"/>
      <c r="H162" s="45"/>
      <c r="I162" s="45"/>
      <c r="J162" s="45"/>
      <c r="K162" s="45"/>
      <c r="O162" s="37"/>
      <c r="P162" s="37"/>
      <c r="Y162" s="37"/>
      <c r="Z162" s="37"/>
    </row>
    <row r="163" spans="1:26" ht="15.75" customHeight="1" x14ac:dyDescent="0.45">
      <c r="A163" s="22"/>
      <c r="B163" s="22"/>
      <c r="C163" s="22"/>
      <c r="D163" s="22"/>
      <c r="E163" s="45"/>
      <c r="F163" s="45"/>
      <c r="G163" s="45"/>
      <c r="H163" s="45"/>
      <c r="I163" s="45"/>
      <c r="J163" s="45"/>
      <c r="K163" s="45"/>
      <c r="O163" s="37"/>
      <c r="P163" s="37"/>
      <c r="Y163" s="37"/>
      <c r="Z163" s="37"/>
    </row>
    <row r="164" spans="1:26" ht="15.75" customHeight="1" x14ac:dyDescent="0.45">
      <c r="A164" s="22"/>
      <c r="B164" s="22"/>
      <c r="C164" s="22"/>
      <c r="D164" s="22"/>
      <c r="E164" s="45"/>
      <c r="F164" s="45"/>
      <c r="G164" s="45"/>
      <c r="H164" s="45"/>
      <c r="I164" s="45"/>
      <c r="J164" s="45"/>
      <c r="K164" s="45"/>
      <c r="O164" s="37"/>
      <c r="P164" s="37"/>
      <c r="Y164" s="37"/>
      <c r="Z164" s="37"/>
    </row>
    <row r="165" spans="1:26" ht="15.75" customHeight="1" x14ac:dyDescent="0.45">
      <c r="A165" s="22"/>
      <c r="B165" s="22"/>
      <c r="C165" s="22"/>
      <c r="D165" s="22"/>
      <c r="E165" s="45"/>
      <c r="F165" s="45"/>
      <c r="G165" s="45"/>
      <c r="H165" s="45"/>
      <c r="I165" s="45"/>
      <c r="J165" s="45"/>
      <c r="K165" s="45"/>
      <c r="O165" s="37"/>
      <c r="P165" s="37"/>
      <c r="Y165" s="37"/>
      <c r="Z165" s="37"/>
    </row>
    <row r="166" spans="1:26" ht="15.75" customHeight="1" x14ac:dyDescent="0.45">
      <c r="A166" s="22"/>
      <c r="B166" s="22"/>
      <c r="C166" s="22"/>
      <c r="D166" s="22"/>
      <c r="E166" s="45"/>
      <c r="F166" s="45"/>
      <c r="G166" s="45"/>
      <c r="H166" s="45"/>
      <c r="I166" s="45"/>
      <c r="J166" s="45"/>
      <c r="K166" s="45"/>
      <c r="O166" s="37"/>
      <c r="P166" s="37"/>
      <c r="Y166" s="37"/>
      <c r="Z166" s="37"/>
    </row>
    <row r="167" spans="1:26" ht="15.75" customHeight="1" x14ac:dyDescent="0.45">
      <c r="A167" s="22"/>
      <c r="B167" s="22"/>
      <c r="C167" s="22"/>
      <c r="D167" s="22"/>
      <c r="E167" s="45"/>
      <c r="F167" s="45"/>
      <c r="G167" s="45"/>
      <c r="H167" s="45"/>
      <c r="I167" s="45"/>
      <c r="J167" s="45"/>
      <c r="K167" s="45"/>
      <c r="O167" s="37"/>
      <c r="P167" s="37"/>
      <c r="Y167" s="37"/>
      <c r="Z167" s="37"/>
    </row>
    <row r="168" spans="1:26" ht="15.75" customHeight="1" x14ac:dyDescent="0.45">
      <c r="A168" s="22"/>
      <c r="B168" s="22"/>
      <c r="C168" s="22"/>
      <c r="D168" s="22"/>
      <c r="E168" s="45"/>
      <c r="F168" s="45"/>
      <c r="G168" s="45"/>
      <c r="H168" s="45"/>
      <c r="I168" s="45"/>
      <c r="J168" s="45"/>
      <c r="K168" s="45"/>
      <c r="O168" s="37"/>
      <c r="P168" s="37"/>
      <c r="Y168" s="37"/>
      <c r="Z168" s="37"/>
    </row>
    <row r="169" spans="1:26" ht="15.75" customHeight="1" x14ac:dyDescent="0.45">
      <c r="A169" s="22"/>
      <c r="B169" s="22"/>
      <c r="C169" s="22"/>
      <c r="D169" s="22"/>
      <c r="E169" s="45"/>
      <c r="F169" s="45"/>
      <c r="G169" s="45"/>
      <c r="H169" s="45"/>
      <c r="I169" s="45"/>
      <c r="J169" s="45"/>
      <c r="K169" s="45"/>
      <c r="O169" s="37"/>
      <c r="P169" s="37"/>
      <c r="Y169" s="37"/>
      <c r="Z169" s="37"/>
    </row>
    <row r="170" spans="1:26" ht="15.75" customHeight="1" x14ac:dyDescent="0.45">
      <c r="A170" s="22"/>
      <c r="B170" s="22"/>
      <c r="C170" s="22"/>
      <c r="D170" s="22"/>
      <c r="E170" s="45"/>
      <c r="F170" s="45"/>
      <c r="G170" s="45"/>
      <c r="H170" s="45"/>
      <c r="I170" s="45"/>
      <c r="J170" s="45"/>
      <c r="K170" s="45"/>
      <c r="O170" s="37"/>
      <c r="P170" s="37"/>
      <c r="Y170" s="37"/>
      <c r="Z170" s="37"/>
    </row>
    <row r="171" spans="1:26" ht="15.75" customHeight="1" x14ac:dyDescent="0.45">
      <c r="A171" s="22"/>
      <c r="B171" s="22"/>
      <c r="C171" s="22"/>
      <c r="D171" s="22"/>
      <c r="E171" s="45"/>
      <c r="F171" s="45"/>
      <c r="G171" s="45"/>
      <c r="H171" s="45"/>
      <c r="I171" s="45"/>
      <c r="J171" s="45"/>
      <c r="K171" s="45"/>
      <c r="O171" s="37"/>
      <c r="P171" s="37"/>
      <c r="Y171" s="37"/>
      <c r="Z171" s="37"/>
    </row>
    <row r="172" spans="1:26" ht="15.75" customHeight="1" x14ac:dyDescent="0.45">
      <c r="A172" s="22"/>
      <c r="B172" s="22"/>
      <c r="C172" s="22"/>
      <c r="D172" s="22"/>
      <c r="E172" s="45"/>
      <c r="F172" s="45"/>
      <c r="G172" s="45"/>
      <c r="H172" s="45"/>
      <c r="I172" s="45"/>
      <c r="J172" s="45"/>
      <c r="K172" s="45"/>
      <c r="O172" s="37"/>
      <c r="P172" s="37"/>
      <c r="Y172" s="37"/>
      <c r="Z172" s="37"/>
    </row>
    <row r="173" spans="1:26" ht="15.75" customHeight="1" x14ac:dyDescent="0.45">
      <c r="A173" s="22"/>
      <c r="B173" s="22"/>
      <c r="C173" s="22"/>
      <c r="D173" s="22"/>
      <c r="E173" s="45"/>
      <c r="F173" s="45"/>
      <c r="G173" s="45"/>
      <c r="H173" s="45"/>
      <c r="I173" s="45"/>
      <c r="J173" s="45"/>
      <c r="K173" s="45"/>
      <c r="O173" s="37"/>
      <c r="P173" s="37"/>
      <c r="Y173" s="37"/>
      <c r="Z173" s="37"/>
    </row>
    <row r="174" spans="1:26" ht="15.75" customHeight="1" x14ac:dyDescent="0.45">
      <c r="A174" s="22"/>
      <c r="B174" s="22"/>
      <c r="C174" s="22"/>
      <c r="D174" s="22"/>
      <c r="E174" s="45"/>
      <c r="F174" s="45"/>
      <c r="G174" s="45"/>
      <c r="H174" s="45"/>
      <c r="I174" s="45"/>
      <c r="J174" s="45"/>
      <c r="K174" s="45"/>
      <c r="O174" s="37"/>
      <c r="P174" s="37"/>
      <c r="Y174" s="37"/>
      <c r="Z174" s="37"/>
    </row>
    <row r="175" spans="1:26" ht="15.75" customHeight="1" x14ac:dyDescent="0.45">
      <c r="A175" s="22"/>
      <c r="B175" s="22"/>
      <c r="C175" s="22"/>
      <c r="D175" s="22"/>
      <c r="E175" s="45"/>
      <c r="F175" s="45"/>
      <c r="G175" s="45"/>
      <c r="H175" s="45"/>
      <c r="I175" s="45"/>
      <c r="J175" s="45"/>
      <c r="K175" s="45"/>
      <c r="O175" s="37"/>
      <c r="P175" s="37"/>
      <c r="Y175" s="37"/>
      <c r="Z175" s="37"/>
    </row>
    <row r="176" spans="1:26" ht="15.75" customHeight="1" x14ac:dyDescent="0.45">
      <c r="A176" s="22"/>
      <c r="B176" s="22"/>
      <c r="C176" s="22"/>
      <c r="D176" s="22"/>
      <c r="E176" s="45"/>
      <c r="F176" s="45"/>
      <c r="G176" s="45"/>
      <c r="H176" s="45"/>
      <c r="I176" s="45"/>
      <c r="J176" s="45"/>
      <c r="K176" s="45"/>
      <c r="O176" s="37"/>
      <c r="P176" s="37"/>
      <c r="Y176" s="37"/>
      <c r="Z176" s="37"/>
    </row>
    <row r="177" spans="1:26" ht="15.75" customHeight="1" x14ac:dyDescent="0.45">
      <c r="A177" s="22"/>
      <c r="B177" s="22"/>
      <c r="C177" s="22"/>
      <c r="D177" s="22"/>
      <c r="E177" s="45"/>
      <c r="F177" s="45"/>
      <c r="G177" s="45"/>
      <c r="H177" s="45"/>
      <c r="I177" s="45"/>
      <c r="J177" s="45"/>
      <c r="K177" s="45"/>
      <c r="O177" s="37"/>
      <c r="P177" s="37"/>
      <c r="Y177" s="37"/>
      <c r="Z177" s="37"/>
    </row>
    <row r="178" spans="1:26" ht="15.75" customHeight="1" x14ac:dyDescent="0.45">
      <c r="A178" s="22"/>
      <c r="B178" s="22"/>
      <c r="C178" s="22"/>
      <c r="D178" s="22"/>
      <c r="E178" s="45"/>
      <c r="F178" s="45"/>
      <c r="G178" s="45"/>
      <c r="H178" s="45"/>
      <c r="I178" s="45"/>
      <c r="J178" s="45"/>
      <c r="K178" s="45"/>
      <c r="O178" s="37"/>
      <c r="P178" s="37"/>
      <c r="Y178" s="37"/>
      <c r="Z178" s="37"/>
    </row>
    <row r="179" spans="1:26" ht="15.75" customHeight="1" x14ac:dyDescent="0.45">
      <c r="A179" s="22"/>
      <c r="B179" s="22"/>
      <c r="C179" s="22"/>
      <c r="D179" s="22"/>
      <c r="E179" s="45"/>
      <c r="F179" s="45"/>
      <c r="G179" s="45"/>
      <c r="H179" s="45"/>
      <c r="I179" s="45"/>
      <c r="J179" s="45"/>
      <c r="K179" s="45"/>
      <c r="O179" s="37"/>
      <c r="P179" s="37"/>
      <c r="Y179" s="37"/>
      <c r="Z179" s="37"/>
    </row>
    <row r="180" spans="1:26" ht="15.75" customHeight="1" x14ac:dyDescent="0.45">
      <c r="A180" s="22"/>
      <c r="B180" s="22"/>
      <c r="C180" s="22"/>
      <c r="D180" s="22"/>
      <c r="E180" s="45"/>
      <c r="F180" s="45"/>
      <c r="G180" s="45"/>
      <c r="H180" s="45"/>
      <c r="I180" s="45"/>
      <c r="J180" s="45"/>
      <c r="K180" s="45"/>
      <c r="O180" s="37"/>
      <c r="P180" s="37"/>
      <c r="Y180" s="37"/>
      <c r="Z180" s="37"/>
    </row>
    <row r="181" spans="1:26" ht="15.75" customHeight="1" x14ac:dyDescent="0.45">
      <c r="A181" s="22"/>
      <c r="B181" s="22"/>
      <c r="C181" s="22"/>
      <c r="D181" s="22"/>
      <c r="E181" s="45"/>
      <c r="F181" s="45"/>
      <c r="G181" s="45"/>
      <c r="H181" s="45"/>
      <c r="I181" s="45"/>
      <c r="J181" s="45"/>
      <c r="K181" s="45"/>
      <c r="O181" s="37"/>
      <c r="P181" s="37"/>
      <c r="Y181" s="37"/>
      <c r="Z181" s="37"/>
    </row>
    <row r="182" spans="1:26" ht="15.75" customHeight="1" x14ac:dyDescent="0.45">
      <c r="A182" s="22"/>
      <c r="B182" s="22"/>
      <c r="C182" s="22"/>
      <c r="D182" s="22"/>
      <c r="E182" s="45"/>
      <c r="F182" s="45"/>
      <c r="G182" s="45"/>
      <c r="H182" s="45"/>
      <c r="I182" s="45"/>
      <c r="J182" s="45"/>
      <c r="K182" s="45"/>
      <c r="O182" s="37"/>
      <c r="P182" s="37"/>
      <c r="Y182" s="37"/>
      <c r="Z182" s="37"/>
    </row>
    <row r="183" spans="1:26" ht="15.75" customHeight="1" x14ac:dyDescent="0.45">
      <c r="A183" s="22"/>
      <c r="B183" s="22"/>
      <c r="C183" s="22"/>
      <c r="D183" s="22"/>
      <c r="E183" s="45"/>
      <c r="F183" s="45"/>
      <c r="G183" s="45"/>
      <c r="H183" s="45"/>
      <c r="I183" s="45"/>
      <c r="J183" s="45"/>
      <c r="K183" s="45"/>
      <c r="O183" s="37"/>
      <c r="P183" s="37"/>
      <c r="Y183" s="37"/>
      <c r="Z183" s="37"/>
    </row>
    <row r="184" spans="1:26" ht="15.75" customHeight="1" x14ac:dyDescent="0.45">
      <c r="A184" s="22"/>
      <c r="B184" s="22"/>
      <c r="C184" s="22"/>
      <c r="D184" s="22"/>
      <c r="E184" s="45"/>
      <c r="F184" s="45"/>
      <c r="G184" s="45"/>
      <c r="H184" s="45"/>
      <c r="I184" s="45"/>
      <c r="J184" s="45"/>
      <c r="K184" s="45"/>
      <c r="O184" s="37"/>
      <c r="P184" s="37"/>
      <c r="Y184" s="37"/>
      <c r="Z184" s="37"/>
    </row>
    <row r="185" spans="1:26" ht="15.75" customHeight="1" x14ac:dyDescent="0.45">
      <c r="A185" s="22"/>
      <c r="B185" s="22"/>
      <c r="C185" s="22"/>
      <c r="D185" s="22"/>
      <c r="E185" s="45"/>
      <c r="F185" s="45"/>
      <c r="G185" s="45"/>
      <c r="H185" s="45"/>
      <c r="I185" s="45"/>
      <c r="J185" s="45"/>
      <c r="K185" s="45"/>
      <c r="O185" s="37"/>
      <c r="P185" s="37"/>
      <c r="Y185" s="37"/>
      <c r="Z185" s="37"/>
    </row>
    <row r="186" spans="1:26" ht="15.75" customHeight="1" x14ac:dyDescent="0.45">
      <c r="A186" s="22"/>
      <c r="B186" s="22"/>
      <c r="C186" s="22"/>
      <c r="D186" s="22"/>
      <c r="E186" s="45"/>
      <c r="F186" s="45"/>
      <c r="G186" s="45"/>
      <c r="H186" s="45"/>
      <c r="I186" s="45"/>
      <c r="J186" s="45"/>
      <c r="K186" s="45"/>
      <c r="O186" s="37"/>
      <c r="P186" s="37"/>
      <c r="Y186" s="37"/>
      <c r="Z186" s="37"/>
    </row>
    <row r="187" spans="1:26" ht="15.75" customHeight="1" x14ac:dyDescent="0.45">
      <c r="A187" s="22"/>
      <c r="B187" s="22"/>
      <c r="C187" s="22"/>
      <c r="D187" s="22"/>
      <c r="E187" s="45"/>
      <c r="F187" s="45"/>
      <c r="G187" s="45"/>
      <c r="H187" s="45"/>
      <c r="I187" s="45"/>
      <c r="J187" s="45"/>
      <c r="K187" s="45"/>
      <c r="O187" s="37"/>
      <c r="P187" s="37"/>
      <c r="Y187" s="37"/>
      <c r="Z187" s="37"/>
    </row>
    <row r="188" spans="1:26" ht="15.75" customHeight="1" x14ac:dyDescent="0.45">
      <c r="A188" s="22"/>
      <c r="B188" s="22"/>
      <c r="C188" s="22"/>
      <c r="D188" s="22"/>
      <c r="E188" s="45"/>
      <c r="F188" s="45"/>
      <c r="G188" s="45"/>
      <c r="H188" s="45"/>
      <c r="I188" s="45"/>
      <c r="J188" s="45"/>
      <c r="K188" s="45"/>
      <c r="O188" s="37"/>
      <c r="P188" s="37"/>
      <c r="Y188" s="37"/>
      <c r="Z188" s="37"/>
    </row>
    <row r="189" spans="1:26" ht="15.75" customHeight="1" x14ac:dyDescent="0.45">
      <c r="A189" s="22"/>
      <c r="B189" s="22"/>
      <c r="C189" s="22"/>
      <c r="D189" s="22"/>
      <c r="E189" s="45"/>
      <c r="F189" s="45"/>
      <c r="G189" s="45"/>
      <c r="H189" s="45"/>
      <c r="I189" s="45"/>
      <c r="J189" s="45"/>
      <c r="K189" s="45"/>
      <c r="O189" s="37"/>
      <c r="P189" s="37"/>
      <c r="Y189" s="37"/>
      <c r="Z189" s="37"/>
    </row>
    <row r="190" spans="1:26" ht="15.75" customHeight="1" x14ac:dyDescent="0.45">
      <c r="A190" s="22"/>
      <c r="B190" s="22"/>
      <c r="C190" s="22"/>
      <c r="D190" s="22"/>
      <c r="E190" s="45"/>
      <c r="F190" s="45"/>
      <c r="G190" s="45"/>
      <c r="H190" s="45"/>
      <c r="I190" s="45"/>
      <c r="J190" s="45"/>
      <c r="K190" s="45"/>
      <c r="O190" s="37"/>
      <c r="P190" s="37"/>
      <c r="Y190" s="37"/>
      <c r="Z190" s="37"/>
    </row>
    <row r="191" spans="1:26" ht="15.75" customHeight="1" x14ac:dyDescent="0.45">
      <c r="A191" s="22"/>
      <c r="B191" s="22"/>
      <c r="C191" s="22"/>
      <c r="D191" s="22"/>
      <c r="E191" s="45"/>
      <c r="F191" s="45"/>
      <c r="G191" s="45"/>
      <c r="H191" s="45"/>
      <c r="I191" s="45"/>
      <c r="J191" s="45"/>
      <c r="K191" s="45"/>
      <c r="O191" s="37"/>
      <c r="P191" s="37"/>
      <c r="Y191" s="37"/>
      <c r="Z191" s="37"/>
    </row>
    <row r="192" spans="1:26" ht="15.75" customHeight="1" x14ac:dyDescent="0.45">
      <c r="A192" s="22"/>
      <c r="B192" s="22"/>
      <c r="C192" s="22"/>
      <c r="D192" s="22"/>
      <c r="E192" s="45"/>
      <c r="F192" s="45"/>
      <c r="G192" s="45"/>
      <c r="H192" s="45"/>
      <c r="I192" s="45"/>
      <c r="J192" s="45"/>
      <c r="K192" s="45"/>
      <c r="O192" s="37"/>
      <c r="P192" s="37"/>
      <c r="Y192" s="37"/>
      <c r="Z192" s="37"/>
    </row>
    <row r="193" spans="1:26" ht="15.75" customHeight="1" x14ac:dyDescent="0.45">
      <c r="A193" s="22"/>
      <c r="B193" s="22"/>
      <c r="C193" s="22"/>
      <c r="D193" s="22"/>
      <c r="E193" s="45"/>
      <c r="F193" s="45"/>
      <c r="G193" s="45"/>
      <c r="H193" s="45"/>
      <c r="I193" s="45"/>
      <c r="J193" s="45"/>
      <c r="K193" s="45"/>
      <c r="O193" s="37"/>
      <c r="P193" s="37"/>
      <c r="Y193" s="37"/>
      <c r="Z193" s="37"/>
    </row>
    <row r="194" spans="1:26" ht="15.75" customHeight="1" x14ac:dyDescent="0.45">
      <c r="A194" s="22"/>
      <c r="B194" s="22"/>
      <c r="C194" s="22"/>
      <c r="D194" s="22"/>
      <c r="E194" s="45"/>
      <c r="F194" s="45"/>
      <c r="G194" s="45"/>
      <c r="H194" s="45"/>
      <c r="I194" s="45"/>
      <c r="J194" s="45"/>
      <c r="K194" s="45"/>
      <c r="O194" s="37"/>
      <c r="P194" s="37"/>
      <c r="Y194" s="37"/>
      <c r="Z194" s="37"/>
    </row>
    <row r="195" spans="1:26" ht="15.75" customHeight="1" x14ac:dyDescent="0.45">
      <c r="A195" s="22"/>
      <c r="B195" s="22"/>
      <c r="C195" s="22"/>
      <c r="D195" s="22"/>
      <c r="E195" s="45"/>
      <c r="F195" s="45"/>
      <c r="G195" s="45"/>
      <c r="H195" s="45"/>
      <c r="I195" s="45"/>
      <c r="J195" s="45"/>
      <c r="K195" s="45"/>
      <c r="O195" s="37"/>
      <c r="P195" s="37"/>
      <c r="Y195" s="37"/>
      <c r="Z195" s="37"/>
    </row>
    <row r="196" spans="1:26" ht="15.75" customHeight="1" x14ac:dyDescent="0.45">
      <c r="A196" s="22"/>
      <c r="B196" s="22"/>
      <c r="C196" s="22"/>
      <c r="D196" s="22"/>
      <c r="E196" s="45"/>
      <c r="F196" s="45"/>
      <c r="G196" s="45"/>
      <c r="H196" s="45"/>
      <c r="I196" s="45"/>
      <c r="J196" s="45"/>
      <c r="K196" s="45"/>
      <c r="O196" s="37"/>
      <c r="P196" s="37"/>
      <c r="Y196" s="37"/>
      <c r="Z196" s="37"/>
    </row>
    <row r="197" spans="1:26" ht="15.75" customHeight="1" x14ac:dyDescent="0.45">
      <c r="A197" s="22"/>
      <c r="B197" s="22"/>
      <c r="C197" s="22"/>
      <c r="D197" s="22"/>
      <c r="E197" s="45"/>
      <c r="F197" s="45"/>
      <c r="G197" s="45"/>
      <c r="H197" s="45"/>
      <c r="I197" s="45"/>
      <c r="J197" s="45"/>
      <c r="K197" s="45"/>
      <c r="O197" s="37"/>
      <c r="P197" s="37"/>
      <c r="Y197" s="37"/>
      <c r="Z197" s="37"/>
    </row>
    <row r="198" spans="1:26" ht="15.75" customHeight="1" x14ac:dyDescent="0.45">
      <c r="A198" s="22"/>
      <c r="B198" s="22"/>
      <c r="C198" s="22"/>
      <c r="D198" s="22"/>
      <c r="E198" s="45"/>
      <c r="F198" s="45"/>
      <c r="G198" s="45"/>
      <c r="H198" s="45"/>
      <c r="I198" s="45"/>
      <c r="J198" s="45"/>
      <c r="K198" s="45"/>
      <c r="O198" s="37"/>
      <c r="P198" s="37"/>
      <c r="Y198" s="37"/>
      <c r="Z198" s="37"/>
    </row>
    <row r="199" spans="1:26" ht="15.75" customHeight="1" x14ac:dyDescent="0.45">
      <c r="A199" s="22"/>
      <c r="B199" s="22"/>
      <c r="C199" s="22"/>
      <c r="D199" s="22"/>
      <c r="E199" s="45"/>
      <c r="F199" s="45"/>
      <c r="G199" s="45"/>
      <c r="H199" s="45"/>
      <c r="I199" s="45"/>
      <c r="J199" s="45"/>
      <c r="K199" s="45"/>
      <c r="O199" s="37"/>
      <c r="P199" s="37"/>
      <c r="Y199" s="37"/>
      <c r="Z199" s="37"/>
    </row>
    <row r="200" spans="1:26" ht="15.75" customHeight="1" x14ac:dyDescent="0.45">
      <c r="A200" s="22"/>
      <c r="B200" s="22"/>
      <c r="C200" s="22"/>
      <c r="D200" s="22"/>
      <c r="E200" s="45"/>
      <c r="F200" s="45"/>
      <c r="G200" s="45"/>
      <c r="H200" s="45"/>
      <c r="I200" s="45"/>
      <c r="J200" s="45"/>
      <c r="K200" s="45"/>
      <c r="O200" s="37"/>
      <c r="P200" s="37"/>
      <c r="Y200" s="37"/>
      <c r="Z200" s="37"/>
    </row>
    <row r="201" spans="1:26" ht="15.75" customHeight="1" x14ac:dyDescent="0.45">
      <c r="A201" s="22"/>
      <c r="B201" s="22"/>
      <c r="C201" s="22"/>
      <c r="D201" s="22"/>
      <c r="E201" s="45"/>
      <c r="F201" s="45"/>
      <c r="G201" s="45"/>
      <c r="H201" s="45"/>
      <c r="I201" s="45"/>
      <c r="J201" s="45"/>
      <c r="K201" s="45"/>
      <c r="O201" s="37"/>
      <c r="P201" s="37"/>
      <c r="Y201" s="37"/>
      <c r="Z201" s="37"/>
    </row>
    <row r="202" spans="1:26" ht="15.75" customHeight="1" x14ac:dyDescent="0.45">
      <c r="A202" s="22"/>
      <c r="B202" s="22"/>
      <c r="C202" s="22"/>
      <c r="D202" s="22"/>
      <c r="E202" s="45"/>
      <c r="F202" s="45"/>
      <c r="G202" s="45"/>
      <c r="H202" s="45"/>
      <c r="I202" s="45"/>
      <c r="J202" s="45"/>
      <c r="K202" s="45"/>
      <c r="O202" s="37"/>
      <c r="P202" s="37"/>
      <c r="Y202" s="37"/>
      <c r="Z202" s="37"/>
    </row>
    <row r="203" spans="1:26" ht="15.75" customHeight="1" x14ac:dyDescent="0.45">
      <c r="A203" s="22"/>
      <c r="B203" s="22"/>
      <c r="C203" s="22"/>
      <c r="D203" s="22"/>
      <c r="E203" s="45"/>
      <c r="F203" s="45"/>
      <c r="G203" s="45"/>
      <c r="H203" s="45"/>
      <c r="I203" s="45"/>
      <c r="J203" s="45"/>
      <c r="K203" s="45"/>
      <c r="O203" s="37"/>
      <c r="P203" s="37"/>
      <c r="Y203" s="37"/>
      <c r="Z203" s="37"/>
    </row>
    <row r="204" spans="1:26" ht="15.75" customHeight="1" x14ac:dyDescent="0.45">
      <c r="A204" s="22"/>
      <c r="B204" s="22"/>
      <c r="C204" s="22"/>
      <c r="D204" s="22"/>
      <c r="E204" s="45"/>
      <c r="F204" s="45"/>
      <c r="G204" s="45"/>
      <c r="H204" s="45"/>
      <c r="I204" s="45"/>
      <c r="J204" s="45"/>
      <c r="K204" s="45"/>
      <c r="O204" s="37"/>
      <c r="P204" s="37"/>
      <c r="Y204" s="37"/>
      <c r="Z204" s="37"/>
    </row>
    <row r="205" spans="1:26" ht="15.75" customHeight="1" x14ac:dyDescent="0.45">
      <c r="A205" s="22"/>
      <c r="B205" s="22"/>
      <c r="C205" s="22"/>
      <c r="D205" s="22"/>
      <c r="E205" s="45"/>
      <c r="F205" s="45"/>
      <c r="G205" s="45"/>
      <c r="H205" s="45"/>
      <c r="I205" s="45"/>
      <c r="J205" s="45"/>
      <c r="K205" s="45"/>
      <c r="O205" s="37"/>
      <c r="P205" s="37"/>
      <c r="Y205" s="37"/>
      <c r="Z205" s="37"/>
    </row>
    <row r="206" spans="1:26" ht="15.75" customHeight="1" x14ac:dyDescent="0.45">
      <c r="A206" s="22"/>
      <c r="B206" s="22"/>
      <c r="C206" s="22"/>
      <c r="D206" s="22"/>
      <c r="E206" s="45"/>
      <c r="F206" s="45"/>
      <c r="G206" s="45"/>
      <c r="H206" s="45"/>
      <c r="I206" s="45"/>
      <c r="J206" s="45"/>
      <c r="K206" s="45"/>
      <c r="O206" s="37"/>
      <c r="P206" s="37"/>
      <c r="Y206" s="37"/>
      <c r="Z206" s="37"/>
    </row>
    <row r="207" spans="1:26" ht="15.75" customHeight="1" x14ac:dyDescent="0.45">
      <c r="A207" s="22"/>
      <c r="B207" s="22"/>
      <c r="C207" s="22"/>
      <c r="D207" s="22"/>
      <c r="E207" s="45"/>
      <c r="F207" s="45"/>
      <c r="G207" s="45"/>
      <c r="H207" s="45"/>
      <c r="I207" s="45"/>
      <c r="J207" s="45"/>
      <c r="K207" s="45"/>
      <c r="O207" s="37"/>
      <c r="P207" s="37"/>
      <c r="Y207" s="37"/>
      <c r="Z207" s="37"/>
    </row>
    <row r="208" spans="1:26" ht="15.75" customHeight="1" x14ac:dyDescent="0.45">
      <c r="A208" s="22"/>
      <c r="B208" s="22"/>
      <c r="C208" s="22"/>
      <c r="D208" s="22"/>
      <c r="E208" s="45"/>
      <c r="F208" s="45"/>
      <c r="G208" s="45"/>
      <c r="H208" s="45"/>
      <c r="I208" s="45"/>
      <c r="J208" s="45"/>
      <c r="K208" s="45"/>
      <c r="O208" s="37"/>
      <c r="P208" s="37"/>
      <c r="Y208" s="37"/>
      <c r="Z208" s="37"/>
    </row>
    <row r="209" spans="1:26" ht="15.75" customHeight="1" x14ac:dyDescent="0.45">
      <c r="A209" s="22"/>
      <c r="B209" s="22"/>
      <c r="C209" s="22"/>
      <c r="D209" s="22"/>
      <c r="E209" s="45"/>
      <c r="F209" s="45"/>
      <c r="G209" s="45"/>
      <c r="H209" s="45"/>
      <c r="I209" s="45"/>
      <c r="J209" s="45"/>
      <c r="K209" s="45"/>
      <c r="O209" s="37"/>
      <c r="P209" s="37"/>
      <c r="Y209" s="37"/>
      <c r="Z209" s="37"/>
    </row>
    <row r="210" spans="1:26" ht="15.75" customHeight="1" x14ac:dyDescent="0.45">
      <c r="A210" s="22"/>
      <c r="B210" s="22"/>
      <c r="C210" s="22"/>
      <c r="D210" s="22"/>
      <c r="E210" s="45"/>
      <c r="F210" s="45"/>
      <c r="G210" s="45"/>
      <c r="H210" s="45"/>
      <c r="I210" s="45"/>
      <c r="J210" s="45"/>
      <c r="K210" s="45"/>
      <c r="O210" s="37"/>
      <c r="P210" s="37"/>
      <c r="Y210" s="37"/>
      <c r="Z210" s="37"/>
    </row>
    <row r="211" spans="1:26" ht="15.75" customHeight="1" x14ac:dyDescent="0.45">
      <c r="A211" s="22"/>
      <c r="B211" s="22"/>
      <c r="C211" s="22"/>
      <c r="D211" s="22"/>
      <c r="E211" s="45"/>
      <c r="F211" s="45"/>
      <c r="G211" s="45"/>
      <c r="H211" s="45"/>
      <c r="I211" s="45"/>
      <c r="J211" s="45"/>
      <c r="K211" s="45"/>
      <c r="O211" s="37"/>
      <c r="P211" s="37"/>
      <c r="Y211" s="37"/>
      <c r="Z211" s="37"/>
    </row>
    <row r="212" spans="1:26" ht="15.75" customHeight="1" x14ac:dyDescent="0.45">
      <c r="A212" s="22"/>
      <c r="B212" s="22"/>
      <c r="C212" s="22"/>
      <c r="D212" s="22"/>
      <c r="E212" s="45"/>
      <c r="F212" s="45"/>
      <c r="G212" s="45"/>
      <c r="H212" s="45"/>
      <c r="I212" s="45"/>
      <c r="J212" s="45"/>
      <c r="K212" s="45"/>
      <c r="O212" s="37"/>
      <c r="P212" s="37"/>
      <c r="Y212" s="37"/>
      <c r="Z212" s="37"/>
    </row>
    <row r="213" spans="1:26" ht="15.75" customHeight="1" x14ac:dyDescent="0.45">
      <c r="A213" s="22"/>
      <c r="B213" s="22"/>
      <c r="C213" s="22"/>
      <c r="D213" s="22"/>
      <c r="E213" s="45"/>
      <c r="F213" s="45"/>
      <c r="G213" s="45"/>
      <c r="H213" s="45"/>
      <c r="I213" s="45"/>
      <c r="J213" s="45"/>
      <c r="K213" s="45"/>
      <c r="O213" s="37"/>
      <c r="P213" s="37"/>
      <c r="Y213" s="37"/>
      <c r="Z213" s="37"/>
    </row>
    <row r="214" spans="1:26" ht="15.75" customHeight="1" x14ac:dyDescent="0.45">
      <c r="A214" s="22"/>
      <c r="B214" s="22"/>
      <c r="C214" s="22"/>
      <c r="D214" s="22"/>
      <c r="E214" s="45"/>
      <c r="F214" s="45"/>
      <c r="G214" s="45"/>
      <c r="H214" s="45"/>
      <c r="I214" s="45"/>
      <c r="J214" s="45"/>
      <c r="K214" s="45"/>
      <c r="O214" s="37"/>
      <c r="P214" s="37"/>
      <c r="Y214" s="37"/>
      <c r="Z214" s="37"/>
    </row>
    <row r="215" spans="1:26" ht="15.75" customHeight="1" x14ac:dyDescent="0.45">
      <c r="A215" s="22"/>
      <c r="B215" s="22"/>
      <c r="C215" s="22"/>
      <c r="D215" s="22"/>
      <c r="E215" s="45"/>
      <c r="F215" s="45"/>
      <c r="G215" s="45"/>
      <c r="H215" s="45"/>
      <c r="I215" s="45"/>
      <c r="J215" s="45"/>
      <c r="K215" s="45"/>
      <c r="O215" s="37"/>
      <c r="P215" s="37"/>
      <c r="Y215" s="37"/>
      <c r="Z215" s="37"/>
    </row>
    <row r="216" spans="1:26" ht="15.75" customHeight="1" x14ac:dyDescent="0.45">
      <c r="A216" s="22"/>
      <c r="B216" s="22"/>
      <c r="C216" s="22"/>
      <c r="D216" s="22"/>
      <c r="E216" s="45"/>
      <c r="F216" s="45"/>
      <c r="G216" s="45"/>
      <c r="H216" s="45"/>
      <c r="I216" s="45"/>
      <c r="J216" s="45"/>
      <c r="K216" s="45"/>
      <c r="O216" s="37"/>
      <c r="P216" s="37"/>
      <c r="Y216" s="37"/>
      <c r="Z216" s="37"/>
    </row>
    <row r="217" spans="1:26" ht="15.75" customHeight="1" x14ac:dyDescent="0.45">
      <c r="A217" s="22"/>
      <c r="B217" s="22"/>
      <c r="C217" s="22"/>
      <c r="D217" s="22"/>
      <c r="E217" s="45"/>
      <c r="F217" s="45"/>
      <c r="G217" s="45"/>
      <c r="H217" s="45"/>
      <c r="I217" s="45"/>
      <c r="J217" s="45"/>
      <c r="K217" s="45"/>
      <c r="O217" s="37"/>
      <c r="P217" s="37"/>
      <c r="Y217" s="37"/>
      <c r="Z217" s="37"/>
    </row>
    <row r="218" spans="1:26" ht="15.75" customHeight="1" x14ac:dyDescent="0.45">
      <c r="A218" s="22"/>
      <c r="B218" s="22"/>
      <c r="C218" s="22"/>
      <c r="D218" s="22"/>
      <c r="E218" s="45"/>
      <c r="F218" s="45"/>
      <c r="G218" s="45"/>
      <c r="H218" s="45"/>
      <c r="I218" s="45"/>
      <c r="J218" s="45"/>
      <c r="K218" s="45"/>
      <c r="O218" s="37"/>
      <c r="P218" s="37"/>
      <c r="Y218" s="37"/>
      <c r="Z218" s="37"/>
    </row>
    <row r="219" spans="1:26" ht="15.75" customHeight="1" x14ac:dyDescent="0.45">
      <c r="A219" s="22"/>
      <c r="B219" s="22"/>
      <c r="C219" s="22"/>
      <c r="D219" s="22"/>
      <c r="E219" s="45"/>
      <c r="F219" s="45"/>
      <c r="G219" s="45"/>
      <c r="H219" s="45"/>
      <c r="I219" s="45"/>
      <c r="J219" s="45"/>
      <c r="K219" s="45"/>
      <c r="O219" s="37"/>
      <c r="P219" s="37"/>
      <c r="Y219" s="37"/>
      <c r="Z219" s="37"/>
    </row>
    <row r="220" spans="1:26" ht="15.75" customHeight="1" x14ac:dyDescent="0.45">
      <c r="A220" s="22"/>
      <c r="B220" s="22"/>
      <c r="C220" s="22"/>
      <c r="D220" s="22"/>
      <c r="E220" s="45"/>
      <c r="F220" s="45"/>
      <c r="G220" s="45"/>
      <c r="H220" s="45"/>
      <c r="I220" s="45"/>
      <c r="J220" s="45"/>
      <c r="K220" s="45"/>
      <c r="O220" s="37"/>
      <c r="P220" s="37"/>
      <c r="Y220" s="37"/>
      <c r="Z220" s="37"/>
    </row>
    <row r="221" spans="1:26" ht="15.75" customHeight="1" x14ac:dyDescent="0.45">
      <c r="A221" s="22"/>
      <c r="B221" s="22"/>
      <c r="C221" s="22"/>
      <c r="D221" s="22"/>
      <c r="E221" s="45"/>
      <c r="F221" s="45"/>
      <c r="G221" s="45"/>
      <c r="H221" s="45"/>
      <c r="I221" s="45"/>
      <c r="J221" s="45"/>
      <c r="K221" s="45"/>
      <c r="O221" s="37"/>
      <c r="P221" s="37"/>
      <c r="Y221" s="37"/>
      <c r="Z221" s="37"/>
    </row>
    <row r="222" spans="1:26" ht="15.75" customHeight="1" x14ac:dyDescent="0.45">
      <c r="A222" s="22"/>
      <c r="B222" s="22"/>
      <c r="C222" s="22"/>
      <c r="D222" s="22"/>
      <c r="E222" s="45"/>
      <c r="F222" s="45"/>
      <c r="G222" s="45"/>
      <c r="H222" s="45"/>
      <c r="I222" s="45"/>
      <c r="J222" s="45"/>
      <c r="K222" s="45"/>
      <c r="O222" s="37"/>
      <c r="P222" s="37"/>
      <c r="Y222" s="37"/>
      <c r="Z222" s="37"/>
    </row>
    <row r="223" spans="1:26" ht="15.75" customHeight="1" x14ac:dyDescent="0.45">
      <c r="A223" s="22"/>
      <c r="B223" s="22"/>
      <c r="C223" s="22"/>
      <c r="D223" s="22"/>
      <c r="E223" s="45"/>
      <c r="F223" s="45"/>
      <c r="G223" s="45"/>
      <c r="H223" s="45"/>
      <c r="I223" s="45"/>
      <c r="J223" s="45"/>
      <c r="K223" s="45"/>
      <c r="O223" s="37"/>
      <c r="P223" s="37"/>
      <c r="Y223" s="37"/>
      <c r="Z223" s="37"/>
    </row>
    <row r="224" spans="1:26" ht="15.75" customHeight="1" x14ac:dyDescent="0.45">
      <c r="A224" s="22"/>
      <c r="B224" s="22"/>
      <c r="C224" s="22"/>
      <c r="D224" s="22"/>
      <c r="E224" s="45"/>
      <c r="F224" s="45"/>
      <c r="G224" s="45"/>
      <c r="H224" s="45"/>
      <c r="I224" s="45"/>
      <c r="J224" s="45"/>
      <c r="K224" s="45"/>
      <c r="O224" s="37"/>
      <c r="P224" s="37"/>
      <c r="Y224" s="37"/>
      <c r="Z224" s="37"/>
    </row>
    <row r="225" spans="1:26" ht="15.75" customHeight="1" x14ac:dyDescent="0.45">
      <c r="A225" s="22"/>
      <c r="B225" s="22"/>
      <c r="C225" s="22"/>
      <c r="D225" s="22"/>
      <c r="E225" s="45"/>
      <c r="F225" s="45"/>
      <c r="G225" s="45"/>
      <c r="H225" s="45"/>
      <c r="I225" s="45"/>
      <c r="J225" s="45"/>
      <c r="K225" s="45"/>
      <c r="O225" s="37"/>
      <c r="P225" s="37"/>
      <c r="Y225" s="37"/>
      <c r="Z225" s="37"/>
    </row>
    <row r="226" spans="1:26" ht="15.75" customHeight="1" x14ac:dyDescent="0.45">
      <c r="A226" s="22"/>
      <c r="B226" s="22"/>
      <c r="C226" s="22"/>
      <c r="D226" s="22"/>
      <c r="E226" s="45"/>
      <c r="F226" s="45"/>
      <c r="G226" s="45"/>
      <c r="H226" s="45"/>
      <c r="I226" s="45"/>
      <c r="J226" s="45"/>
      <c r="K226" s="45"/>
      <c r="O226" s="37"/>
      <c r="P226" s="37"/>
      <c r="Y226" s="37"/>
      <c r="Z226" s="37"/>
    </row>
    <row r="227" spans="1:26" ht="15.75" customHeight="1" x14ac:dyDescent="0.45">
      <c r="A227" s="22"/>
      <c r="B227" s="22"/>
      <c r="C227" s="22"/>
      <c r="D227" s="22"/>
      <c r="E227" s="45"/>
      <c r="F227" s="45"/>
      <c r="G227" s="45"/>
      <c r="H227" s="45"/>
      <c r="I227" s="45"/>
      <c r="J227" s="45"/>
      <c r="K227" s="45"/>
      <c r="O227" s="37"/>
      <c r="P227" s="37"/>
      <c r="Y227" s="37"/>
      <c r="Z227" s="37"/>
    </row>
    <row r="228" spans="1:26" ht="15.75" customHeight="1" x14ac:dyDescent="0.45">
      <c r="A228" s="22"/>
      <c r="B228" s="22"/>
      <c r="C228" s="22"/>
      <c r="D228" s="22"/>
      <c r="E228" s="45"/>
      <c r="F228" s="45"/>
      <c r="G228" s="45"/>
      <c r="H228" s="45"/>
      <c r="I228" s="45"/>
      <c r="J228" s="45"/>
      <c r="K228" s="45"/>
      <c r="O228" s="37"/>
      <c r="P228" s="37"/>
      <c r="Y228" s="37"/>
      <c r="Z228" s="37"/>
    </row>
    <row r="229" spans="1:26" ht="15.75" customHeight="1" x14ac:dyDescent="0.45">
      <c r="A229" s="22"/>
      <c r="B229" s="22"/>
      <c r="C229" s="22"/>
      <c r="D229" s="22"/>
      <c r="E229" s="45"/>
      <c r="F229" s="45"/>
      <c r="G229" s="45"/>
      <c r="H229" s="45"/>
      <c r="I229" s="45"/>
      <c r="J229" s="45"/>
      <c r="K229" s="45"/>
      <c r="O229" s="37"/>
      <c r="P229" s="37"/>
      <c r="Y229" s="37"/>
      <c r="Z229" s="37"/>
    </row>
    <row r="230" spans="1:26" ht="15.75" customHeight="1" x14ac:dyDescent="0.45">
      <c r="A230" s="22"/>
      <c r="B230" s="22"/>
      <c r="C230" s="22"/>
      <c r="D230" s="22"/>
      <c r="E230" s="45"/>
      <c r="F230" s="45"/>
      <c r="G230" s="45"/>
      <c r="H230" s="45"/>
      <c r="I230" s="45"/>
      <c r="J230" s="45"/>
      <c r="K230" s="45"/>
      <c r="O230" s="37"/>
      <c r="P230" s="37"/>
      <c r="Y230" s="37"/>
      <c r="Z230" s="37"/>
    </row>
    <row r="231" spans="1:26" ht="15.75" customHeight="1" x14ac:dyDescent="0.45">
      <c r="A231" s="22"/>
      <c r="B231" s="22"/>
      <c r="C231" s="22"/>
      <c r="D231" s="22"/>
      <c r="E231" s="45"/>
      <c r="F231" s="45"/>
      <c r="G231" s="45"/>
      <c r="H231" s="45"/>
      <c r="I231" s="45"/>
      <c r="J231" s="45"/>
      <c r="K231" s="45"/>
      <c r="O231" s="37"/>
      <c r="P231" s="37"/>
      <c r="Y231" s="37"/>
      <c r="Z231" s="37"/>
    </row>
    <row r="232" spans="1:26" ht="15.75" customHeight="1" x14ac:dyDescent="0.45">
      <c r="A232" s="22"/>
      <c r="B232" s="22"/>
      <c r="C232" s="22"/>
      <c r="D232" s="22"/>
      <c r="E232" s="45"/>
      <c r="F232" s="45"/>
      <c r="G232" s="45"/>
      <c r="H232" s="45"/>
      <c r="I232" s="45"/>
      <c r="J232" s="45"/>
      <c r="K232" s="45"/>
      <c r="O232" s="37"/>
      <c r="P232" s="37"/>
      <c r="Y232" s="37"/>
      <c r="Z232" s="37"/>
    </row>
    <row r="233" spans="1:26" ht="15.75" customHeight="1" x14ac:dyDescent="0.45">
      <c r="A233" s="22"/>
      <c r="B233" s="22"/>
      <c r="C233" s="22"/>
      <c r="D233" s="22"/>
      <c r="E233" s="45"/>
      <c r="F233" s="45"/>
      <c r="G233" s="45"/>
      <c r="H233" s="45"/>
      <c r="I233" s="45"/>
      <c r="J233" s="45"/>
      <c r="K233" s="45"/>
      <c r="O233" s="37"/>
      <c r="P233" s="37"/>
      <c r="Y233" s="37"/>
      <c r="Z233" s="37"/>
    </row>
    <row r="234" spans="1:26" ht="15.75" customHeight="1" x14ac:dyDescent="0.45">
      <c r="A234" s="22"/>
      <c r="B234" s="22"/>
      <c r="C234" s="22"/>
      <c r="D234" s="22"/>
      <c r="E234" s="45"/>
      <c r="F234" s="45"/>
      <c r="G234" s="45"/>
      <c r="H234" s="45"/>
      <c r="I234" s="45"/>
      <c r="J234" s="45"/>
      <c r="K234" s="45"/>
      <c r="O234" s="37"/>
      <c r="P234" s="37"/>
      <c r="Y234" s="37"/>
      <c r="Z234" s="37"/>
    </row>
    <row r="235" spans="1:26" ht="15.75" customHeight="1" x14ac:dyDescent="0.45">
      <c r="A235" s="22"/>
      <c r="B235" s="22"/>
      <c r="C235" s="22"/>
      <c r="D235" s="22"/>
      <c r="E235" s="45"/>
      <c r="F235" s="45"/>
      <c r="G235" s="45"/>
      <c r="H235" s="45"/>
      <c r="I235" s="45"/>
      <c r="J235" s="45"/>
      <c r="K235" s="45"/>
      <c r="O235" s="37"/>
      <c r="P235" s="37"/>
      <c r="Y235" s="37"/>
      <c r="Z235" s="37"/>
    </row>
    <row r="236" spans="1:26" ht="15.75" customHeight="1" x14ac:dyDescent="0.45">
      <c r="A236" s="22"/>
      <c r="B236" s="22"/>
      <c r="C236" s="22"/>
      <c r="D236" s="22"/>
      <c r="E236" s="45"/>
      <c r="F236" s="45"/>
      <c r="G236" s="45"/>
      <c r="H236" s="45"/>
      <c r="I236" s="45"/>
      <c r="J236" s="45"/>
      <c r="K236" s="45"/>
      <c r="O236" s="37"/>
      <c r="P236" s="37"/>
      <c r="Y236" s="37"/>
      <c r="Z236" s="37"/>
    </row>
    <row r="237" spans="1:26" ht="15.75" customHeight="1" x14ac:dyDescent="0.45">
      <c r="A237" s="22"/>
      <c r="B237" s="22"/>
      <c r="C237" s="22"/>
      <c r="D237" s="22"/>
      <c r="E237" s="45"/>
      <c r="F237" s="45"/>
      <c r="G237" s="45"/>
      <c r="H237" s="45"/>
      <c r="I237" s="45"/>
      <c r="J237" s="45"/>
      <c r="K237" s="45"/>
      <c r="O237" s="37"/>
      <c r="P237" s="37"/>
      <c r="Y237" s="37"/>
      <c r="Z237" s="37"/>
    </row>
    <row r="238" spans="1:26" ht="15.75" customHeight="1" x14ac:dyDescent="0.45">
      <c r="A238" s="22"/>
      <c r="B238" s="22"/>
      <c r="C238" s="22"/>
      <c r="D238" s="22"/>
      <c r="E238" s="45"/>
      <c r="F238" s="45"/>
      <c r="G238" s="45"/>
      <c r="H238" s="45"/>
      <c r="I238" s="45"/>
      <c r="J238" s="45"/>
      <c r="K238" s="45"/>
      <c r="O238" s="37"/>
      <c r="P238" s="37"/>
      <c r="Y238" s="37"/>
      <c r="Z238" s="37"/>
    </row>
    <row r="239" spans="1:26" ht="15.75" customHeight="1" x14ac:dyDescent="0.45">
      <c r="A239" s="22"/>
      <c r="B239" s="22"/>
      <c r="C239" s="22"/>
      <c r="D239" s="22"/>
      <c r="E239" s="45"/>
      <c r="F239" s="45"/>
      <c r="G239" s="45"/>
      <c r="H239" s="45"/>
      <c r="I239" s="45"/>
      <c r="J239" s="45"/>
      <c r="K239" s="45"/>
      <c r="O239" s="37"/>
      <c r="P239" s="37"/>
      <c r="Y239" s="37"/>
      <c r="Z239" s="37"/>
    </row>
    <row r="240" spans="1:26" ht="15.75" customHeight="1" x14ac:dyDescent="0.45">
      <c r="A240" s="22"/>
      <c r="B240" s="22"/>
      <c r="C240" s="22"/>
      <c r="D240" s="22"/>
      <c r="E240" s="45"/>
      <c r="F240" s="45"/>
      <c r="G240" s="45"/>
      <c r="H240" s="45"/>
      <c r="I240" s="45"/>
      <c r="J240" s="45"/>
      <c r="K240" s="45"/>
      <c r="O240" s="37"/>
      <c r="P240" s="37"/>
      <c r="Y240" s="37"/>
      <c r="Z240" s="37"/>
    </row>
    <row r="241" spans="1:26" ht="15.75" customHeight="1" x14ac:dyDescent="0.45">
      <c r="A241" s="22"/>
      <c r="B241" s="22"/>
      <c r="C241" s="22"/>
      <c r="D241" s="22"/>
      <c r="E241" s="45"/>
      <c r="F241" s="45"/>
      <c r="G241" s="45"/>
      <c r="H241" s="45"/>
      <c r="I241" s="45"/>
      <c r="J241" s="45"/>
      <c r="K241" s="45"/>
      <c r="O241" s="37"/>
      <c r="P241" s="37"/>
      <c r="Y241" s="37"/>
      <c r="Z241" s="37"/>
    </row>
    <row r="242" spans="1:26" ht="15.75" customHeight="1" x14ac:dyDescent="0.45">
      <c r="A242" s="22"/>
      <c r="B242" s="22"/>
      <c r="C242" s="22"/>
      <c r="D242" s="22"/>
      <c r="E242" s="45"/>
      <c r="F242" s="45"/>
      <c r="G242" s="45"/>
      <c r="H242" s="45"/>
      <c r="I242" s="45"/>
      <c r="J242" s="45"/>
      <c r="K242" s="45"/>
      <c r="O242" s="37"/>
      <c r="P242" s="37"/>
      <c r="Y242" s="37"/>
      <c r="Z242" s="37"/>
    </row>
    <row r="243" spans="1:26" ht="15.75" customHeight="1" x14ac:dyDescent="0.45">
      <c r="A243" s="22"/>
      <c r="B243" s="22"/>
      <c r="C243" s="22"/>
      <c r="D243" s="22"/>
      <c r="E243" s="45"/>
      <c r="F243" s="45"/>
      <c r="G243" s="45"/>
      <c r="H243" s="45"/>
      <c r="I243" s="45"/>
      <c r="J243" s="45"/>
      <c r="K243" s="45"/>
      <c r="O243" s="37"/>
      <c r="P243" s="37"/>
      <c r="Y243" s="37"/>
      <c r="Z243" s="37"/>
    </row>
    <row r="244" spans="1:26" ht="15.75" customHeight="1" x14ac:dyDescent="0.45">
      <c r="A244" s="22"/>
      <c r="B244" s="22"/>
      <c r="C244" s="22"/>
      <c r="D244" s="22"/>
      <c r="E244" s="45"/>
      <c r="F244" s="45"/>
      <c r="G244" s="45"/>
      <c r="H244" s="45"/>
      <c r="I244" s="45"/>
      <c r="J244" s="45"/>
      <c r="K244" s="45"/>
      <c r="O244" s="37"/>
      <c r="P244" s="37"/>
      <c r="Y244" s="37"/>
      <c r="Z244" s="37"/>
    </row>
    <row r="245" spans="1:26" ht="15.75" customHeight="1" x14ac:dyDescent="0.45">
      <c r="A245" s="22"/>
      <c r="B245" s="22"/>
      <c r="C245" s="22"/>
      <c r="D245" s="22"/>
      <c r="E245" s="45"/>
      <c r="F245" s="45"/>
      <c r="G245" s="45"/>
      <c r="H245" s="45"/>
      <c r="I245" s="45"/>
      <c r="J245" s="45"/>
      <c r="K245" s="45"/>
      <c r="O245" s="37"/>
      <c r="P245" s="37"/>
      <c r="Y245" s="37"/>
      <c r="Z245" s="37"/>
    </row>
    <row r="246" spans="1:26" ht="15.75" customHeight="1" x14ac:dyDescent="0.45">
      <c r="A246" s="22"/>
      <c r="B246" s="22"/>
      <c r="C246" s="22"/>
      <c r="D246" s="22"/>
      <c r="E246" s="45"/>
      <c r="F246" s="45"/>
      <c r="G246" s="45"/>
      <c r="H246" s="45"/>
      <c r="I246" s="45"/>
      <c r="J246" s="45"/>
      <c r="K246" s="45"/>
      <c r="O246" s="37"/>
      <c r="P246" s="37"/>
      <c r="Y246" s="37"/>
      <c r="Z246" s="37"/>
    </row>
    <row r="247" spans="1:26" ht="15.75" customHeight="1" x14ac:dyDescent="0.45">
      <c r="A247" s="22"/>
      <c r="B247" s="22"/>
      <c r="C247" s="22"/>
      <c r="D247" s="22"/>
      <c r="E247" s="45"/>
      <c r="F247" s="45"/>
      <c r="G247" s="45"/>
      <c r="H247" s="45"/>
      <c r="I247" s="45"/>
      <c r="J247" s="45"/>
      <c r="K247" s="45"/>
      <c r="O247" s="37"/>
      <c r="P247" s="37"/>
      <c r="Y247" s="37"/>
      <c r="Z247" s="37"/>
    </row>
    <row r="248" spans="1:26" ht="15.75" customHeight="1" x14ac:dyDescent="0.45">
      <c r="A248" s="22"/>
      <c r="B248" s="22"/>
      <c r="C248" s="22"/>
      <c r="D248" s="22"/>
      <c r="E248" s="45"/>
      <c r="F248" s="45"/>
      <c r="G248" s="45"/>
      <c r="H248" s="45"/>
      <c r="I248" s="45"/>
      <c r="J248" s="45"/>
      <c r="K248" s="45"/>
      <c r="O248" s="37"/>
      <c r="P248" s="37"/>
      <c r="Y248" s="37"/>
      <c r="Z248" s="37"/>
    </row>
    <row r="249" spans="1:26" ht="15.75" customHeight="1" x14ac:dyDescent="0.45">
      <c r="A249" s="22"/>
      <c r="B249" s="22"/>
      <c r="C249" s="22"/>
      <c r="D249" s="22"/>
      <c r="E249" s="45"/>
      <c r="F249" s="45"/>
      <c r="G249" s="45"/>
      <c r="H249" s="45"/>
      <c r="I249" s="45"/>
      <c r="J249" s="45"/>
      <c r="K249" s="45"/>
      <c r="O249" s="37"/>
      <c r="P249" s="37"/>
      <c r="Y249" s="37"/>
      <c r="Z249" s="37"/>
    </row>
    <row r="250" spans="1:26" ht="15.75" customHeight="1" x14ac:dyDescent="0.45">
      <c r="A250" s="22"/>
      <c r="B250" s="22"/>
      <c r="C250" s="22"/>
      <c r="D250" s="22"/>
      <c r="E250" s="45"/>
      <c r="F250" s="45"/>
      <c r="G250" s="45"/>
      <c r="H250" s="45"/>
      <c r="I250" s="45"/>
      <c r="J250" s="45"/>
      <c r="K250" s="45"/>
      <c r="O250" s="37"/>
      <c r="P250" s="37"/>
      <c r="Y250" s="37"/>
      <c r="Z250" s="37"/>
    </row>
    <row r="251" spans="1:26" ht="15.75" customHeight="1" x14ac:dyDescent="0.45">
      <c r="A251" s="22"/>
      <c r="B251" s="22"/>
      <c r="C251" s="22"/>
      <c r="D251" s="22"/>
      <c r="E251" s="45"/>
      <c r="F251" s="45"/>
      <c r="G251" s="45"/>
      <c r="H251" s="45"/>
      <c r="I251" s="45"/>
      <c r="J251" s="45"/>
      <c r="K251" s="45"/>
      <c r="O251" s="37"/>
      <c r="P251" s="37"/>
      <c r="Y251" s="37"/>
      <c r="Z251" s="37"/>
    </row>
    <row r="252" spans="1:26" ht="15.75" customHeight="1" x14ac:dyDescent="0.45">
      <c r="A252" s="22"/>
      <c r="B252" s="22"/>
      <c r="C252" s="22"/>
      <c r="D252" s="22"/>
      <c r="E252" s="45"/>
      <c r="F252" s="45"/>
      <c r="G252" s="45"/>
      <c r="H252" s="45"/>
      <c r="I252" s="45"/>
      <c r="J252" s="45"/>
      <c r="K252" s="45"/>
      <c r="O252" s="37"/>
      <c r="P252" s="37"/>
      <c r="Y252" s="37"/>
      <c r="Z252" s="37"/>
    </row>
    <row r="253" spans="1:26" ht="15.75" customHeight="1" x14ac:dyDescent="0.45">
      <c r="A253" s="22"/>
      <c r="B253" s="22"/>
      <c r="C253" s="22"/>
      <c r="D253" s="22"/>
      <c r="E253" s="45"/>
      <c r="F253" s="45"/>
      <c r="G253" s="45"/>
      <c r="H253" s="45"/>
      <c r="I253" s="45"/>
      <c r="J253" s="45"/>
      <c r="K253" s="45"/>
      <c r="O253" s="37"/>
      <c r="P253" s="37"/>
      <c r="Y253" s="37"/>
      <c r="Z253" s="37"/>
    </row>
    <row r="254" spans="1:26" ht="15.75" customHeight="1" x14ac:dyDescent="0.45">
      <c r="A254" s="22"/>
      <c r="B254" s="22"/>
      <c r="C254" s="22"/>
      <c r="D254" s="22"/>
      <c r="E254" s="45"/>
      <c r="F254" s="45"/>
      <c r="G254" s="45"/>
      <c r="H254" s="45"/>
      <c r="I254" s="45"/>
      <c r="J254" s="45"/>
      <c r="K254" s="45"/>
      <c r="O254" s="37"/>
      <c r="P254" s="37"/>
      <c r="Y254" s="37"/>
      <c r="Z254" s="37"/>
    </row>
    <row r="255" spans="1:26" ht="15.75" customHeight="1" x14ac:dyDescent="0.45">
      <c r="A255" s="22"/>
      <c r="B255" s="22"/>
      <c r="C255" s="22"/>
      <c r="D255" s="22"/>
      <c r="E255" s="45"/>
      <c r="F255" s="45"/>
      <c r="G255" s="45"/>
      <c r="H255" s="45"/>
      <c r="I255" s="45"/>
      <c r="J255" s="45"/>
      <c r="K255" s="45"/>
      <c r="O255" s="37"/>
      <c r="P255" s="37"/>
      <c r="Y255" s="37"/>
      <c r="Z255" s="37"/>
    </row>
    <row r="256" spans="1:26" ht="15.75" customHeight="1" x14ac:dyDescent="0.45">
      <c r="A256" s="22"/>
      <c r="B256" s="22"/>
      <c r="C256" s="22"/>
      <c r="D256" s="22"/>
      <c r="E256" s="45"/>
      <c r="F256" s="45"/>
      <c r="G256" s="45"/>
      <c r="H256" s="45"/>
      <c r="I256" s="45"/>
      <c r="J256" s="45"/>
      <c r="K256" s="45"/>
      <c r="O256" s="37"/>
      <c r="P256" s="37"/>
      <c r="Y256" s="37"/>
      <c r="Z256" s="37"/>
    </row>
    <row r="257" spans="1:26" ht="15.75" customHeight="1" x14ac:dyDescent="0.45">
      <c r="A257" s="22"/>
      <c r="B257" s="22"/>
      <c r="C257" s="22"/>
      <c r="D257" s="22"/>
      <c r="E257" s="45"/>
      <c r="F257" s="45"/>
      <c r="G257" s="45"/>
      <c r="H257" s="45"/>
      <c r="I257" s="45"/>
      <c r="J257" s="45"/>
      <c r="K257" s="45"/>
      <c r="O257" s="37"/>
      <c r="P257" s="37"/>
      <c r="Y257" s="37"/>
      <c r="Z257" s="37"/>
    </row>
    <row r="258" spans="1:26" ht="15.75" customHeight="1" x14ac:dyDescent="0.45">
      <c r="A258" s="22"/>
      <c r="B258" s="22"/>
      <c r="C258" s="22"/>
      <c r="D258" s="22"/>
      <c r="E258" s="45"/>
      <c r="F258" s="45"/>
      <c r="G258" s="45"/>
      <c r="H258" s="45"/>
      <c r="I258" s="45"/>
      <c r="J258" s="45"/>
      <c r="K258" s="45"/>
      <c r="O258" s="37"/>
      <c r="P258" s="37"/>
      <c r="Y258" s="37"/>
      <c r="Z258" s="37"/>
    </row>
    <row r="259" spans="1:26" ht="15.75" customHeight="1" x14ac:dyDescent="0.45">
      <c r="A259" s="22"/>
      <c r="B259" s="22"/>
      <c r="C259" s="22"/>
      <c r="D259" s="22"/>
      <c r="E259" s="45"/>
      <c r="F259" s="45"/>
      <c r="G259" s="45"/>
      <c r="H259" s="45"/>
      <c r="I259" s="45"/>
      <c r="J259" s="45"/>
      <c r="K259" s="45"/>
      <c r="O259" s="37"/>
      <c r="P259" s="37"/>
      <c r="Y259" s="37"/>
      <c r="Z259" s="37"/>
    </row>
    <row r="260" spans="1:26" ht="15.75" customHeight="1" x14ac:dyDescent="0.45">
      <c r="A260" s="22"/>
      <c r="B260" s="22"/>
      <c r="C260" s="22"/>
      <c r="D260" s="22"/>
      <c r="E260" s="45"/>
      <c r="F260" s="45"/>
      <c r="G260" s="45"/>
      <c r="H260" s="45"/>
      <c r="I260" s="45"/>
      <c r="J260" s="45"/>
      <c r="K260" s="45"/>
      <c r="O260" s="37"/>
      <c r="P260" s="37"/>
      <c r="Y260" s="37"/>
      <c r="Z260" s="37"/>
    </row>
    <row r="261" spans="1:26" ht="15.75" customHeight="1" x14ac:dyDescent="0.45">
      <c r="A261" s="22"/>
      <c r="B261" s="22"/>
      <c r="C261" s="22"/>
      <c r="D261" s="22"/>
      <c r="E261" s="45"/>
      <c r="F261" s="45"/>
      <c r="G261" s="45"/>
      <c r="H261" s="45"/>
      <c r="I261" s="45"/>
      <c r="J261" s="45"/>
      <c r="K261" s="45"/>
      <c r="O261" s="37"/>
      <c r="P261" s="37"/>
      <c r="Y261" s="37"/>
      <c r="Z261" s="37"/>
    </row>
    <row r="262" spans="1:26" ht="15.75" customHeight="1" x14ac:dyDescent="0.45">
      <c r="A262" s="22"/>
      <c r="B262" s="22"/>
      <c r="C262" s="22"/>
      <c r="D262" s="22"/>
      <c r="E262" s="45"/>
      <c r="F262" s="45"/>
      <c r="G262" s="45"/>
      <c r="H262" s="45"/>
      <c r="I262" s="45"/>
      <c r="J262" s="45"/>
      <c r="K262" s="45"/>
      <c r="O262" s="37"/>
      <c r="P262" s="37"/>
      <c r="Y262" s="37"/>
      <c r="Z262" s="37"/>
    </row>
    <row r="263" spans="1:26" ht="15.75" customHeight="1" x14ac:dyDescent="0.45">
      <c r="A263" s="22"/>
      <c r="B263" s="22"/>
      <c r="C263" s="22"/>
      <c r="D263" s="22"/>
      <c r="E263" s="45"/>
      <c r="F263" s="45"/>
      <c r="G263" s="45"/>
      <c r="H263" s="45"/>
      <c r="I263" s="45"/>
      <c r="J263" s="45"/>
      <c r="K263" s="45"/>
      <c r="O263" s="37"/>
      <c r="P263" s="37"/>
      <c r="Y263" s="37"/>
      <c r="Z263" s="37"/>
    </row>
    <row r="264" spans="1:26" ht="15.75" customHeight="1" x14ac:dyDescent="0.45">
      <c r="A264" s="22"/>
      <c r="B264" s="22"/>
      <c r="C264" s="22"/>
      <c r="D264" s="22"/>
      <c r="E264" s="45"/>
      <c r="F264" s="45"/>
      <c r="G264" s="45"/>
      <c r="H264" s="45"/>
      <c r="I264" s="45"/>
      <c r="J264" s="45"/>
      <c r="K264" s="45"/>
      <c r="O264" s="37"/>
      <c r="P264" s="37"/>
      <c r="Y264" s="37"/>
      <c r="Z264" s="37"/>
    </row>
    <row r="265" spans="1:26" ht="15.75" customHeight="1" x14ac:dyDescent="0.45">
      <c r="A265" s="22"/>
      <c r="B265" s="22"/>
      <c r="C265" s="22"/>
      <c r="D265" s="22"/>
      <c r="E265" s="45"/>
      <c r="F265" s="45"/>
      <c r="G265" s="45"/>
      <c r="H265" s="45"/>
      <c r="I265" s="45"/>
      <c r="J265" s="45"/>
      <c r="K265" s="45"/>
      <c r="O265" s="37"/>
      <c r="P265" s="37"/>
      <c r="Y265" s="37"/>
      <c r="Z265" s="37"/>
    </row>
    <row r="266" spans="1:26" ht="15.75" customHeight="1" x14ac:dyDescent="0.45">
      <c r="A266" s="22"/>
      <c r="B266" s="22"/>
      <c r="C266" s="22"/>
      <c r="D266" s="22"/>
      <c r="E266" s="45"/>
      <c r="F266" s="45"/>
      <c r="G266" s="45"/>
      <c r="H266" s="45"/>
      <c r="I266" s="45"/>
      <c r="J266" s="45"/>
      <c r="K266" s="45"/>
      <c r="O266" s="37"/>
      <c r="P266" s="37"/>
      <c r="Y266" s="37"/>
      <c r="Z266" s="37"/>
    </row>
    <row r="267" spans="1:26" ht="15.75" customHeight="1" x14ac:dyDescent="0.45">
      <c r="A267" s="22"/>
      <c r="B267" s="22"/>
      <c r="C267" s="22"/>
      <c r="D267" s="22"/>
      <c r="E267" s="45"/>
      <c r="F267" s="45"/>
      <c r="G267" s="45"/>
      <c r="H267" s="45"/>
      <c r="I267" s="45"/>
      <c r="J267" s="45"/>
      <c r="K267" s="45"/>
      <c r="O267" s="37"/>
      <c r="P267" s="37"/>
      <c r="Y267" s="37"/>
      <c r="Z267" s="37"/>
    </row>
    <row r="268" spans="1:26" ht="15.75" customHeight="1" x14ac:dyDescent="0.45">
      <c r="A268" s="22"/>
      <c r="B268" s="22"/>
      <c r="C268" s="22"/>
      <c r="D268" s="22"/>
      <c r="E268" s="45"/>
      <c r="F268" s="45"/>
      <c r="G268" s="45"/>
      <c r="H268" s="45"/>
      <c r="I268" s="45"/>
      <c r="J268" s="45"/>
      <c r="K268" s="45"/>
      <c r="O268" s="37"/>
      <c r="P268" s="37"/>
      <c r="Y268" s="37"/>
      <c r="Z268" s="37"/>
    </row>
    <row r="269" spans="1:26" ht="15.75" customHeight="1" x14ac:dyDescent="0.45">
      <c r="A269" s="22"/>
      <c r="B269" s="22"/>
      <c r="C269" s="22"/>
      <c r="D269" s="22"/>
      <c r="E269" s="45"/>
      <c r="F269" s="45"/>
      <c r="G269" s="45"/>
      <c r="H269" s="45"/>
      <c r="I269" s="45"/>
      <c r="J269" s="45"/>
      <c r="K269" s="45"/>
      <c r="O269" s="37"/>
      <c r="P269" s="37"/>
      <c r="Y269" s="37"/>
      <c r="Z269" s="37"/>
    </row>
    <row r="270" spans="1:26" ht="15.75" customHeight="1" x14ac:dyDescent="0.45">
      <c r="A270" s="22"/>
      <c r="B270" s="22"/>
      <c r="C270" s="22"/>
      <c r="D270" s="22"/>
      <c r="E270" s="45"/>
      <c r="F270" s="45"/>
      <c r="G270" s="45"/>
      <c r="H270" s="45"/>
      <c r="I270" s="45"/>
      <c r="J270" s="45"/>
      <c r="K270" s="45"/>
      <c r="O270" s="37"/>
      <c r="P270" s="37"/>
      <c r="Y270" s="37"/>
      <c r="Z270" s="37"/>
    </row>
    <row r="271" spans="1:26" ht="15.75" customHeight="1" x14ac:dyDescent="0.45">
      <c r="A271" s="22"/>
      <c r="B271" s="22"/>
      <c r="C271" s="22"/>
      <c r="D271" s="22"/>
      <c r="E271" s="45"/>
      <c r="F271" s="45"/>
      <c r="G271" s="45"/>
      <c r="H271" s="45"/>
      <c r="I271" s="45"/>
      <c r="J271" s="45"/>
      <c r="K271" s="45"/>
      <c r="O271" s="37"/>
      <c r="P271" s="37"/>
      <c r="Y271" s="37"/>
      <c r="Z271" s="37"/>
    </row>
    <row r="272" spans="1:26" ht="15.75" customHeight="1" x14ac:dyDescent="0.45">
      <c r="A272" s="22"/>
      <c r="B272" s="22"/>
      <c r="C272" s="22"/>
      <c r="D272" s="22"/>
      <c r="E272" s="45"/>
      <c r="F272" s="45"/>
      <c r="G272" s="45"/>
      <c r="H272" s="45"/>
      <c r="I272" s="45"/>
      <c r="J272" s="45"/>
      <c r="K272" s="45"/>
      <c r="O272" s="37"/>
      <c r="P272" s="37"/>
      <c r="Y272" s="37"/>
      <c r="Z272" s="37"/>
    </row>
    <row r="273" spans="1:26" ht="15.75" customHeight="1" x14ac:dyDescent="0.45">
      <c r="A273" s="22"/>
      <c r="B273" s="22"/>
      <c r="C273" s="22"/>
      <c r="D273" s="22"/>
      <c r="E273" s="45"/>
      <c r="F273" s="45"/>
      <c r="G273" s="45"/>
      <c r="H273" s="45"/>
      <c r="I273" s="45"/>
      <c r="J273" s="45"/>
      <c r="K273" s="45"/>
      <c r="O273" s="37"/>
      <c r="P273" s="37"/>
      <c r="Y273" s="37"/>
      <c r="Z273" s="37"/>
    </row>
    <row r="274" spans="1:26" ht="15.75" customHeight="1" x14ac:dyDescent="0.45">
      <c r="A274" s="22"/>
      <c r="B274" s="22"/>
      <c r="C274" s="22"/>
      <c r="D274" s="22"/>
      <c r="E274" s="45"/>
      <c r="F274" s="45"/>
      <c r="G274" s="45"/>
      <c r="H274" s="45"/>
      <c r="I274" s="45"/>
      <c r="J274" s="45"/>
      <c r="K274" s="45"/>
      <c r="O274" s="37"/>
      <c r="P274" s="37"/>
      <c r="Y274" s="37"/>
      <c r="Z274" s="37"/>
    </row>
    <row r="275" spans="1:26" ht="15.75" customHeight="1" x14ac:dyDescent="0.45">
      <c r="A275" s="22"/>
      <c r="B275" s="22"/>
      <c r="C275" s="22"/>
      <c r="D275" s="22"/>
      <c r="E275" s="45"/>
      <c r="F275" s="45"/>
      <c r="G275" s="45"/>
      <c r="H275" s="45"/>
      <c r="I275" s="45"/>
      <c r="J275" s="45"/>
      <c r="K275" s="45"/>
      <c r="O275" s="37"/>
      <c r="P275" s="37"/>
      <c r="Y275" s="37"/>
      <c r="Z275" s="37"/>
    </row>
    <row r="276" spans="1:26" ht="15.75" customHeight="1" x14ac:dyDescent="0.45">
      <c r="A276" s="22"/>
      <c r="B276" s="22"/>
      <c r="C276" s="22"/>
      <c r="D276" s="22"/>
      <c r="E276" s="45"/>
      <c r="F276" s="45"/>
      <c r="G276" s="45"/>
      <c r="H276" s="45"/>
      <c r="I276" s="45"/>
      <c r="J276" s="45"/>
      <c r="K276" s="45"/>
      <c r="O276" s="37"/>
      <c r="P276" s="37"/>
      <c r="Y276" s="37"/>
      <c r="Z276" s="37"/>
    </row>
    <row r="277" spans="1:26" ht="15.75" customHeight="1" x14ac:dyDescent="0.45">
      <c r="A277" s="22"/>
      <c r="B277" s="22"/>
      <c r="C277" s="22"/>
      <c r="D277" s="22"/>
      <c r="E277" s="45"/>
      <c r="F277" s="45"/>
      <c r="G277" s="45"/>
      <c r="H277" s="45"/>
      <c r="I277" s="45"/>
      <c r="J277" s="45"/>
      <c r="K277" s="45"/>
      <c r="O277" s="37"/>
      <c r="P277" s="37"/>
      <c r="Y277" s="37"/>
      <c r="Z277" s="37"/>
    </row>
    <row r="278" spans="1:26" ht="15.75" customHeight="1" x14ac:dyDescent="0.45">
      <c r="A278" s="22"/>
      <c r="B278" s="22"/>
      <c r="C278" s="22"/>
      <c r="D278" s="22"/>
      <c r="E278" s="45"/>
      <c r="F278" s="45"/>
      <c r="G278" s="45"/>
      <c r="H278" s="45"/>
      <c r="I278" s="45"/>
      <c r="J278" s="45"/>
      <c r="K278" s="45"/>
      <c r="O278" s="37"/>
      <c r="P278" s="37"/>
      <c r="Y278" s="37"/>
      <c r="Z278" s="37"/>
    </row>
    <row r="279" spans="1:26" ht="15.75" customHeight="1" x14ac:dyDescent="0.45">
      <c r="A279" s="22"/>
      <c r="B279" s="22"/>
      <c r="C279" s="22"/>
      <c r="D279" s="22"/>
      <c r="E279" s="45"/>
      <c r="F279" s="45"/>
      <c r="G279" s="45"/>
      <c r="H279" s="45"/>
      <c r="I279" s="45"/>
      <c r="J279" s="45"/>
      <c r="K279" s="45"/>
      <c r="O279" s="37"/>
      <c r="P279" s="37"/>
      <c r="Y279" s="37"/>
      <c r="Z279" s="37"/>
    </row>
    <row r="280" spans="1:26" ht="15.75" customHeight="1" x14ac:dyDescent="0.4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O280" s="37"/>
      <c r="P280" s="37"/>
      <c r="Y280" s="37"/>
      <c r="Z280" s="37"/>
    </row>
    <row r="281" spans="1:26" ht="15.75" customHeight="1" x14ac:dyDescent="0.4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O281" s="37"/>
      <c r="P281" s="37"/>
      <c r="Y281" s="37"/>
      <c r="Z281" s="37"/>
    </row>
    <row r="282" spans="1:26" ht="15.75" customHeight="1" x14ac:dyDescent="0.4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O282" s="37"/>
      <c r="P282" s="37"/>
      <c r="Y282" s="37"/>
      <c r="Z282" s="37"/>
    </row>
    <row r="283" spans="1:26" ht="15.75" customHeight="1" x14ac:dyDescent="0.4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O283" s="37"/>
      <c r="P283" s="37"/>
      <c r="Y283" s="37"/>
      <c r="Z283" s="37"/>
    </row>
    <row r="284" spans="1:26" ht="15.75" customHeight="1" x14ac:dyDescent="0.4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O284" s="37"/>
      <c r="P284" s="37"/>
      <c r="Y284" s="37"/>
      <c r="Z284" s="37"/>
    </row>
    <row r="285" spans="1:26" ht="15.75" customHeight="1" x14ac:dyDescent="0.4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O285" s="37"/>
      <c r="P285" s="37"/>
      <c r="Y285" s="37"/>
      <c r="Z285" s="37"/>
    </row>
    <row r="286" spans="1:26" ht="15.75" customHeight="1" x14ac:dyDescent="0.4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O286" s="37"/>
      <c r="P286" s="37"/>
      <c r="Y286" s="37"/>
      <c r="Z286" s="37"/>
    </row>
    <row r="287" spans="1:26" ht="15.75" customHeight="1" x14ac:dyDescent="0.4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O287" s="37"/>
      <c r="P287" s="37"/>
      <c r="Y287" s="37"/>
      <c r="Z287" s="37"/>
    </row>
    <row r="288" spans="1:26" ht="15.75" customHeight="1" x14ac:dyDescent="0.4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O288" s="37"/>
      <c r="P288" s="37"/>
      <c r="Y288" s="37"/>
      <c r="Z288" s="37"/>
    </row>
    <row r="289" spans="1:26" ht="15.75" customHeight="1" x14ac:dyDescent="0.4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O289" s="37"/>
      <c r="P289" s="37"/>
      <c r="Y289" s="37"/>
      <c r="Z289" s="37"/>
    </row>
    <row r="290" spans="1:26" ht="15.75" customHeight="1" x14ac:dyDescent="0.4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O290" s="37"/>
      <c r="P290" s="37"/>
      <c r="Y290" s="37"/>
      <c r="Z290" s="37"/>
    </row>
    <row r="291" spans="1:26" ht="15.75" customHeight="1" x14ac:dyDescent="0.4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O291" s="37"/>
      <c r="P291" s="37"/>
      <c r="Y291" s="37"/>
      <c r="Z291" s="37"/>
    </row>
    <row r="292" spans="1:26" ht="15.75" customHeight="1" x14ac:dyDescent="0.4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O292" s="37"/>
      <c r="P292" s="37"/>
      <c r="Y292" s="37"/>
      <c r="Z292" s="37"/>
    </row>
    <row r="293" spans="1:26" ht="15.75" customHeight="1" x14ac:dyDescent="0.4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O293" s="37"/>
      <c r="P293" s="37"/>
      <c r="Y293" s="37"/>
      <c r="Z293" s="37"/>
    </row>
    <row r="294" spans="1:26" ht="15.75" customHeight="1" x14ac:dyDescent="0.4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O294" s="37"/>
      <c r="P294" s="37"/>
      <c r="Y294" s="37"/>
      <c r="Z294" s="37"/>
    </row>
    <row r="295" spans="1:26" ht="15.75" customHeight="1" x14ac:dyDescent="0.4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O295" s="37"/>
      <c r="P295" s="37"/>
      <c r="Y295" s="37"/>
      <c r="Z295" s="37"/>
    </row>
    <row r="296" spans="1:26" ht="15.75" customHeight="1" x14ac:dyDescent="0.4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O296" s="37"/>
      <c r="P296" s="37"/>
      <c r="Y296" s="37"/>
      <c r="Z296" s="37"/>
    </row>
    <row r="297" spans="1:26" ht="15.75" customHeight="1" x14ac:dyDescent="0.4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O297" s="37"/>
      <c r="P297" s="37"/>
      <c r="Y297" s="37"/>
      <c r="Z297" s="37"/>
    </row>
    <row r="298" spans="1:26" ht="15.75" customHeight="1" x14ac:dyDescent="0.4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O298" s="37"/>
      <c r="P298" s="37"/>
      <c r="Y298" s="37"/>
      <c r="Z298" s="37"/>
    </row>
    <row r="299" spans="1:26" ht="15.75" customHeight="1" x14ac:dyDescent="0.4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O299" s="37"/>
      <c r="P299" s="37"/>
      <c r="Y299" s="37"/>
      <c r="Z299" s="37"/>
    </row>
    <row r="300" spans="1:26" ht="15.75" customHeight="1" x14ac:dyDescent="0.4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O300" s="37"/>
      <c r="P300" s="37"/>
      <c r="Y300" s="37"/>
      <c r="Z300" s="37"/>
    </row>
    <row r="301" spans="1:26" ht="15.75" customHeight="1" x14ac:dyDescent="0.4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O301" s="37"/>
      <c r="P301" s="37"/>
      <c r="Y301" s="37"/>
      <c r="Z301" s="37"/>
    </row>
    <row r="302" spans="1:26" ht="15.75" customHeight="1" x14ac:dyDescent="0.4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O302" s="37"/>
      <c r="P302" s="37"/>
      <c r="Y302" s="37"/>
      <c r="Z302" s="37"/>
    </row>
    <row r="303" spans="1:26" ht="15.75" customHeight="1" x14ac:dyDescent="0.4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O303" s="37"/>
      <c r="P303" s="37"/>
      <c r="Y303" s="37"/>
      <c r="Z303" s="37"/>
    </row>
    <row r="304" spans="1:26" ht="15.75" customHeight="1" x14ac:dyDescent="0.4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O304" s="37"/>
      <c r="P304" s="37"/>
      <c r="Y304" s="37"/>
      <c r="Z304" s="37"/>
    </row>
    <row r="305" spans="1:26" ht="15.75" customHeight="1" x14ac:dyDescent="0.4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O305" s="37"/>
      <c r="P305" s="37"/>
      <c r="Y305" s="37"/>
      <c r="Z305" s="37"/>
    </row>
    <row r="306" spans="1:26" ht="15.75" customHeight="1" x14ac:dyDescent="0.4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O306" s="37"/>
      <c r="P306" s="37"/>
      <c r="Y306" s="37"/>
      <c r="Z306" s="37"/>
    </row>
    <row r="307" spans="1:26" ht="15.75" customHeight="1" x14ac:dyDescent="0.4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O307" s="37"/>
      <c r="P307" s="37"/>
      <c r="Y307" s="37"/>
      <c r="Z307" s="37"/>
    </row>
    <row r="308" spans="1:26" ht="15.75" customHeight="1" x14ac:dyDescent="0.4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O308" s="37"/>
      <c r="P308" s="37"/>
      <c r="Y308" s="37"/>
      <c r="Z308" s="37"/>
    </row>
    <row r="309" spans="1:26" ht="15.75" customHeight="1" x14ac:dyDescent="0.4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O309" s="37"/>
      <c r="P309" s="37"/>
      <c r="Y309" s="37"/>
      <c r="Z309" s="37"/>
    </row>
    <row r="310" spans="1:26" ht="15.75" customHeight="1" x14ac:dyDescent="0.4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O310" s="37"/>
      <c r="P310" s="37"/>
      <c r="Y310" s="37"/>
      <c r="Z310" s="37"/>
    </row>
    <row r="311" spans="1:26" ht="15.75" customHeight="1" x14ac:dyDescent="0.4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O311" s="37"/>
      <c r="P311" s="37"/>
      <c r="Y311" s="37"/>
      <c r="Z311" s="37"/>
    </row>
    <row r="312" spans="1:26" ht="15.75" customHeight="1" x14ac:dyDescent="0.4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O312" s="37"/>
      <c r="P312" s="37"/>
      <c r="Y312" s="37"/>
      <c r="Z312" s="37"/>
    </row>
    <row r="313" spans="1:26" ht="15.75" customHeight="1" x14ac:dyDescent="0.4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O313" s="37"/>
      <c r="P313" s="37"/>
      <c r="Y313" s="37"/>
      <c r="Z313" s="37"/>
    </row>
    <row r="314" spans="1:26" ht="15.75" customHeight="1" x14ac:dyDescent="0.4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O314" s="37"/>
      <c r="P314" s="37"/>
      <c r="Y314" s="37"/>
      <c r="Z314" s="37"/>
    </row>
    <row r="315" spans="1:26" ht="15.75" customHeight="1" x14ac:dyDescent="0.4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O315" s="37"/>
      <c r="P315" s="37"/>
      <c r="Y315" s="37"/>
      <c r="Z315" s="37"/>
    </row>
    <row r="316" spans="1:26" ht="15.75" customHeight="1" x14ac:dyDescent="0.4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O316" s="37"/>
      <c r="P316" s="37"/>
      <c r="Y316" s="37"/>
      <c r="Z316" s="37"/>
    </row>
    <row r="317" spans="1:26" ht="15.75" customHeight="1" x14ac:dyDescent="0.4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O317" s="37"/>
      <c r="P317" s="37"/>
      <c r="Y317" s="37"/>
      <c r="Z317" s="37"/>
    </row>
    <row r="318" spans="1:26" ht="15.75" customHeight="1" x14ac:dyDescent="0.4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O318" s="37"/>
      <c r="P318" s="37"/>
      <c r="Y318" s="37"/>
      <c r="Z318" s="37"/>
    </row>
    <row r="319" spans="1:26" ht="15.75" customHeight="1" x14ac:dyDescent="0.4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O319" s="37"/>
      <c r="P319" s="37"/>
      <c r="Y319" s="37"/>
      <c r="Z319" s="37"/>
    </row>
    <row r="320" spans="1:26" ht="15.75" customHeight="1" x14ac:dyDescent="0.4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O320" s="37"/>
      <c r="P320" s="37"/>
      <c r="Y320" s="37"/>
      <c r="Z320" s="37"/>
    </row>
    <row r="321" spans="1:26" ht="15.75" customHeight="1" x14ac:dyDescent="0.4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O321" s="37"/>
      <c r="P321" s="37"/>
      <c r="Y321" s="37"/>
      <c r="Z321" s="37"/>
    </row>
    <row r="322" spans="1:26" ht="15.75" customHeight="1" x14ac:dyDescent="0.4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O322" s="37"/>
      <c r="P322" s="37"/>
      <c r="Y322" s="37"/>
      <c r="Z322" s="37"/>
    </row>
    <row r="323" spans="1:26" ht="15.75" customHeight="1" x14ac:dyDescent="0.4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O323" s="37"/>
      <c r="P323" s="37"/>
      <c r="Y323" s="37"/>
      <c r="Z323" s="37"/>
    </row>
    <row r="324" spans="1:26" ht="15.75" customHeight="1" x14ac:dyDescent="0.4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O324" s="37"/>
      <c r="P324" s="37"/>
      <c r="Y324" s="37"/>
      <c r="Z324" s="37"/>
    </row>
    <row r="325" spans="1:26" ht="15.75" customHeight="1" x14ac:dyDescent="0.4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O325" s="37"/>
      <c r="P325" s="37"/>
      <c r="Y325" s="37"/>
      <c r="Z325" s="37"/>
    </row>
    <row r="326" spans="1:26" ht="15.75" customHeight="1" x14ac:dyDescent="0.4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O326" s="37"/>
      <c r="P326" s="37"/>
      <c r="Y326" s="37"/>
      <c r="Z326" s="37"/>
    </row>
    <row r="327" spans="1:26" ht="15.75" customHeight="1" x14ac:dyDescent="0.4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O327" s="37"/>
      <c r="P327" s="37"/>
      <c r="Y327" s="37"/>
      <c r="Z327" s="37"/>
    </row>
    <row r="328" spans="1:26" ht="15.75" customHeight="1" x14ac:dyDescent="0.4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O328" s="37"/>
      <c r="P328" s="37"/>
      <c r="Y328" s="37"/>
      <c r="Z328" s="37"/>
    </row>
    <row r="329" spans="1:26" ht="15.75" customHeight="1" x14ac:dyDescent="0.4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O329" s="37"/>
      <c r="P329" s="37"/>
      <c r="Y329" s="37"/>
      <c r="Z329" s="37"/>
    </row>
    <row r="330" spans="1:26" ht="15.75" customHeight="1" x14ac:dyDescent="0.4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O330" s="37"/>
      <c r="P330" s="37"/>
      <c r="Y330" s="37"/>
      <c r="Z330" s="37"/>
    </row>
    <row r="331" spans="1:26" ht="15.75" customHeight="1" x14ac:dyDescent="0.4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O331" s="37"/>
      <c r="P331" s="37"/>
      <c r="Y331" s="37"/>
      <c r="Z331" s="37"/>
    </row>
    <row r="332" spans="1:26" ht="15.75" customHeight="1" x14ac:dyDescent="0.4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O332" s="37"/>
      <c r="P332" s="37"/>
      <c r="Y332" s="37"/>
      <c r="Z332" s="37"/>
    </row>
    <row r="333" spans="1:26" ht="15.75" customHeight="1" x14ac:dyDescent="0.4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O333" s="37"/>
      <c r="P333" s="37"/>
      <c r="Y333" s="37"/>
      <c r="Z333" s="37"/>
    </row>
    <row r="334" spans="1:26" ht="15.75" customHeight="1" x14ac:dyDescent="0.4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O334" s="37"/>
      <c r="P334" s="37"/>
      <c r="Y334" s="37"/>
      <c r="Z334" s="37"/>
    </row>
    <row r="335" spans="1:26" ht="15.75" customHeight="1" x14ac:dyDescent="0.4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O335" s="37"/>
      <c r="P335" s="37"/>
      <c r="Y335" s="37"/>
      <c r="Z335" s="37"/>
    </row>
    <row r="336" spans="1:26" ht="15.75" customHeight="1" x14ac:dyDescent="0.4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O336" s="37"/>
      <c r="P336" s="37"/>
      <c r="Y336" s="37"/>
      <c r="Z336" s="37"/>
    </row>
    <row r="337" spans="1:26" ht="15.75" customHeight="1" x14ac:dyDescent="0.4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O337" s="37"/>
      <c r="P337" s="37"/>
      <c r="Y337" s="37"/>
      <c r="Z337" s="37"/>
    </row>
    <row r="338" spans="1:26" ht="15.75" customHeight="1" x14ac:dyDescent="0.4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O338" s="37"/>
      <c r="P338" s="37"/>
      <c r="Y338" s="37"/>
      <c r="Z338" s="37"/>
    </row>
    <row r="339" spans="1:26" ht="15.75" customHeight="1" x14ac:dyDescent="0.4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O339" s="37"/>
      <c r="P339" s="37"/>
      <c r="Y339" s="37"/>
      <c r="Z339" s="37"/>
    </row>
    <row r="340" spans="1:26" ht="15.75" customHeight="1" x14ac:dyDescent="0.4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O340" s="37"/>
      <c r="P340" s="37"/>
      <c r="Y340" s="37"/>
      <c r="Z340" s="37"/>
    </row>
    <row r="341" spans="1:26" ht="15.75" customHeight="1" x14ac:dyDescent="0.4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O341" s="37"/>
      <c r="P341" s="37"/>
      <c r="Y341" s="37"/>
      <c r="Z341" s="37"/>
    </row>
    <row r="342" spans="1:26" ht="15.75" customHeight="1" x14ac:dyDescent="0.4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O342" s="37"/>
      <c r="P342" s="37"/>
      <c r="Y342" s="37"/>
      <c r="Z342" s="37"/>
    </row>
    <row r="343" spans="1:26" ht="15.75" customHeight="1" x14ac:dyDescent="0.4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O343" s="37"/>
      <c r="P343" s="37"/>
      <c r="Y343" s="37"/>
      <c r="Z343" s="37"/>
    </row>
    <row r="344" spans="1:26" ht="15.75" customHeight="1" x14ac:dyDescent="0.4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O344" s="37"/>
      <c r="P344" s="37"/>
      <c r="Y344" s="37"/>
      <c r="Z344" s="37"/>
    </row>
    <row r="345" spans="1:26" ht="15.75" customHeight="1" x14ac:dyDescent="0.4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O345" s="37"/>
      <c r="P345" s="37"/>
      <c r="Y345" s="37"/>
      <c r="Z345" s="37"/>
    </row>
    <row r="346" spans="1:26" ht="15.75" customHeight="1" x14ac:dyDescent="0.4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O346" s="37"/>
      <c r="P346" s="37"/>
      <c r="Y346" s="37"/>
      <c r="Z346" s="37"/>
    </row>
    <row r="347" spans="1:26" ht="15.75" customHeight="1" x14ac:dyDescent="0.4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O347" s="37"/>
      <c r="P347" s="37"/>
      <c r="Y347" s="37"/>
      <c r="Z347" s="37"/>
    </row>
    <row r="348" spans="1:26" ht="15.75" customHeight="1" x14ac:dyDescent="0.4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O348" s="37"/>
      <c r="P348" s="37"/>
      <c r="Y348" s="37"/>
      <c r="Z348" s="37"/>
    </row>
    <row r="349" spans="1:26" ht="15.75" customHeight="1" x14ac:dyDescent="0.4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O349" s="37"/>
      <c r="P349" s="37"/>
      <c r="Y349" s="37"/>
      <c r="Z349" s="37"/>
    </row>
    <row r="350" spans="1:26" ht="15.75" customHeight="1" x14ac:dyDescent="0.4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O350" s="37"/>
      <c r="P350" s="37"/>
      <c r="Y350" s="37"/>
      <c r="Z350" s="37"/>
    </row>
    <row r="351" spans="1:26" ht="15.75" customHeight="1" x14ac:dyDescent="0.4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O351" s="37"/>
      <c r="P351" s="37"/>
      <c r="Y351" s="37"/>
      <c r="Z351" s="37"/>
    </row>
    <row r="352" spans="1:26" ht="15.75" customHeight="1" x14ac:dyDescent="0.4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O352" s="37"/>
      <c r="P352" s="37"/>
      <c r="Y352" s="37"/>
      <c r="Z352" s="37"/>
    </row>
    <row r="353" spans="1:26" ht="15.75" customHeight="1" x14ac:dyDescent="0.4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O353" s="37"/>
      <c r="P353" s="37"/>
      <c r="Y353" s="37"/>
      <c r="Z353" s="37"/>
    </row>
    <row r="354" spans="1:26" ht="15.75" customHeight="1" x14ac:dyDescent="0.4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O354" s="37"/>
      <c r="P354" s="37"/>
      <c r="Y354" s="37"/>
      <c r="Z354" s="37"/>
    </row>
    <row r="355" spans="1:26" ht="15.75" customHeight="1" x14ac:dyDescent="0.4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O355" s="37"/>
      <c r="P355" s="37"/>
      <c r="Y355" s="37"/>
      <c r="Z355" s="37"/>
    </row>
    <row r="356" spans="1:26" ht="15.75" customHeight="1" x14ac:dyDescent="0.4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O356" s="37"/>
      <c r="P356" s="37"/>
      <c r="Y356" s="37"/>
      <c r="Z356" s="37"/>
    </row>
    <row r="357" spans="1:26" ht="15.75" customHeight="1" x14ac:dyDescent="0.4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O357" s="37"/>
      <c r="P357" s="37"/>
      <c r="Y357" s="37"/>
      <c r="Z357" s="37"/>
    </row>
    <row r="358" spans="1:26" ht="15.75" customHeight="1" x14ac:dyDescent="0.4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O358" s="37"/>
      <c r="P358" s="37"/>
      <c r="Y358" s="37"/>
      <c r="Z358" s="37"/>
    </row>
    <row r="359" spans="1:26" ht="15.75" customHeight="1" x14ac:dyDescent="0.4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O359" s="37"/>
      <c r="P359" s="37"/>
      <c r="Y359" s="37"/>
      <c r="Z359" s="37"/>
    </row>
    <row r="360" spans="1:26" ht="15.75" customHeight="1" x14ac:dyDescent="0.4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O360" s="37"/>
      <c r="P360" s="37"/>
      <c r="Y360" s="37"/>
      <c r="Z360" s="37"/>
    </row>
    <row r="361" spans="1:26" ht="15.75" customHeight="1" x14ac:dyDescent="0.4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O361" s="37"/>
      <c r="P361" s="37"/>
      <c r="Y361" s="37"/>
      <c r="Z361" s="37"/>
    </row>
    <row r="362" spans="1:26" ht="15.75" customHeight="1" x14ac:dyDescent="0.4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O362" s="37"/>
      <c r="P362" s="37"/>
      <c r="Y362" s="37"/>
      <c r="Z362" s="37"/>
    </row>
    <row r="363" spans="1:26" ht="15.75" customHeight="1" x14ac:dyDescent="0.4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O363" s="37"/>
      <c r="P363" s="37"/>
      <c r="Y363" s="37"/>
      <c r="Z363" s="37"/>
    </row>
    <row r="364" spans="1:26" ht="15.75" customHeight="1" x14ac:dyDescent="0.4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O364" s="37"/>
      <c r="P364" s="37"/>
      <c r="Y364" s="37"/>
      <c r="Z364" s="37"/>
    </row>
    <row r="365" spans="1:26" ht="15.75" customHeight="1" x14ac:dyDescent="0.4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O365" s="37"/>
      <c r="P365" s="37"/>
      <c r="Y365" s="37"/>
      <c r="Z365" s="37"/>
    </row>
    <row r="366" spans="1:26" ht="15.75" customHeight="1" x14ac:dyDescent="0.4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O366" s="37"/>
      <c r="P366" s="37"/>
      <c r="Y366" s="37"/>
      <c r="Z366" s="37"/>
    </row>
    <row r="367" spans="1:26" ht="15.75" customHeight="1" x14ac:dyDescent="0.4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O367" s="37"/>
      <c r="P367" s="37"/>
      <c r="Y367" s="37"/>
      <c r="Z367" s="37"/>
    </row>
    <row r="368" spans="1:26" ht="15.75" customHeight="1" x14ac:dyDescent="0.4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O368" s="37"/>
      <c r="P368" s="37"/>
      <c r="Y368" s="37"/>
      <c r="Z368" s="37"/>
    </row>
    <row r="369" spans="1:26" ht="15.75" customHeight="1" x14ac:dyDescent="0.4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O369" s="37"/>
      <c r="P369" s="37"/>
      <c r="Y369" s="37"/>
      <c r="Z369" s="37"/>
    </row>
    <row r="370" spans="1:26" ht="15.75" customHeight="1" x14ac:dyDescent="0.4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O370" s="37"/>
      <c r="P370" s="37"/>
      <c r="Y370" s="37"/>
      <c r="Z370" s="37"/>
    </row>
    <row r="371" spans="1:26" ht="15.75" customHeight="1" x14ac:dyDescent="0.4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O371" s="37"/>
      <c r="P371" s="37"/>
      <c r="Y371" s="37"/>
      <c r="Z371" s="37"/>
    </row>
    <row r="372" spans="1:26" ht="15.75" customHeight="1" x14ac:dyDescent="0.4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O372" s="37"/>
      <c r="P372" s="37"/>
      <c r="Y372" s="37"/>
      <c r="Z372" s="37"/>
    </row>
    <row r="373" spans="1:26" ht="15.75" customHeight="1" x14ac:dyDescent="0.4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O373" s="37"/>
      <c r="P373" s="37"/>
      <c r="Y373" s="37"/>
      <c r="Z373" s="37"/>
    </row>
    <row r="374" spans="1:26" ht="15.75" customHeight="1" x14ac:dyDescent="0.4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O374" s="37"/>
      <c r="P374" s="37"/>
      <c r="Y374" s="37"/>
      <c r="Z374" s="37"/>
    </row>
    <row r="375" spans="1:26" ht="15.75" customHeight="1" x14ac:dyDescent="0.4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O375" s="37"/>
      <c r="P375" s="37"/>
      <c r="Y375" s="37"/>
      <c r="Z375" s="37"/>
    </row>
    <row r="376" spans="1:26" ht="15.75" customHeight="1" x14ac:dyDescent="0.4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O376" s="37"/>
      <c r="P376" s="37"/>
      <c r="Y376" s="37"/>
      <c r="Z376" s="37"/>
    </row>
    <row r="377" spans="1:26" ht="15.75" customHeight="1" x14ac:dyDescent="0.4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O377" s="37"/>
      <c r="P377" s="37"/>
      <c r="Y377" s="37"/>
      <c r="Z377" s="37"/>
    </row>
    <row r="378" spans="1:26" ht="15.75" customHeight="1" x14ac:dyDescent="0.4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O378" s="37"/>
      <c r="P378" s="37"/>
      <c r="Y378" s="37"/>
      <c r="Z378" s="37"/>
    </row>
    <row r="379" spans="1:26" ht="15.75" customHeight="1" x14ac:dyDescent="0.4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O379" s="37"/>
      <c r="P379" s="37"/>
      <c r="Y379" s="37"/>
      <c r="Z379" s="37"/>
    </row>
    <row r="380" spans="1:26" ht="15.75" customHeight="1" x14ac:dyDescent="0.4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O380" s="37"/>
      <c r="P380" s="37"/>
      <c r="Y380" s="37"/>
      <c r="Z380" s="37"/>
    </row>
    <row r="381" spans="1:26" ht="15.75" customHeight="1" x14ac:dyDescent="0.4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O381" s="37"/>
      <c r="P381" s="37"/>
      <c r="Y381" s="37"/>
      <c r="Z381" s="37"/>
    </row>
    <row r="382" spans="1:26" ht="15.75" customHeight="1" x14ac:dyDescent="0.4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O382" s="37"/>
      <c r="P382" s="37"/>
      <c r="Y382" s="37"/>
      <c r="Z382" s="37"/>
    </row>
    <row r="383" spans="1:26" ht="15.75" customHeight="1" x14ac:dyDescent="0.4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O383" s="37"/>
      <c r="P383" s="37"/>
      <c r="Y383" s="37"/>
      <c r="Z383" s="37"/>
    </row>
    <row r="384" spans="1:26" ht="15.75" customHeight="1" x14ac:dyDescent="0.4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O384" s="37"/>
      <c r="P384" s="37"/>
      <c r="Y384" s="37"/>
      <c r="Z384" s="37"/>
    </row>
    <row r="385" spans="1:26" ht="15.75" customHeight="1" x14ac:dyDescent="0.4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O385" s="37"/>
      <c r="P385" s="37"/>
      <c r="Y385" s="37"/>
      <c r="Z385" s="37"/>
    </row>
    <row r="386" spans="1:26" ht="15.75" customHeight="1" x14ac:dyDescent="0.4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O386" s="37"/>
      <c r="P386" s="37"/>
      <c r="Y386" s="37"/>
      <c r="Z386" s="37"/>
    </row>
    <row r="387" spans="1:26" ht="15.75" customHeight="1" x14ac:dyDescent="0.4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O387" s="37"/>
      <c r="P387" s="37"/>
      <c r="Y387" s="37"/>
      <c r="Z387" s="37"/>
    </row>
    <row r="388" spans="1:26" ht="15.75" customHeight="1" x14ac:dyDescent="0.4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O388" s="37"/>
      <c r="P388" s="37"/>
      <c r="Y388" s="37"/>
      <c r="Z388" s="37"/>
    </row>
    <row r="389" spans="1:26" ht="15.75" customHeight="1" x14ac:dyDescent="0.4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O389" s="37"/>
      <c r="P389" s="37"/>
      <c r="Y389" s="37"/>
      <c r="Z389" s="37"/>
    </row>
    <row r="390" spans="1:26" ht="15.75" customHeight="1" x14ac:dyDescent="0.4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O390" s="37"/>
      <c r="P390" s="37"/>
      <c r="Y390" s="37"/>
      <c r="Z390" s="37"/>
    </row>
    <row r="391" spans="1:26" ht="15.75" customHeight="1" x14ac:dyDescent="0.4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O391" s="37"/>
      <c r="P391" s="37"/>
      <c r="Y391" s="37"/>
      <c r="Z391" s="37"/>
    </row>
    <row r="392" spans="1:26" ht="15.75" customHeight="1" x14ac:dyDescent="0.4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O392" s="37"/>
      <c r="P392" s="37"/>
      <c r="Y392" s="37"/>
      <c r="Z392" s="37"/>
    </row>
    <row r="393" spans="1:26" ht="15.75" customHeight="1" x14ac:dyDescent="0.4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O393" s="37"/>
      <c r="P393" s="37"/>
      <c r="Y393" s="37"/>
      <c r="Z393" s="37"/>
    </row>
    <row r="394" spans="1:26" ht="15.75" customHeight="1" x14ac:dyDescent="0.4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O394" s="37"/>
      <c r="P394" s="37"/>
      <c r="Y394" s="37"/>
      <c r="Z394" s="37"/>
    </row>
    <row r="395" spans="1:26" ht="15.75" customHeight="1" x14ac:dyDescent="0.4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O395" s="37"/>
      <c r="P395" s="37"/>
      <c r="Y395" s="37"/>
      <c r="Z395" s="37"/>
    </row>
    <row r="396" spans="1:26" ht="15.75" customHeight="1" x14ac:dyDescent="0.4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O396" s="37"/>
      <c r="P396" s="37"/>
      <c r="Y396" s="37"/>
      <c r="Z396" s="37"/>
    </row>
    <row r="397" spans="1:26" ht="15.75" customHeight="1" x14ac:dyDescent="0.4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O397" s="37"/>
      <c r="P397" s="37"/>
      <c r="Y397" s="37"/>
      <c r="Z397" s="37"/>
    </row>
    <row r="398" spans="1:26" ht="15.75" customHeight="1" x14ac:dyDescent="0.4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O398" s="37"/>
      <c r="P398" s="37"/>
      <c r="Y398" s="37"/>
      <c r="Z398" s="37"/>
    </row>
    <row r="399" spans="1:26" ht="15.75" customHeight="1" x14ac:dyDescent="0.4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O399" s="37"/>
      <c r="P399" s="37"/>
      <c r="Y399" s="37"/>
      <c r="Z399" s="37"/>
    </row>
    <row r="400" spans="1:26" ht="15.75" customHeight="1" x14ac:dyDescent="0.4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O400" s="37"/>
      <c r="P400" s="37"/>
      <c r="Y400" s="37"/>
      <c r="Z400" s="37"/>
    </row>
    <row r="401" spans="1:26" ht="15.75" customHeight="1" x14ac:dyDescent="0.4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O401" s="37"/>
      <c r="P401" s="37"/>
      <c r="Y401" s="37"/>
      <c r="Z401" s="37"/>
    </row>
    <row r="402" spans="1:26" ht="15.75" customHeight="1" x14ac:dyDescent="0.4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O402" s="37"/>
      <c r="P402" s="37"/>
      <c r="Y402" s="37"/>
      <c r="Z402" s="37"/>
    </row>
    <row r="403" spans="1:26" ht="15.75" customHeight="1" x14ac:dyDescent="0.4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O403" s="37"/>
      <c r="P403" s="37"/>
      <c r="Y403" s="37"/>
      <c r="Z403" s="37"/>
    </row>
    <row r="404" spans="1:26" ht="15.75" customHeight="1" x14ac:dyDescent="0.4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O404" s="37"/>
      <c r="P404" s="37"/>
      <c r="Y404" s="37"/>
      <c r="Z404" s="37"/>
    </row>
    <row r="405" spans="1:26" ht="15.75" customHeight="1" x14ac:dyDescent="0.4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O405" s="37"/>
      <c r="P405" s="37"/>
      <c r="Y405" s="37"/>
      <c r="Z405" s="37"/>
    </row>
    <row r="406" spans="1:26" ht="15.75" customHeight="1" x14ac:dyDescent="0.4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O406" s="37"/>
      <c r="P406" s="37"/>
      <c r="Y406" s="37"/>
      <c r="Z406" s="37"/>
    </row>
    <row r="407" spans="1:26" ht="15.75" customHeight="1" x14ac:dyDescent="0.4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O407" s="37"/>
      <c r="P407" s="37"/>
      <c r="Y407" s="37"/>
      <c r="Z407" s="37"/>
    </row>
    <row r="408" spans="1:26" ht="15.75" customHeight="1" x14ac:dyDescent="0.4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O408" s="37"/>
      <c r="P408" s="37"/>
      <c r="Y408" s="37"/>
      <c r="Z408" s="37"/>
    </row>
    <row r="409" spans="1:26" ht="15.75" customHeight="1" x14ac:dyDescent="0.4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O409" s="37"/>
      <c r="P409" s="37"/>
      <c r="Y409" s="37"/>
      <c r="Z409" s="37"/>
    </row>
    <row r="410" spans="1:26" ht="15.75" customHeight="1" x14ac:dyDescent="0.4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O410" s="37"/>
      <c r="P410" s="37"/>
      <c r="Y410" s="37"/>
      <c r="Z410" s="37"/>
    </row>
    <row r="411" spans="1:26" ht="15.75" customHeight="1" x14ac:dyDescent="0.4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O411" s="37"/>
      <c r="P411" s="37"/>
      <c r="Y411" s="37"/>
      <c r="Z411" s="37"/>
    </row>
    <row r="412" spans="1:26" ht="15.75" customHeight="1" x14ac:dyDescent="0.4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O412" s="37"/>
      <c r="P412" s="37"/>
      <c r="Y412" s="37"/>
      <c r="Z412" s="37"/>
    </row>
    <row r="413" spans="1:26" ht="15.75" customHeight="1" x14ac:dyDescent="0.4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O413" s="37"/>
      <c r="P413" s="37"/>
      <c r="Y413" s="37"/>
      <c r="Z413" s="37"/>
    </row>
    <row r="414" spans="1:26" ht="15.75" customHeight="1" x14ac:dyDescent="0.4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O414" s="37"/>
      <c r="P414" s="37"/>
      <c r="Y414" s="37"/>
      <c r="Z414" s="37"/>
    </row>
    <row r="415" spans="1:26" ht="15.75" customHeight="1" x14ac:dyDescent="0.4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O415" s="37"/>
      <c r="P415" s="37"/>
      <c r="Y415" s="37"/>
      <c r="Z415" s="37"/>
    </row>
    <row r="416" spans="1:26" ht="15.75" customHeight="1" x14ac:dyDescent="0.4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O416" s="37"/>
      <c r="P416" s="37"/>
      <c r="Y416" s="37"/>
      <c r="Z416" s="37"/>
    </row>
    <row r="417" spans="1:26" ht="15.75" customHeight="1" x14ac:dyDescent="0.4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O417" s="37"/>
      <c r="P417" s="37"/>
      <c r="Y417" s="37"/>
      <c r="Z417" s="37"/>
    </row>
    <row r="418" spans="1:26" ht="15.75" customHeight="1" x14ac:dyDescent="0.4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O418" s="37"/>
      <c r="P418" s="37"/>
      <c r="Y418" s="37"/>
      <c r="Z418" s="37"/>
    </row>
    <row r="419" spans="1:26" ht="15.75" customHeight="1" x14ac:dyDescent="0.4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O419" s="37"/>
      <c r="P419" s="37"/>
      <c r="Y419" s="37"/>
      <c r="Z419" s="37"/>
    </row>
    <row r="420" spans="1:26" ht="15.75" customHeight="1" x14ac:dyDescent="0.4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O420" s="37"/>
      <c r="P420" s="37"/>
      <c r="Y420" s="37"/>
      <c r="Z420" s="37"/>
    </row>
    <row r="421" spans="1:26" ht="15.75" customHeight="1" x14ac:dyDescent="0.4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O421" s="37"/>
      <c r="P421" s="37"/>
      <c r="Y421" s="37"/>
      <c r="Z421" s="37"/>
    </row>
    <row r="422" spans="1:26" ht="15.75" customHeight="1" x14ac:dyDescent="0.4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O422" s="37"/>
      <c r="P422" s="37"/>
      <c r="Y422" s="37"/>
      <c r="Z422" s="37"/>
    </row>
    <row r="423" spans="1:26" ht="15.75" customHeight="1" x14ac:dyDescent="0.4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O423" s="37"/>
      <c r="P423" s="37"/>
      <c r="Y423" s="37"/>
      <c r="Z423" s="37"/>
    </row>
    <row r="424" spans="1:26" ht="15.75" customHeight="1" x14ac:dyDescent="0.4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O424" s="37"/>
      <c r="P424" s="37"/>
      <c r="Y424" s="37"/>
      <c r="Z424" s="37"/>
    </row>
    <row r="425" spans="1:26" ht="15.75" customHeight="1" x14ac:dyDescent="0.4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O425" s="37"/>
      <c r="P425" s="37"/>
      <c r="Y425" s="37"/>
      <c r="Z425" s="37"/>
    </row>
    <row r="426" spans="1:26" ht="15.75" customHeight="1" x14ac:dyDescent="0.4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O426" s="37"/>
      <c r="P426" s="37"/>
      <c r="Y426" s="37"/>
      <c r="Z426" s="37"/>
    </row>
    <row r="427" spans="1:26" ht="15.75" customHeight="1" x14ac:dyDescent="0.4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O427" s="37"/>
      <c r="P427" s="37"/>
      <c r="Y427" s="37"/>
      <c r="Z427" s="37"/>
    </row>
    <row r="428" spans="1:26" ht="15.75" customHeight="1" x14ac:dyDescent="0.4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O428" s="37"/>
      <c r="P428" s="37"/>
      <c r="Y428" s="37"/>
      <c r="Z428" s="37"/>
    </row>
    <row r="429" spans="1:26" ht="15.75" customHeight="1" x14ac:dyDescent="0.4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O429" s="37"/>
      <c r="P429" s="37"/>
      <c r="Y429" s="37"/>
      <c r="Z429" s="37"/>
    </row>
    <row r="430" spans="1:26" ht="15.75" customHeight="1" x14ac:dyDescent="0.4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O430" s="37"/>
      <c r="P430" s="37"/>
      <c r="Y430" s="37"/>
      <c r="Z430" s="37"/>
    </row>
    <row r="431" spans="1:26" ht="15.75" customHeight="1" x14ac:dyDescent="0.4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O431" s="37"/>
      <c r="P431" s="37"/>
      <c r="Y431" s="37"/>
      <c r="Z431" s="37"/>
    </row>
    <row r="432" spans="1:26" ht="15.75" customHeight="1" x14ac:dyDescent="0.4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O432" s="37"/>
      <c r="P432" s="37"/>
      <c r="Y432" s="37"/>
      <c r="Z432" s="37"/>
    </row>
    <row r="433" spans="1:26" ht="15.75" customHeight="1" x14ac:dyDescent="0.4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O433" s="37"/>
      <c r="P433" s="37"/>
      <c r="Y433" s="37"/>
      <c r="Z433" s="37"/>
    </row>
    <row r="434" spans="1:26" ht="15.75" customHeight="1" x14ac:dyDescent="0.4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O434" s="37"/>
      <c r="P434" s="37"/>
      <c r="Y434" s="37"/>
      <c r="Z434" s="37"/>
    </row>
    <row r="435" spans="1:26" ht="15.75" customHeight="1" x14ac:dyDescent="0.4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O435" s="37"/>
      <c r="P435" s="37"/>
      <c r="Y435" s="37"/>
      <c r="Z435" s="37"/>
    </row>
    <row r="436" spans="1:26" ht="15.75" customHeight="1" x14ac:dyDescent="0.4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O436" s="37"/>
      <c r="P436" s="37"/>
      <c r="Y436" s="37"/>
      <c r="Z436" s="37"/>
    </row>
    <row r="437" spans="1:26" ht="15.75" customHeight="1" x14ac:dyDescent="0.4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O437" s="37"/>
      <c r="P437" s="37"/>
      <c r="Y437" s="37"/>
      <c r="Z437" s="37"/>
    </row>
    <row r="438" spans="1:26" ht="15.75" customHeight="1" x14ac:dyDescent="0.4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O438" s="37"/>
      <c r="P438" s="37"/>
      <c r="Y438" s="37"/>
      <c r="Z438" s="37"/>
    </row>
    <row r="439" spans="1:26" ht="15.75" customHeight="1" x14ac:dyDescent="0.4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O439" s="37"/>
      <c r="P439" s="37"/>
      <c r="Y439" s="37"/>
      <c r="Z439" s="37"/>
    </row>
    <row r="440" spans="1:26" ht="15.75" customHeight="1" x14ac:dyDescent="0.4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O440" s="37"/>
      <c r="P440" s="37"/>
      <c r="Y440" s="37"/>
      <c r="Z440" s="37"/>
    </row>
    <row r="441" spans="1:26" ht="15.75" customHeight="1" x14ac:dyDescent="0.4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O441" s="37"/>
      <c r="P441" s="37"/>
      <c r="Y441" s="37"/>
      <c r="Z441" s="37"/>
    </row>
    <row r="442" spans="1:26" ht="15.75" customHeight="1" x14ac:dyDescent="0.4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O442" s="37"/>
      <c r="P442" s="37"/>
      <c r="Y442" s="37"/>
      <c r="Z442" s="37"/>
    </row>
    <row r="443" spans="1:26" ht="15.75" customHeight="1" x14ac:dyDescent="0.4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O443" s="37"/>
      <c r="P443" s="37"/>
      <c r="Y443" s="37"/>
      <c r="Z443" s="37"/>
    </row>
    <row r="444" spans="1:26" ht="15.75" customHeight="1" x14ac:dyDescent="0.4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O444" s="37"/>
      <c r="P444" s="37"/>
      <c r="Y444" s="37"/>
      <c r="Z444" s="37"/>
    </row>
    <row r="445" spans="1:26" ht="15.75" customHeight="1" x14ac:dyDescent="0.4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O445" s="37"/>
      <c r="P445" s="37"/>
      <c r="Y445" s="37"/>
      <c r="Z445" s="37"/>
    </row>
    <row r="446" spans="1:26" ht="15.75" customHeight="1" x14ac:dyDescent="0.4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O446" s="37"/>
      <c r="P446" s="37"/>
      <c r="Y446" s="37"/>
      <c r="Z446" s="37"/>
    </row>
    <row r="447" spans="1:26" ht="15.75" customHeight="1" x14ac:dyDescent="0.4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O447" s="37"/>
      <c r="P447" s="37"/>
      <c r="Y447" s="37"/>
      <c r="Z447" s="37"/>
    </row>
    <row r="448" spans="1:26" ht="15.75" customHeight="1" x14ac:dyDescent="0.4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O448" s="37"/>
      <c r="P448" s="37"/>
      <c r="Y448" s="37"/>
      <c r="Z448" s="37"/>
    </row>
    <row r="449" spans="1:26" ht="15.75" customHeight="1" x14ac:dyDescent="0.4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O449" s="37"/>
      <c r="P449" s="37"/>
      <c r="Y449" s="37"/>
      <c r="Z449" s="37"/>
    </row>
    <row r="450" spans="1:26" ht="15.75" customHeight="1" x14ac:dyDescent="0.4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O450" s="37"/>
      <c r="P450" s="37"/>
      <c r="Y450" s="37"/>
      <c r="Z450" s="37"/>
    </row>
    <row r="451" spans="1:26" ht="15.75" customHeight="1" x14ac:dyDescent="0.4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O451" s="37"/>
      <c r="P451" s="37"/>
      <c r="Y451" s="37"/>
      <c r="Z451" s="37"/>
    </row>
    <row r="452" spans="1:26" ht="15.75" customHeight="1" x14ac:dyDescent="0.4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O452" s="37"/>
      <c r="P452" s="37"/>
      <c r="Y452" s="37"/>
      <c r="Z452" s="37"/>
    </row>
    <row r="453" spans="1:26" ht="15.75" customHeight="1" x14ac:dyDescent="0.4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O453" s="37"/>
      <c r="P453" s="37"/>
      <c r="Y453" s="37"/>
      <c r="Z453" s="37"/>
    </row>
    <row r="454" spans="1:26" ht="15.75" customHeight="1" x14ac:dyDescent="0.4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O454" s="37"/>
      <c r="P454" s="37"/>
      <c r="Y454" s="37"/>
      <c r="Z454" s="37"/>
    </row>
    <row r="455" spans="1:26" ht="15.75" customHeight="1" x14ac:dyDescent="0.4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O455" s="37"/>
      <c r="P455" s="37"/>
      <c r="Y455" s="37"/>
      <c r="Z455" s="37"/>
    </row>
    <row r="456" spans="1:26" ht="15.75" customHeight="1" x14ac:dyDescent="0.4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O456" s="37"/>
      <c r="P456" s="37"/>
      <c r="Y456" s="37"/>
      <c r="Z456" s="37"/>
    </row>
    <row r="457" spans="1:26" ht="15.75" customHeight="1" x14ac:dyDescent="0.4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O457" s="37"/>
      <c r="P457" s="37"/>
      <c r="Y457" s="37"/>
      <c r="Z457" s="37"/>
    </row>
    <row r="458" spans="1:26" ht="15.75" customHeight="1" x14ac:dyDescent="0.4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O458" s="37"/>
      <c r="P458" s="37"/>
      <c r="Y458" s="37"/>
      <c r="Z458" s="37"/>
    </row>
    <row r="459" spans="1:26" ht="15.75" customHeight="1" x14ac:dyDescent="0.4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O459" s="37"/>
      <c r="P459" s="37"/>
      <c r="Y459" s="37"/>
      <c r="Z459" s="37"/>
    </row>
    <row r="460" spans="1:26" ht="15.75" customHeight="1" x14ac:dyDescent="0.4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O460" s="37"/>
      <c r="P460" s="37"/>
      <c r="Y460" s="37"/>
      <c r="Z460" s="37"/>
    </row>
    <row r="461" spans="1:26" ht="15.75" customHeight="1" x14ac:dyDescent="0.4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O461" s="37"/>
      <c r="P461" s="37"/>
      <c r="Y461" s="37"/>
      <c r="Z461" s="37"/>
    </row>
    <row r="462" spans="1:26" ht="15.75" customHeight="1" x14ac:dyDescent="0.4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O462" s="37"/>
      <c r="P462" s="37"/>
      <c r="Y462" s="37"/>
      <c r="Z462" s="37"/>
    </row>
    <row r="463" spans="1:26" ht="15.75" customHeight="1" x14ac:dyDescent="0.4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O463" s="37"/>
      <c r="P463" s="37"/>
      <c r="Y463" s="37"/>
      <c r="Z463" s="37"/>
    </row>
    <row r="464" spans="1:26" ht="15.75" customHeight="1" x14ac:dyDescent="0.4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O464" s="37"/>
      <c r="P464" s="37"/>
      <c r="Y464" s="37"/>
      <c r="Z464" s="37"/>
    </row>
    <row r="465" spans="1:26" ht="15.75" customHeight="1" x14ac:dyDescent="0.4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O465" s="37"/>
      <c r="P465" s="37"/>
      <c r="Y465" s="37"/>
      <c r="Z465" s="37"/>
    </row>
    <row r="466" spans="1:26" ht="15.75" customHeight="1" x14ac:dyDescent="0.4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O466" s="37"/>
      <c r="P466" s="37"/>
      <c r="Y466" s="37"/>
      <c r="Z466" s="37"/>
    </row>
    <row r="467" spans="1:26" ht="15.75" customHeight="1" x14ac:dyDescent="0.4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O467" s="37"/>
      <c r="P467" s="37"/>
      <c r="Y467" s="37"/>
      <c r="Z467" s="37"/>
    </row>
    <row r="468" spans="1:26" ht="15.75" customHeight="1" x14ac:dyDescent="0.4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O468" s="37"/>
      <c r="P468" s="37"/>
      <c r="Y468" s="37"/>
      <c r="Z468" s="37"/>
    </row>
    <row r="469" spans="1:26" ht="15.75" customHeight="1" x14ac:dyDescent="0.4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O469" s="37"/>
      <c r="P469" s="37"/>
      <c r="Y469" s="37"/>
      <c r="Z469" s="37"/>
    </row>
    <row r="470" spans="1:26" ht="15.75" customHeight="1" x14ac:dyDescent="0.4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O470" s="37"/>
      <c r="P470" s="37"/>
      <c r="Y470" s="37"/>
      <c r="Z470" s="37"/>
    </row>
    <row r="471" spans="1:26" ht="15.75" customHeight="1" x14ac:dyDescent="0.4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O471" s="37"/>
      <c r="P471" s="37"/>
      <c r="Y471" s="37"/>
      <c r="Z471" s="37"/>
    </row>
    <row r="472" spans="1:26" ht="15.75" customHeight="1" x14ac:dyDescent="0.4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O472" s="37"/>
      <c r="P472" s="37"/>
      <c r="Y472" s="37"/>
      <c r="Z472" s="37"/>
    </row>
    <row r="473" spans="1:26" ht="15.75" customHeight="1" x14ac:dyDescent="0.4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O473" s="37"/>
      <c r="P473" s="37"/>
      <c r="Y473" s="37"/>
      <c r="Z473" s="37"/>
    </row>
    <row r="474" spans="1:26" ht="15.75" customHeight="1" x14ac:dyDescent="0.4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O474" s="37"/>
      <c r="P474" s="37"/>
      <c r="Y474" s="37"/>
      <c r="Z474" s="37"/>
    </row>
    <row r="475" spans="1:26" ht="15.75" customHeight="1" x14ac:dyDescent="0.4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O475" s="37"/>
      <c r="P475" s="37"/>
      <c r="Y475" s="37"/>
      <c r="Z475" s="37"/>
    </row>
    <row r="476" spans="1:26" ht="15.75" customHeight="1" x14ac:dyDescent="0.4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O476" s="37"/>
      <c r="P476" s="37"/>
      <c r="Y476" s="37"/>
      <c r="Z476" s="37"/>
    </row>
    <row r="477" spans="1:26" ht="15.75" customHeight="1" x14ac:dyDescent="0.4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O477" s="37"/>
      <c r="P477" s="37"/>
      <c r="Y477" s="37"/>
      <c r="Z477" s="37"/>
    </row>
    <row r="478" spans="1:26" ht="15.75" customHeight="1" x14ac:dyDescent="0.4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O478" s="37"/>
      <c r="P478" s="37"/>
      <c r="Y478" s="37"/>
      <c r="Z478" s="37"/>
    </row>
    <row r="479" spans="1:26" ht="15.75" customHeight="1" x14ac:dyDescent="0.4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O479" s="37"/>
      <c r="P479" s="37"/>
      <c r="Y479" s="37"/>
      <c r="Z479" s="37"/>
    </row>
    <row r="480" spans="1:26" ht="15.75" customHeight="1" x14ac:dyDescent="0.4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O480" s="37"/>
      <c r="P480" s="37"/>
      <c r="Y480" s="37"/>
      <c r="Z480" s="37"/>
    </row>
    <row r="481" spans="1:26" ht="15.75" customHeight="1" x14ac:dyDescent="0.4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O481" s="37"/>
      <c r="P481" s="37"/>
      <c r="Y481" s="37"/>
      <c r="Z481" s="37"/>
    </row>
    <row r="482" spans="1:26" ht="15.75" customHeight="1" x14ac:dyDescent="0.4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O482" s="37"/>
      <c r="P482" s="37"/>
      <c r="Y482" s="37"/>
      <c r="Z482" s="37"/>
    </row>
    <row r="483" spans="1:26" ht="15.75" customHeight="1" x14ac:dyDescent="0.4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O483" s="37"/>
      <c r="P483" s="37"/>
      <c r="Y483" s="37"/>
      <c r="Z483" s="37"/>
    </row>
    <row r="484" spans="1:26" ht="15.75" customHeight="1" x14ac:dyDescent="0.4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O484" s="37"/>
      <c r="P484" s="37"/>
      <c r="Y484" s="37"/>
      <c r="Z484" s="37"/>
    </row>
    <row r="485" spans="1:26" ht="15.75" customHeight="1" x14ac:dyDescent="0.4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O485" s="37"/>
      <c r="P485" s="37"/>
      <c r="Y485" s="37"/>
      <c r="Z485" s="37"/>
    </row>
    <row r="486" spans="1:26" ht="15.75" customHeight="1" x14ac:dyDescent="0.4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O486" s="37"/>
      <c r="P486" s="37"/>
      <c r="Y486" s="37"/>
      <c r="Z486" s="37"/>
    </row>
    <row r="487" spans="1:26" ht="15.75" customHeight="1" x14ac:dyDescent="0.4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O487" s="37"/>
      <c r="P487" s="37"/>
      <c r="Y487" s="37"/>
      <c r="Z487" s="37"/>
    </row>
    <row r="488" spans="1:26" ht="15.75" customHeight="1" x14ac:dyDescent="0.4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O488" s="37"/>
      <c r="P488" s="37"/>
      <c r="Y488" s="37"/>
      <c r="Z488" s="37"/>
    </row>
    <row r="489" spans="1:26" ht="15.75" customHeight="1" x14ac:dyDescent="0.4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O489" s="37"/>
      <c r="P489" s="37"/>
      <c r="Y489" s="37"/>
      <c r="Z489" s="37"/>
    </row>
    <row r="490" spans="1:26" ht="15.75" customHeight="1" x14ac:dyDescent="0.4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O490" s="37"/>
      <c r="P490" s="37"/>
      <c r="Y490" s="37"/>
      <c r="Z490" s="37"/>
    </row>
    <row r="491" spans="1:26" ht="15.75" customHeight="1" x14ac:dyDescent="0.4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O491" s="37"/>
      <c r="P491" s="37"/>
      <c r="Y491" s="37"/>
      <c r="Z491" s="37"/>
    </row>
    <row r="492" spans="1:26" ht="15.75" customHeight="1" x14ac:dyDescent="0.4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O492" s="37"/>
      <c r="P492" s="37"/>
      <c r="Y492" s="37"/>
      <c r="Z492" s="37"/>
    </row>
    <row r="493" spans="1:26" ht="15.75" customHeight="1" x14ac:dyDescent="0.4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O493" s="37"/>
      <c r="P493" s="37"/>
      <c r="Y493" s="37"/>
      <c r="Z493" s="37"/>
    </row>
    <row r="494" spans="1:26" ht="15.75" customHeight="1" x14ac:dyDescent="0.4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O494" s="37"/>
      <c r="P494" s="37"/>
      <c r="Y494" s="37"/>
      <c r="Z494" s="37"/>
    </row>
    <row r="495" spans="1:26" ht="15.75" customHeight="1" x14ac:dyDescent="0.4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O495" s="37"/>
      <c r="P495" s="37"/>
      <c r="Y495" s="37"/>
      <c r="Z495" s="37"/>
    </row>
    <row r="496" spans="1:26" ht="15.75" customHeight="1" x14ac:dyDescent="0.4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O496" s="37"/>
      <c r="P496" s="37"/>
      <c r="Y496" s="37"/>
      <c r="Z496" s="37"/>
    </row>
    <row r="497" spans="1:26" ht="15.75" customHeight="1" x14ac:dyDescent="0.4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O497" s="37"/>
      <c r="P497" s="37"/>
      <c r="Y497" s="37"/>
      <c r="Z497" s="37"/>
    </row>
    <row r="498" spans="1:26" ht="15.75" customHeight="1" x14ac:dyDescent="0.4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O498" s="37"/>
      <c r="P498" s="37"/>
      <c r="Y498" s="37"/>
      <c r="Z498" s="37"/>
    </row>
    <row r="499" spans="1:26" ht="15.75" customHeight="1" x14ac:dyDescent="0.4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O499" s="37"/>
      <c r="P499" s="37"/>
      <c r="Y499" s="37"/>
      <c r="Z499" s="37"/>
    </row>
    <row r="500" spans="1:26" ht="15.75" customHeight="1" x14ac:dyDescent="0.4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O500" s="37"/>
      <c r="P500" s="37"/>
      <c r="Y500" s="37"/>
      <c r="Z500" s="37"/>
    </row>
    <row r="501" spans="1:26" ht="15.75" customHeight="1" x14ac:dyDescent="0.4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O501" s="37"/>
      <c r="P501" s="37"/>
      <c r="Y501" s="37"/>
      <c r="Z501" s="37"/>
    </row>
    <row r="502" spans="1:26" ht="15.75" customHeight="1" x14ac:dyDescent="0.4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O502" s="37"/>
      <c r="P502" s="37"/>
      <c r="Y502" s="37"/>
      <c r="Z502" s="37"/>
    </row>
    <row r="503" spans="1:26" ht="15.75" customHeight="1" x14ac:dyDescent="0.4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O503" s="37"/>
      <c r="P503" s="37"/>
      <c r="Y503" s="37"/>
      <c r="Z503" s="37"/>
    </row>
    <row r="504" spans="1:26" ht="15.75" customHeight="1" x14ac:dyDescent="0.4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O504" s="37"/>
      <c r="P504" s="37"/>
      <c r="Y504" s="37"/>
      <c r="Z504" s="37"/>
    </row>
    <row r="505" spans="1:26" ht="15.75" customHeight="1" x14ac:dyDescent="0.4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O505" s="37"/>
      <c r="P505" s="37"/>
      <c r="Y505" s="37"/>
      <c r="Z505" s="37"/>
    </row>
    <row r="506" spans="1:26" ht="15.75" customHeight="1" x14ac:dyDescent="0.4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O506" s="37"/>
      <c r="P506" s="37"/>
      <c r="Y506" s="37"/>
      <c r="Z506" s="37"/>
    </row>
    <row r="507" spans="1:26" ht="15.75" customHeight="1" x14ac:dyDescent="0.4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O507" s="37"/>
      <c r="P507" s="37"/>
      <c r="Y507" s="37"/>
      <c r="Z507" s="37"/>
    </row>
    <row r="508" spans="1:26" ht="15.75" customHeight="1" x14ac:dyDescent="0.4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O508" s="37"/>
      <c r="P508" s="37"/>
      <c r="Y508" s="37"/>
      <c r="Z508" s="37"/>
    </row>
    <row r="509" spans="1:26" ht="15.75" customHeight="1" x14ac:dyDescent="0.4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O509" s="37"/>
      <c r="P509" s="37"/>
      <c r="Y509" s="37"/>
      <c r="Z509" s="37"/>
    </row>
    <row r="510" spans="1:26" ht="15.75" customHeight="1" x14ac:dyDescent="0.4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O510" s="37"/>
      <c r="P510" s="37"/>
      <c r="Y510" s="37"/>
      <c r="Z510" s="37"/>
    </row>
    <row r="511" spans="1:26" ht="15.75" customHeight="1" x14ac:dyDescent="0.4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O511" s="37"/>
      <c r="P511" s="37"/>
      <c r="Y511" s="37"/>
      <c r="Z511" s="37"/>
    </row>
    <row r="512" spans="1:26" ht="15.75" customHeight="1" x14ac:dyDescent="0.4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O512" s="37"/>
      <c r="P512" s="37"/>
      <c r="Y512" s="37"/>
      <c r="Z512" s="37"/>
    </row>
    <row r="513" spans="1:26" ht="15.75" customHeight="1" x14ac:dyDescent="0.4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O513" s="37"/>
      <c r="P513" s="37"/>
      <c r="Y513" s="37"/>
      <c r="Z513" s="37"/>
    </row>
    <row r="514" spans="1:26" ht="15.75" customHeight="1" x14ac:dyDescent="0.4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O514" s="37"/>
      <c r="P514" s="37"/>
      <c r="Y514" s="37"/>
      <c r="Z514" s="37"/>
    </row>
    <row r="515" spans="1:26" ht="15.75" customHeight="1" x14ac:dyDescent="0.4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O515" s="37"/>
      <c r="P515" s="37"/>
      <c r="Y515" s="37"/>
      <c r="Z515" s="37"/>
    </row>
    <row r="516" spans="1:26" ht="15.75" customHeight="1" x14ac:dyDescent="0.4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O516" s="37"/>
      <c r="P516" s="37"/>
      <c r="Y516" s="37"/>
      <c r="Z516" s="37"/>
    </row>
    <row r="517" spans="1:26" ht="15.75" customHeight="1" x14ac:dyDescent="0.4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O517" s="37"/>
      <c r="P517" s="37"/>
      <c r="Y517" s="37"/>
      <c r="Z517" s="37"/>
    </row>
    <row r="518" spans="1:26" ht="15.75" customHeight="1" x14ac:dyDescent="0.4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O518" s="37"/>
      <c r="P518" s="37"/>
      <c r="Y518" s="37"/>
      <c r="Z518" s="37"/>
    </row>
    <row r="519" spans="1:26" ht="15.75" customHeight="1" x14ac:dyDescent="0.4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O519" s="37"/>
      <c r="P519" s="37"/>
      <c r="Y519" s="37"/>
      <c r="Z519" s="37"/>
    </row>
    <row r="520" spans="1:26" ht="15.75" customHeight="1" x14ac:dyDescent="0.4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O520" s="37"/>
      <c r="P520" s="37"/>
      <c r="Y520" s="37"/>
      <c r="Z520" s="37"/>
    </row>
    <row r="521" spans="1:26" ht="15.75" customHeight="1" x14ac:dyDescent="0.4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O521" s="37"/>
      <c r="P521" s="37"/>
      <c r="Y521" s="37"/>
      <c r="Z521" s="37"/>
    </row>
    <row r="522" spans="1:26" ht="15.75" customHeight="1" x14ac:dyDescent="0.4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O522" s="37"/>
      <c r="P522" s="37"/>
      <c r="Y522" s="37"/>
      <c r="Z522" s="37"/>
    </row>
    <row r="523" spans="1:26" ht="15.75" customHeight="1" x14ac:dyDescent="0.4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O523" s="37"/>
      <c r="P523" s="37"/>
      <c r="Y523" s="37"/>
      <c r="Z523" s="37"/>
    </row>
    <row r="524" spans="1:26" ht="15.75" customHeight="1" x14ac:dyDescent="0.4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O524" s="37"/>
      <c r="P524" s="37"/>
      <c r="Y524" s="37"/>
      <c r="Z524" s="37"/>
    </row>
    <row r="525" spans="1:26" ht="15.75" customHeight="1" x14ac:dyDescent="0.4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O525" s="37"/>
      <c r="P525" s="37"/>
      <c r="Y525" s="37"/>
      <c r="Z525" s="37"/>
    </row>
    <row r="526" spans="1:26" ht="15.75" customHeight="1" x14ac:dyDescent="0.4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O526" s="37"/>
      <c r="P526" s="37"/>
      <c r="Y526" s="37"/>
      <c r="Z526" s="37"/>
    </row>
    <row r="527" spans="1:26" ht="15.75" customHeight="1" x14ac:dyDescent="0.4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O527" s="37"/>
      <c r="P527" s="37"/>
      <c r="Y527" s="37"/>
      <c r="Z527" s="37"/>
    </row>
    <row r="528" spans="1:26" ht="15.75" customHeight="1" x14ac:dyDescent="0.4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O528" s="37"/>
      <c r="P528" s="37"/>
      <c r="Y528" s="37"/>
      <c r="Z528" s="37"/>
    </row>
    <row r="529" spans="1:26" ht="15.75" customHeight="1" x14ac:dyDescent="0.4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O529" s="37"/>
      <c r="P529" s="37"/>
      <c r="Y529" s="37"/>
      <c r="Z529" s="37"/>
    </row>
    <row r="530" spans="1:26" ht="15.75" customHeight="1" x14ac:dyDescent="0.4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O530" s="37"/>
      <c r="P530" s="37"/>
      <c r="Y530" s="37"/>
      <c r="Z530" s="37"/>
    </row>
    <row r="531" spans="1:26" ht="15.75" customHeight="1" x14ac:dyDescent="0.4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O531" s="37"/>
      <c r="P531" s="37"/>
      <c r="Y531" s="37"/>
      <c r="Z531" s="37"/>
    </row>
    <row r="532" spans="1:26" ht="15.75" customHeight="1" x14ac:dyDescent="0.4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O532" s="37"/>
      <c r="P532" s="37"/>
      <c r="Y532" s="37"/>
      <c r="Z532" s="37"/>
    </row>
    <row r="533" spans="1:26" ht="15.75" customHeight="1" x14ac:dyDescent="0.4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O533" s="37"/>
      <c r="P533" s="37"/>
      <c r="Y533" s="37"/>
      <c r="Z533" s="37"/>
    </row>
    <row r="534" spans="1:26" ht="15.75" customHeight="1" x14ac:dyDescent="0.4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O534" s="37"/>
      <c r="P534" s="37"/>
      <c r="Y534" s="37"/>
      <c r="Z534" s="37"/>
    </row>
    <row r="535" spans="1:26" ht="15.75" customHeight="1" x14ac:dyDescent="0.4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O535" s="37"/>
      <c r="P535" s="37"/>
      <c r="Y535" s="37"/>
      <c r="Z535" s="37"/>
    </row>
    <row r="536" spans="1:26" ht="15.75" customHeight="1" x14ac:dyDescent="0.4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O536" s="37"/>
      <c r="P536" s="37"/>
      <c r="Y536" s="37"/>
      <c r="Z536" s="37"/>
    </row>
    <row r="537" spans="1:26" ht="15.75" customHeight="1" x14ac:dyDescent="0.4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O537" s="37"/>
      <c r="P537" s="37"/>
      <c r="Y537" s="37"/>
      <c r="Z537" s="37"/>
    </row>
    <row r="538" spans="1:26" ht="15.75" customHeight="1" x14ac:dyDescent="0.4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O538" s="37"/>
      <c r="P538" s="37"/>
      <c r="Y538" s="37"/>
      <c r="Z538" s="37"/>
    </row>
    <row r="539" spans="1:26" ht="15.75" customHeight="1" x14ac:dyDescent="0.4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O539" s="37"/>
      <c r="P539" s="37"/>
      <c r="Y539" s="37"/>
      <c r="Z539" s="37"/>
    </row>
    <row r="540" spans="1:26" ht="15.75" customHeight="1" x14ac:dyDescent="0.4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O540" s="37"/>
      <c r="P540" s="37"/>
      <c r="Y540" s="37"/>
      <c r="Z540" s="37"/>
    </row>
    <row r="541" spans="1:26" ht="15.75" customHeight="1" x14ac:dyDescent="0.4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O541" s="37"/>
      <c r="P541" s="37"/>
      <c r="Y541" s="37"/>
      <c r="Z541" s="37"/>
    </row>
    <row r="542" spans="1:26" ht="15.75" customHeight="1" x14ac:dyDescent="0.4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O542" s="37"/>
      <c r="P542" s="37"/>
      <c r="Y542" s="37"/>
      <c r="Z542" s="37"/>
    </row>
    <row r="543" spans="1:26" ht="15.75" customHeight="1" x14ac:dyDescent="0.4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O543" s="37"/>
      <c r="P543" s="37"/>
      <c r="Y543" s="37"/>
      <c r="Z543" s="37"/>
    </row>
    <row r="544" spans="1:26" ht="15.75" customHeight="1" x14ac:dyDescent="0.4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O544" s="37"/>
      <c r="P544" s="37"/>
      <c r="Y544" s="37"/>
      <c r="Z544" s="37"/>
    </row>
    <row r="545" spans="1:26" ht="15.75" customHeight="1" x14ac:dyDescent="0.4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O545" s="37"/>
      <c r="P545" s="37"/>
      <c r="Y545" s="37"/>
      <c r="Z545" s="37"/>
    </row>
    <row r="546" spans="1:26" ht="15.75" customHeight="1" x14ac:dyDescent="0.4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O546" s="37"/>
      <c r="P546" s="37"/>
      <c r="Y546" s="37"/>
      <c r="Z546" s="37"/>
    </row>
    <row r="547" spans="1:26" ht="15.75" customHeight="1" x14ac:dyDescent="0.4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O547" s="37"/>
      <c r="P547" s="37"/>
      <c r="Y547" s="37"/>
      <c r="Z547" s="37"/>
    </row>
    <row r="548" spans="1:26" ht="15.75" customHeight="1" x14ac:dyDescent="0.4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O548" s="37"/>
      <c r="P548" s="37"/>
      <c r="Y548" s="37"/>
      <c r="Z548" s="37"/>
    </row>
    <row r="549" spans="1:26" ht="15.75" customHeight="1" x14ac:dyDescent="0.4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O549" s="37"/>
      <c r="P549" s="37"/>
      <c r="Y549" s="37"/>
      <c r="Z549" s="37"/>
    </row>
    <row r="550" spans="1:26" ht="15.75" customHeight="1" x14ac:dyDescent="0.4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O550" s="37"/>
      <c r="P550" s="37"/>
      <c r="Y550" s="37"/>
      <c r="Z550" s="37"/>
    </row>
    <row r="551" spans="1:26" ht="15.75" customHeight="1" x14ac:dyDescent="0.4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O551" s="37"/>
      <c r="P551" s="37"/>
      <c r="Y551" s="37"/>
      <c r="Z551" s="37"/>
    </row>
    <row r="552" spans="1:26" ht="15.75" customHeight="1" x14ac:dyDescent="0.4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O552" s="37"/>
      <c r="P552" s="37"/>
      <c r="Y552" s="37"/>
      <c r="Z552" s="37"/>
    </row>
    <row r="553" spans="1:26" ht="15.75" customHeight="1" x14ac:dyDescent="0.4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O553" s="37"/>
      <c r="P553" s="37"/>
      <c r="Y553" s="37"/>
      <c r="Z553" s="37"/>
    </row>
    <row r="554" spans="1:26" ht="15.75" customHeight="1" x14ac:dyDescent="0.4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O554" s="37"/>
      <c r="P554" s="37"/>
      <c r="Y554" s="37"/>
      <c r="Z554" s="37"/>
    </row>
    <row r="555" spans="1:26" ht="15.75" customHeight="1" x14ac:dyDescent="0.4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O555" s="37"/>
      <c r="P555" s="37"/>
      <c r="Y555" s="37"/>
      <c r="Z555" s="37"/>
    </row>
    <row r="556" spans="1:26" ht="15.75" customHeight="1" x14ac:dyDescent="0.4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O556" s="37"/>
      <c r="P556" s="37"/>
      <c r="Y556" s="37"/>
      <c r="Z556" s="37"/>
    </row>
    <row r="557" spans="1:26" ht="15.75" customHeight="1" x14ac:dyDescent="0.4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O557" s="37"/>
      <c r="P557" s="37"/>
      <c r="Y557" s="37"/>
      <c r="Z557" s="37"/>
    </row>
    <row r="558" spans="1:26" ht="15.75" customHeight="1" x14ac:dyDescent="0.4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O558" s="37"/>
      <c r="P558" s="37"/>
      <c r="Y558" s="37"/>
      <c r="Z558" s="37"/>
    </row>
    <row r="559" spans="1:26" ht="15.75" customHeight="1" x14ac:dyDescent="0.4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O559" s="37"/>
      <c r="P559" s="37"/>
      <c r="Y559" s="37"/>
      <c r="Z559" s="37"/>
    </row>
    <row r="560" spans="1:26" ht="15.75" customHeight="1" x14ac:dyDescent="0.4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O560" s="37"/>
      <c r="P560" s="37"/>
      <c r="Y560" s="37"/>
      <c r="Z560" s="37"/>
    </row>
    <row r="561" spans="1:26" ht="15.75" customHeight="1" x14ac:dyDescent="0.4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O561" s="37"/>
      <c r="P561" s="37"/>
      <c r="Y561" s="37"/>
      <c r="Z561" s="37"/>
    </row>
    <row r="562" spans="1:26" ht="15.75" customHeight="1" x14ac:dyDescent="0.4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O562" s="37"/>
      <c r="P562" s="37"/>
      <c r="Y562" s="37"/>
      <c r="Z562" s="37"/>
    </row>
    <row r="563" spans="1:26" ht="15.75" customHeight="1" x14ac:dyDescent="0.4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O563" s="37"/>
      <c r="P563" s="37"/>
      <c r="Y563" s="37"/>
      <c r="Z563" s="37"/>
    </row>
    <row r="564" spans="1:26" ht="15.75" customHeight="1" x14ac:dyDescent="0.4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O564" s="37"/>
      <c r="P564" s="37"/>
      <c r="Y564" s="37"/>
      <c r="Z564" s="37"/>
    </row>
    <row r="565" spans="1:26" ht="15.75" customHeight="1" x14ac:dyDescent="0.4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O565" s="37"/>
      <c r="P565" s="37"/>
      <c r="Y565" s="37"/>
      <c r="Z565" s="37"/>
    </row>
    <row r="566" spans="1:26" ht="15.75" customHeight="1" x14ac:dyDescent="0.4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O566" s="37"/>
      <c r="P566" s="37"/>
      <c r="Y566" s="37"/>
      <c r="Z566" s="37"/>
    </row>
    <row r="567" spans="1:26" ht="15.75" customHeight="1" x14ac:dyDescent="0.4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O567" s="37"/>
      <c r="P567" s="37"/>
      <c r="Y567" s="37"/>
      <c r="Z567" s="37"/>
    </row>
    <row r="568" spans="1:26" ht="15.75" customHeight="1" x14ac:dyDescent="0.4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O568" s="37"/>
      <c r="P568" s="37"/>
      <c r="Y568" s="37"/>
      <c r="Z568" s="37"/>
    </row>
    <row r="569" spans="1:26" ht="15.75" customHeight="1" x14ac:dyDescent="0.4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O569" s="37"/>
      <c r="P569" s="37"/>
      <c r="Y569" s="37"/>
      <c r="Z569" s="37"/>
    </row>
    <row r="570" spans="1:26" ht="15.75" customHeight="1" x14ac:dyDescent="0.4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O570" s="37"/>
      <c r="P570" s="37"/>
      <c r="Y570" s="37"/>
      <c r="Z570" s="37"/>
    </row>
    <row r="571" spans="1:26" ht="15.75" customHeight="1" x14ac:dyDescent="0.4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O571" s="37"/>
      <c r="P571" s="37"/>
      <c r="Y571" s="37"/>
      <c r="Z571" s="37"/>
    </row>
    <row r="572" spans="1:26" ht="15.75" customHeight="1" x14ac:dyDescent="0.4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O572" s="37"/>
      <c r="P572" s="37"/>
      <c r="Y572" s="37"/>
      <c r="Z572" s="37"/>
    </row>
    <row r="573" spans="1:26" ht="15.75" customHeight="1" x14ac:dyDescent="0.4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O573" s="37"/>
      <c r="P573" s="37"/>
      <c r="Y573" s="37"/>
      <c r="Z573" s="37"/>
    </row>
    <row r="574" spans="1:26" ht="15.75" customHeight="1" x14ac:dyDescent="0.4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O574" s="37"/>
      <c r="P574" s="37"/>
      <c r="Y574" s="37"/>
      <c r="Z574" s="37"/>
    </row>
    <row r="575" spans="1:26" ht="15.75" customHeight="1" x14ac:dyDescent="0.4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O575" s="37"/>
      <c r="P575" s="37"/>
      <c r="Y575" s="37"/>
      <c r="Z575" s="37"/>
    </row>
    <row r="576" spans="1:26" ht="15.75" customHeight="1" x14ac:dyDescent="0.4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O576" s="37"/>
      <c r="P576" s="37"/>
      <c r="Y576" s="37"/>
      <c r="Z576" s="37"/>
    </row>
    <row r="577" spans="1:26" ht="15.75" customHeight="1" x14ac:dyDescent="0.4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O577" s="37"/>
      <c r="P577" s="37"/>
      <c r="Y577" s="37"/>
      <c r="Z577" s="37"/>
    </row>
    <row r="578" spans="1:26" ht="15.75" customHeight="1" x14ac:dyDescent="0.4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O578" s="37"/>
      <c r="P578" s="37"/>
      <c r="Y578" s="37"/>
      <c r="Z578" s="37"/>
    </row>
    <row r="579" spans="1:26" ht="15.75" customHeight="1" x14ac:dyDescent="0.4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O579" s="37"/>
      <c r="P579" s="37"/>
      <c r="Y579" s="37"/>
      <c r="Z579" s="37"/>
    </row>
    <row r="580" spans="1:26" ht="15.75" customHeight="1" x14ac:dyDescent="0.4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O580" s="37"/>
      <c r="P580" s="37"/>
      <c r="Y580" s="37"/>
      <c r="Z580" s="37"/>
    </row>
    <row r="581" spans="1:26" ht="15.75" customHeight="1" x14ac:dyDescent="0.4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O581" s="37"/>
      <c r="P581" s="37"/>
      <c r="Y581" s="37"/>
      <c r="Z581" s="37"/>
    </row>
    <row r="582" spans="1:26" ht="15.75" customHeight="1" x14ac:dyDescent="0.4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O582" s="37"/>
      <c r="P582" s="37"/>
      <c r="Y582" s="37"/>
      <c r="Z582" s="37"/>
    </row>
    <row r="583" spans="1:26" ht="15.75" customHeight="1" x14ac:dyDescent="0.4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O583" s="37"/>
      <c r="P583" s="37"/>
      <c r="Y583" s="37"/>
      <c r="Z583" s="37"/>
    </row>
    <row r="584" spans="1:26" ht="15.75" customHeight="1" x14ac:dyDescent="0.4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O584" s="37"/>
      <c r="P584" s="37"/>
      <c r="Y584" s="37"/>
      <c r="Z584" s="37"/>
    </row>
    <row r="585" spans="1:26" ht="15.75" customHeight="1" x14ac:dyDescent="0.4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O585" s="37"/>
      <c r="P585" s="37"/>
      <c r="Y585" s="37"/>
      <c r="Z585" s="37"/>
    </row>
    <row r="586" spans="1:26" ht="15.75" customHeight="1" x14ac:dyDescent="0.4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O586" s="37"/>
      <c r="P586" s="37"/>
      <c r="Y586" s="37"/>
      <c r="Z586" s="37"/>
    </row>
    <row r="587" spans="1:26" ht="15.75" customHeight="1" x14ac:dyDescent="0.4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O587" s="37"/>
      <c r="P587" s="37"/>
      <c r="Y587" s="37"/>
      <c r="Z587" s="37"/>
    </row>
    <row r="588" spans="1:26" ht="15.75" customHeight="1" x14ac:dyDescent="0.4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O588" s="37"/>
      <c r="P588" s="37"/>
      <c r="Y588" s="37"/>
      <c r="Z588" s="37"/>
    </row>
    <row r="589" spans="1:26" ht="15.75" customHeight="1" x14ac:dyDescent="0.4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O589" s="37"/>
      <c r="P589" s="37"/>
      <c r="Y589" s="37"/>
      <c r="Z589" s="37"/>
    </row>
    <row r="590" spans="1:26" ht="15.75" customHeight="1" x14ac:dyDescent="0.4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O590" s="37"/>
      <c r="P590" s="37"/>
      <c r="Y590" s="37"/>
      <c r="Z590" s="37"/>
    </row>
    <row r="591" spans="1:26" ht="15.75" customHeight="1" x14ac:dyDescent="0.4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O591" s="37"/>
      <c r="P591" s="37"/>
      <c r="Y591" s="37"/>
      <c r="Z591" s="37"/>
    </row>
    <row r="592" spans="1:26" ht="15.75" customHeight="1" x14ac:dyDescent="0.4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O592" s="37"/>
      <c r="P592" s="37"/>
      <c r="Y592" s="37"/>
      <c r="Z592" s="37"/>
    </row>
    <row r="593" spans="1:26" ht="15.75" customHeight="1" x14ac:dyDescent="0.4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O593" s="37"/>
      <c r="P593" s="37"/>
      <c r="Y593" s="37"/>
      <c r="Z593" s="37"/>
    </row>
    <row r="594" spans="1:26" ht="15.75" customHeight="1" x14ac:dyDescent="0.4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O594" s="37"/>
      <c r="P594" s="37"/>
      <c r="Y594" s="37"/>
      <c r="Z594" s="37"/>
    </row>
    <row r="595" spans="1:26" ht="15.75" customHeight="1" x14ac:dyDescent="0.4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O595" s="37"/>
      <c r="P595" s="37"/>
      <c r="Y595" s="37"/>
      <c r="Z595" s="37"/>
    </row>
    <row r="596" spans="1:26" ht="15.75" customHeight="1" x14ac:dyDescent="0.4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O596" s="37"/>
      <c r="P596" s="37"/>
      <c r="Y596" s="37"/>
      <c r="Z596" s="37"/>
    </row>
    <row r="597" spans="1:26" ht="15.75" customHeight="1" x14ac:dyDescent="0.4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O597" s="37"/>
      <c r="P597" s="37"/>
      <c r="Y597" s="37"/>
      <c r="Z597" s="37"/>
    </row>
    <row r="598" spans="1:26" ht="15.75" customHeight="1" x14ac:dyDescent="0.4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O598" s="37"/>
      <c r="P598" s="37"/>
      <c r="Y598" s="37"/>
      <c r="Z598" s="37"/>
    </row>
    <row r="599" spans="1:26" ht="15.75" customHeight="1" x14ac:dyDescent="0.4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O599" s="37"/>
      <c r="P599" s="37"/>
      <c r="Y599" s="37"/>
      <c r="Z599" s="37"/>
    </row>
    <row r="600" spans="1:26" ht="15.75" customHeight="1" x14ac:dyDescent="0.4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O600" s="37"/>
      <c r="P600" s="37"/>
      <c r="Y600" s="37"/>
      <c r="Z600" s="37"/>
    </row>
    <row r="601" spans="1:26" ht="15.75" customHeight="1" x14ac:dyDescent="0.4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O601" s="37"/>
      <c r="P601" s="37"/>
      <c r="Y601" s="37"/>
      <c r="Z601" s="37"/>
    </row>
    <row r="602" spans="1:26" ht="15.75" customHeight="1" x14ac:dyDescent="0.4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O602" s="37"/>
      <c r="P602" s="37"/>
      <c r="Y602" s="37"/>
      <c r="Z602" s="37"/>
    </row>
    <row r="603" spans="1:26" ht="15.75" customHeight="1" x14ac:dyDescent="0.4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O603" s="37"/>
      <c r="P603" s="37"/>
      <c r="Y603" s="37"/>
      <c r="Z603" s="37"/>
    </row>
    <row r="604" spans="1:26" ht="15.75" customHeight="1" x14ac:dyDescent="0.4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O604" s="37"/>
      <c r="P604" s="37"/>
      <c r="Y604" s="37"/>
      <c r="Z604" s="37"/>
    </row>
    <row r="605" spans="1:26" ht="15.75" customHeight="1" x14ac:dyDescent="0.4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O605" s="37"/>
      <c r="P605" s="37"/>
      <c r="Y605" s="37"/>
      <c r="Z605" s="37"/>
    </row>
    <row r="606" spans="1:26" ht="15.75" customHeight="1" x14ac:dyDescent="0.4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O606" s="37"/>
      <c r="P606" s="37"/>
      <c r="Y606" s="37"/>
      <c r="Z606" s="37"/>
    </row>
    <row r="607" spans="1:26" ht="15.75" customHeight="1" x14ac:dyDescent="0.4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O607" s="37"/>
      <c r="P607" s="37"/>
      <c r="Y607" s="37"/>
      <c r="Z607" s="37"/>
    </row>
    <row r="608" spans="1:26" ht="15.75" customHeight="1" x14ac:dyDescent="0.4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O608" s="37"/>
      <c r="P608" s="37"/>
      <c r="Y608" s="37"/>
      <c r="Z608" s="37"/>
    </row>
    <row r="609" spans="1:26" ht="15.75" customHeight="1" x14ac:dyDescent="0.4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O609" s="37"/>
      <c r="P609" s="37"/>
      <c r="Y609" s="37"/>
      <c r="Z609" s="37"/>
    </row>
    <row r="610" spans="1:26" ht="15.75" customHeight="1" x14ac:dyDescent="0.4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O610" s="37"/>
      <c r="P610" s="37"/>
      <c r="Y610" s="37"/>
      <c r="Z610" s="37"/>
    </row>
    <row r="611" spans="1:26" ht="15.75" customHeight="1" x14ac:dyDescent="0.4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O611" s="37"/>
      <c r="P611" s="37"/>
      <c r="Y611" s="37"/>
      <c r="Z611" s="37"/>
    </row>
    <row r="612" spans="1:26" ht="15.75" customHeight="1" x14ac:dyDescent="0.4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O612" s="37"/>
      <c r="P612" s="37"/>
      <c r="Y612" s="37"/>
      <c r="Z612" s="37"/>
    </row>
    <row r="613" spans="1:26" ht="15.75" customHeight="1" x14ac:dyDescent="0.4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O613" s="37"/>
      <c r="P613" s="37"/>
      <c r="Y613" s="37"/>
      <c r="Z613" s="37"/>
    </row>
    <row r="614" spans="1:26" ht="15.75" customHeight="1" x14ac:dyDescent="0.4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O614" s="37"/>
      <c r="P614" s="37"/>
      <c r="Y614" s="37"/>
      <c r="Z614" s="37"/>
    </row>
    <row r="615" spans="1:26" ht="15.75" customHeight="1" x14ac:dyDescent="0.4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O615" s="37"/>
      <c r="P615" s="37"/>
      <c r="Y615" s="37"/>
      <c r="Z615" s="37"/>
    </row>
    <row r="616" spans="1:26" ht="15.75" customHeight="1" x14ac:dyDescent="0.4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O616" s="37"/>
      <c r="P616" s="37"/>
      <c r="Y616" s="37"/>
      <c r="Z616" s="37"/>
    </row>
    <row r="617" spans="1:26" ht="15.75" customHeight="1" x14ac:dyDescent="0.4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O617" s="37"/>
      <c r="P617" s="37"/>
      <c r="Y617" s="37"/>
      <c r="Z617" s="37"/>
    </row>
    <row r="618" spans="1:26" ht="15.75" customHeight="1" x14ac:dyDescent="0.4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O618" s="37"/>
      <c r="P618" s="37"/>
      <c r="Y618" s="37"/>
      <c r="Z618" s="37"/>
    </row>
    <row r="619" spans="1:26" ht="15.75" customHeight="1" x14ac:dyDescent="0.4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O619" s="37"/>
      <c r="P619" s="37"/>
      <c r="Y619" s="37"/>
      <c r="Z619" s="37"/>
    </row>
    <row r="620" spans="1:26" ht="15.75" customHeight="1" x14ac:dyDescent="0.4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O620" s="37"/>
      <c r="P620" s="37"/>
      <c r="Y620" s="37"/>
      <c r="Z620" s="37"/>
    </row>
    <row r="621" spans="1:26" ht="15.75" customHeight="1" x14ac:dyDescent="0.4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O621" s="37"/>
      <c r="P621" s="37"/>
      <c r="Y621" s="37"/>
      <c r="Z621" s="37"/>
    </row>
    <row r="622" spans="1:26" ht="15.75" customHeight="1" x14ac:dyDescent="0.4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O622" s="37"/>
      <c r="P622" s="37"/>
      <c r="Y622" s="37"/>
      <c r="Z622" s="37"/>
    </row>
    <row r="623" spans="1:26" ht="15.75" customHeight="1" x14ac:dyDescent="0.4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O623" s="37"/>
      <c r="P623" s="37"/>
      <c r="Y623" s="37"/>
      <c r="Z623" s="37"/>
    </row>
    <row r="624" spans="1:26" ht="15.75" customHeight="1" x14ac:dyDescent="0.4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O624" s="37"/>
      <c r="P624" s="37"/>
      <c r="Y624" s="37"/>
      <c r="Z624" s="37"/>
    </row>
    <row r="625" spans="1:26" ht="15.75" customHeight="1" x14ac:dyDescent="0.4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O625" s="37"/>
      <c r="P625" s="37"/>
      <c r="Y625" s="37"/>
      <c r="Z625" s="37"/>
    </row>
    <row r="626" spans="1:26" ht="15.75" customHeight="1" x14ac:dyDescent="0.4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O626" s="37"/>
      <c r="P626" s="37"/>
      <c r="Y626" s="37"/>
      <c r="Z626" s="37"/>
    </row>
    <row r="627" spans="1:26" ht="15.75" customHeight="1" x14ac:dyDescent="0.4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O627" s="37"/>
      <c r="P627" s="37"/>
      <c r="Y627" s="37"/>
      <c r="Z627" s="37"/>
    </row>
    <row r="628" spans="1:26" ht="15.75" customHeight="1" x14ac:dyDescent="0.4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O628" s="37"/>
      <c r="P628" s="37"/>
      <c r="Y628" s="37"/>
      <c r="Z628" s="37"/>
    </row>
    <row r="629" spans="1:26" ht="15.75" customHeight="1" x14ac:dyDescent="0.4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O629" s="37"/>
      <c r="P629" s="37"/>
      <c r="Y629" s="37"/>
      <c r="Z629" s="37"/>
    </row>
    <row r="630" spans="1:26" ht="15.75" customHeight="1" x14ac:dyDescent="0.4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O630" s="37"/>
      <c r="P630" s="37"/>
      <c r="Y630" s="37"/>
      <c r="Z630" s="37"/>
    </row>
    <row r="631" spans="1:26" ht="15.75" customHeight="1" x14ac:dyDescent="0.4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O631" s="37"/>
      <c r="P631" s="37"/>
      <c r="Y631" s="37"/>
      <c r="Z631" s="37"/>
    </row>
    <row r="632" spans="1:26" ht="15.75" customHeight="1" x14ac:dyDescent="0.4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O632" s="37"/>
      <c r="P632" s="37"/>
      <c r="Y632" s="37"/>
      <c r="Z632" s="37"/>
    </row>
    <row r="633" spans="1:26" ht="15.75" customHeight="1" x14ac:dyDescent="0.4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O633" s="37"/>
      <c r="P633" s="37"/>
      <c r="Y633" s="37"/>
      <c r="Z633" s="37"/>
    </row>
    <row r="634" spans="1:26" ht="15.75" customHeight="1" x14ac:dyDescent="0.4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O634" s="37"/>
      <c r="P634" s="37"/>
      <c r="Y634" s="37"/>
      <c r="Z634" s="37"/>
    </row>
    <row r="635" spans="1:26" ht="15.75" customHeight="1" x14ac:dyDescent="0.4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O635" s="37"/>
      <c r="P635" s="37"/>
      <c r="Y635" s="37"/>
      <c r="Z635" s="37"/>
    </row>
    <row r="636" spans="1:26" ht="15.75" customHeight="1" x14ac:dyDescent="0.4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O636" s="37"/>
      <c r="P636" s="37"/>
      <c r="Y636" s="37"/>
      <c r="Z636" s="37"/>
    </row>
    <row r="637" spans="1:26" ht="15.75" customHeight="1" x14ac:dyDescent="0.4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O637" s="37"/>
      <c r="P637" s="37"/>
      <c r="Y637" s="37"/>
      <c r="Z637" s="37"/>
    </row>
    <row r="638" spans="1:26" ht="15.75" customHeight="1" x14ac:dyDescent="0.4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O638" s="37"/>
      <c r="P638" s="37"/>
      <c r="Y638" s="37"/>
      <c r="Z638" s="37"/>
    </row>
    <row r="639" spans="1:26" ht="15.75" customHeight="1" x14ac:dyDescent="0.4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O639" s="37"/>
      <c r="P639" s="37"/>
      <c r="Y639" s="37"/>
      <c r="Z639" s="37"/>
    </row>
    <row r="640" spans="1:26" ht="15.75" customHeight="1" x14ac:dyDescent="0.4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O640" s="37"/>
      <c r="P640" s="37"/>
      <c r="Y640" s="37"/>
      <c r="Z640" s="37"/>
    </row>
    <row r="641" spans="1:26" ht="15.75" customHeight="1" x14ac:dyDescent="0.4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O641" s="37"/>
      <c r="P641" s="37"/>
      <c r="Y641" s="37"/>
      <c r="Z641" s="37"/>
    </row>
    <row r="642" spans="1:26" ht="15.75" customHeight="1" x14ac:dyDescent="0.4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O642" s="37"/>
      <c r="P642" s="37"/>
      <c r="Y642" s="37"/>
      <c r="Z642" s="37"/>
    </row>
    <row r="643" spans="1:26" ht="15.75" customHeight="1" x14ac:dyDescent="0.4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O643" s="37"/>
      <c r="P643" s="37"/>
      <c r="Y643" s="37"/>
      <c r="Z643" s="37"/>
    </row>
    <row r="644" spans="1:26" ht="15.75" customHeight="1" x14ac:dyDescent="0.4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O644" s="37"/>
      <c r="P644" s="37"/>
      <c r="Y644" s="37"/>
      <c r="Z644" s="37"/>
    </row>
    <row r="645" spans="1:26" ht="15.75" customHeight="1" x14ac:dyDescent="0.4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O645" s="37"/>
      <c r="P645" s="37"/>
      <c r="Y645" s="37"/>
      <c r="Z645" s="37"/>
    </row>
    <row r="646" spans="1:26" ht="15.75" customHeight="1" x14ac:dyDescent="0.4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O646" s="37"/>
      <c r="P646" s="37"/>
      <c r="Y646" s="37"/>
      <c r="Z646" s="37"/>
    </row>
    <row r="647" spans="1:26" ht="15.75" customHeight="1" x14ac:dyDescent="0.4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O647" s="37"/>
      <c r="P647" s="37"/>
      <c r="Y647" s="37"/>
      <c r="Z647" s="37"/>
    </row>
    <row r="648" spans="1:26" ht="15.75" customHeight="1" x14ac:dyDescent="0.4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O648" s="37"/>
      <c r="P648" s="37"/>
      <c r="Y648" s="37"/>
      <c r="Z648" s="37"/>
    </row>
    <row r="649" spans="1:26" ht="15.75" customHeight="1" x14ac:dyDescent="0.4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O649" s="37"/>
      <c r="P649" s="37"/>
      <c r="Y649" s="37"/>
      <c r="Z649" s="37"/>
    </row>
    <row r="650" spans="1:26" ht="15.75" customHeight="1" x14ac:dyDescent="0.4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O650" s="37"/>
      <c r="P650" s="37"/>
      <c r="Y650" s="37"/>
      <c r="Z650" s="37"/>
    </row>
    <row r="651" spans="1:26" ht="15.75" customHeight="1" x14ac:dyDescent="0.4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O651" s="37"/>
      <c r="P651" s="37"/>
      <c r="Y651" s="37"/>
      <c r="Z651" s="37"/>
    </row>
    <row r="652" spans="1:26" ht="15.75" customHeight="1" x14ac:dyDescent="0.4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O652" s="37"/>
      <c r="P652" s="37"/>
      <c r="Y652" s="37"/>
      <c r="Z652" s="37"/>
    </row>
    <row r="653" spans="1:26" ht="15.75" customHeight="1" x14ac:dyDescent="0.4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O653" s="37"/>
      <c r="P653" s="37"/>
      <c r="Y653" s="37"/>
      <c r="Z653" s="37"/>
    </row>
    <row r="654" spans="1:26" ht="15.75" customHeight="1" x14ac:dyDescent="0.4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O654" s="37"/>
      <c r="P654" s="37"/>
      <c r="Y654" s="37"/>
      <c r="Z654" s="37"/>
    </row>
    <row r="655" spans="1:26" ht="15.75" customHeight="1" x14ac:dyDescent="0.4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O655" s="37"/>
      <c r="P655" s="37"/>
      <c r="Y655" s="37"/>
      <c r="Z655" s="37"/>
    </row>
    <row r="656" spans="1:26" ht="15.75" customHeight="1" x14ac:dyDescent="0.4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O656" s="37"/>
      <c r="P656" s="37"/>
      <c r="Y656" s="37"/>
      <c r="Z656" s="37"/>
    </row>
    <row r="657" spans="1:26" ht="15.75" customHeight="1" x14ac:dyDescent="0.4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O657" s="37"/>
      <c r="P657" s="37"/>
      <c r="Y657" s="37"/>
      <c r="Z657" s="37"/>
    </row>
    <row r="658" spans="1:26" ht="15.75" customHeight="1" x14ac:dyDescent="0.4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O658" s="37"/>
      <c r="P658" s="37"/>
      <c r="Y658" s="37"/>
      <c r="Z658" s="37"/>
    </row>
    <row r="659" spans="1:26" ht="15.75" customHeight="1" x14ac:dyDescent="0.4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O659" s="37"/>
      <c r="P659" s="37"/>
      <c r="Y659" s="37"/>
      <c r="Z659" s="37"/>
    </row>
    <row r="660" spans="1:26" ht="15.75" customHeight="1" x14ac:dyDescent="0.4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O660" s="37"/>
      <c r="P660" s="37"/>
      <c r="Y660" s="37"/>
      <c r="Z660" s="37"/>
    </row>
    <row r="661" spans="1:26" ht="15.75" customHeight="1" x14ac:dyDescent="0.4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O661" s="37"/>
      <c r="P661" s="37"/>
      <c r="Y661" s="37"/>
      <c r="Z661" s="37"/>
    </row>
    <row r="662" spans="1:26" ht="15.75" customHeight="1" x14ac:dyDescent="0.4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O662" s="37"/>
      <c r="P662" s="37"/>
      <c r="Y662" s="37"/>
      <c r="Z662" s="37"/>
    </row>
    <row r="663" spans="1:26" ht="15.75" customHeight="1" x14ac:dyDescent="0.4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O663" s="37"/>
      <c r="P663" s="37"/>
      <c r="Y663" s="37"/>
      <c r="Z663" s="37"/>
    </row>
    <row r="664" spans="1:26" ht="15.75" customHeight="1" x14ac:dyDescent="0.4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O664" s="37"/>
      <c r="P664" s="37"/>
      <c r="Y664" s="37"/>
      <c r="Z664" s="37"/>
    </row>
    <row r="665" spans="1:26" ht="15.75" customHeight="1" x14ac:dyDescent="0.4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O665" s="37"/>
      <c r="P665" s="37"/>
      <c r="Y665" s="37"/>
      <c r="Z665" s="37"/>
    </row>
    <row r="666" spans="1:26" ht="15.75" customHeight="1" x14ac:dyDescent="0.4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O666" s="37"/>
      <c r="P666" s="37"/>
      <c r="Y666" s="37"/>
      <c r="Z666" s="37"/>
    </row>
    <row r="667" spans="1:26" ht="15.75" customHeight="1" x14ac:dyDescent="0.4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O667" s="37"/>
      <c r="P667" s="37"/>
      <c r="Y667" s="37"/>
      <c r="Z667" s="37"/>
    </row>
    <row r="668" spans="1:26" ht="15.75" customHeight="1" x14ac:dyDescent="0.4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O668" s="37"/>
      <c r="P668" s="37"/>
      <c r="Y668" s="37"/>
      <c r="Z668" s="37"/>
    </row>
    <row r="669" spans="1:26" ht="15.75" customHeight="1" x14ac:dyDescent="0.4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O669" s="37"/>
      <c r="P669" s="37"/>
      <c r="Y669" s="37"/>
      <c r="Z669" s="37"/>
    </row>
    <row r="670" spans="1:26" ht="15.75" customHeight="1" x14ac:dyDescent="0.4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O670" s="37"/>
      <c r="P670" s="37"/>
      <c r="Y670" s="37"/>
      <c r="Z670" s="37"/>
    </row>
    <row r="671" spans="1:26" ht="15.75" customHeight="1" x14ac:dyDescent="0.4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O671" s="37"/>
      <c r="P671" s="37"/>
      <c r="Y671" s="37"/>
      <c r="Z671" s="37"/>
    </row>
    <row r="672" spans="1:26" ht="15.75" customHeight="1" x14ac:dyDescent="0.4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O672" s="37"/>
      <c r="P672" s="37"/>
      <c r="Y672" s="37"/>
      <c r="Z672" s="37"/>
    </row>
    <row r="673" spans="1:26" ht="15.75" customHeight="1" x14ac:dyDescent="0.4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O673" s="37"/>
      <c r="P673" s="37"/>
      <c r="Y673" s="37"/>
      <c r="Z673" s="37"/>
    </row>
    <row r="674" spans="1:26" ht="15.75" customHeight="1" x14ac:dyDescent="0.4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O674" s="37"/>
      <c r="P674" s="37"/>
      <c r="Y674" s="37"/>
      <c r="Z674" s="37"/>
    </row>
    <row r="675" spans="1:26" ht="15.75" customHeight="1" x14ac:dyDescent="0.4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O675" s="37"/>
      <c r="P675" s="37"/>
      <c r="Y675" s="37"/>
      <c r="Z675" s="37"/>
    </row>
    <row r="676" spans="1:26" ht="15.75" customHeight="1" x14ac:dyDescent="0.4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O676" s="37"/>
      <c r="P676" s="37"/>
      <c r="Y676" s="37"/>
      <c r="Z676" s="37"/>
    </row>
    <row r="677" spans="1:26" ht="15.75" customHeight="1" x14ac:dyDescent="0.4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O677" s="37"/>
      <c r="P677" s="37"/>
      <c r="Y677" s="37"/>
      <c r="Z677" s="37"/>
    </row>
    <row r="678" spans="1:26" ht="15.75" customHeight="1" x14ac:dyDescent="0.4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O678" s="37"/>
      <c r="P678" s="37"/>
      <c r="Y678" s="37"/>
      <c r="Z678" s="37"/>
    </row>
    <row r="679" spans="1:26" ht="15.75" customHeight="1" x14ac:dyDescent="0.4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O679" s="37"/>
      <c r="P679" s="37"/>
      <c r="Y679" s="37"/>
      <c r="Z679" s="37"/>
    </row>
    <row r="680" spans="1:26" ht="15.75" customHeight="1" x14ac:dyDescent="0.4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O680" s="37"/>
      <c r="P680" s="37"/>
      <c r="Y680" s="37"/>
      <c r="Z680" s="37"/>
    </row>
    <row r="681" spans="1:26" ht="15.75" customHeight="1" x14ac:dyDescent="0.4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O681" s="37"/>
      <c r="P681" s="37"/>
      <c r="Y681" s="37"/>
      <c r="Z681" s="37"/>
    </row>
    <row r="682" spans="1:26" ht="15.75" customHeight="1" x14ac:dyDescent="0.4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O682" s="37"/>
      <c r="P682" s="37"/>
      <c r="Y682" s="37"/>
      <c r="Z682" s="37"/>
    </row>
    <row r="683" spans="1:26" ht="15.75" customHeight="1" x14ac:dyDescent="0.4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O683" s="37"/>
      <c r="P683" s="37"/>
      <c r="Y683" s="37"/>
      <c r="Z683" s="37"/>
    </row>
    <row r="684" spans="1:26" ht="15.75" customHeight="1" x14ac:dyDescent="0.4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O684" s="37"/>
      <c r="P684" s="37"/>
      <c r="Y684" s="37"/>
      <c r="Z684" s="37"/>
    </row>
    <row r="685" spans="1:26" ht="15.75" customHeight="1" x14ac:dyDescent="0.4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O685" s="37"/>
      <c r="P685" s="37"/>
      <c r="Y685" s="37"/>
      <c r="Z685" s="37"/>
    </row>
    <row r="686" spans="1:26" ht="15.75" customHeight="1" x14ac:dyDescent="0.4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O686" s="37"/>
      <c r="P686" s="37"/>
      <c r="Y686" s="37"/>
      <c r="Z686" s="37"/>
    </row>
    <row r="687" spans="1:26" ht="15.75" customHeight="1" x14ac:dyDescent="0.4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O687" s="37"/>
      <c r="P687" s="37"/>
      <c r="Y687" s="37"/>
      <c r="Z687" s="37"/>
    </row>
    <row r="688" spans="1:26" ht="15.75" customHeight="1" x14ac:dyDescent="0.4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O688" s="37"/>
      <c r="P688" s="37"/>
      <c r="Y688" s="37"/>
      <c r="Z688" s="37"/>
    </row>
    <row r="689" spans="1:26" ht="15.75" customHeight="1" x14ac:dyDescent="0.4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O689" s="37"/>
      <c r="P689" s="37"/>
      <c r="Y689" s="37"/>
      <c r="Z689" s="37"/>
    </row>
    <row r="690" spans="1:26" ht="15.75" customHeight="1" x14ac:dyDescent="0.4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O690" s="37"/>
      <c r="P690" s="37"/>
      <c r="Y690" s="37"/>
      <c r="Z690" s="37"/>
    </row>
    <row r="691" spans="1:26" ht="15.75" customHeight="1" x14ac:dyDescent="0.4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O691" s="37"/>
      <c r="P691" s="37"/>
      <c r="Y691" s="37"/>
      <c r="Z691" s="37"/>
    </row>
    <row r="692" spans="1:26" ht="15.75" customHeight="1" x14ac:dyDescent="0.4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O692" s="37"/>
      <c r="P692" s="37"/>
      <c r="Y692" s="37"/>
      <c r="Z692" s="37"/>
    </row>
    <row r="693" spans="1:26" ht="15.75" customHeight="1" x14ac:dyDescent="0.4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O693" s="37"/>
      <c r="P693" s="37"/>
      <c r="Y693" s="37"/>
      <c r="Z693" s="37"/>
    </row>
    <row r="694" spans="1:26" ht="15.75" customHeight="1" x14ac:dyDescent="0.4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O694" s="37"/>
      <c r="P694" s="37"/>
      <c r="Y694" s="37"/>
      <c r="Z694" s="37"/>
    </row>
    <row r="695" spans="1:26" ht="15.75" customHeight="1" x14ac:dyDescent="0.4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O695" s="37"/>
      <c r="P695" s="37"/>
      <c r="Y695" s="37"/>
      <c r="Z695" s="37"/>
    </row>
    <row r="696" spans="1:26" ht="15.75" customHeight="1" x14ac:dyDescent="0.4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O696" s="37"/>
      <c r="P696" s="37"/>
      <c r="Y696" s="37"/>
      <c r="Z696" s="37"/>
    </row>
    <row r="697" spans="1:26" ht="15.75" customHeight="1" x14ac:dyDescent="0.4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O697" s="37"/>
      <c r="P697" s="37"/>
      <c r="Y697" s="37"/>
      <c r="Z697" s="37"/>
    </row>
    <row r="698" spans="1:26" ht="15.75" customHeight="1" x14ac:dyDescent="0.4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O698" s="37"/>
      <c r="P698" s="37"/>
      <c r="Y698" s="37"/>
      <c r="Z698" s="37"/>
    </row>
    <row r="699" spans="1:26" ht="15.75" customHeight="1" x14ac:dyDescent="0.4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O699" s="37"/>
      <c r="P699" s="37"/>
      <c r="Y699" s="37"/>
      <c r="Z699" s="37"/>
    </row>
    <row r="700" spans="1:26" ht="15.75" customHeight="1" x14ac:dyDescent="0.4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O700" s="37"/>
      <c r="P700" s="37"/>
      <c r="Y700" s="37"/>
      <c r="Z700" s="37"/>
    </row>
    <row r="701" spans="1:26" ht="15.75" customHeight="1" x14ac:dyDescent="0.4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O701" s="37"/>
      <c r="P701" s="37"/>
      <c r="Y701" s="37"/>
      <c r="Z701" s="37"/>
    </row>
    <row r="702" spans="1:26" ht="15.75" customHeight="1" x14ac:dyDescent="0.4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O702" s="37"/>
      <c r="P702" s="37"/>
      <c r="Y702" s="37"/>
      <c r="Z702" s="37"/>
    </row>
    <row r="703" spans="1:26" ht="15.75" customHeight="1" x14ac:dyDescent="0.4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O703" s="37"/>
      <c r="P703" s="37"/>
      <c r="Y703" s="37"/>
      <c r="Z703" s="37"/>
    </row>
    <row r="704" spans="1:26" ht="15.75" customHeight="1" x14ac:dyDescent="0.4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O704" s="37"/>
      <c r="P704" s="37"/>
      <c r="Y704" s="37"/>
      <c r="Z704" s="37"/>
    </row>
    <row r="705" spans="1:26" ht="15.75" customHeight="1" x14ac:dyDescent="0.4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O705" s="37"/>
      <c r="P705" s="37"/>
      <c r="Y705" s="37"/>
      <c r="Z705" s="37"/>
    </row>
    <row r="706" spans="1:26" ht="15.75" customHeight="1" x14ac:dyDescent="0.4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O706" s="37"/>
      <c r="P706" s="37"/>
      <c r="Y706" s="37"/>
      <c r="Z706" s="37"/>
    </row>
    <row r="707" spans="1:26" ht="15.75" customHeight="1" x14ac:dyDescent="0.4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O707" s="37"/>
      <c r="P707" s="37"/>
      <c r="Y707" s="37"/>
      <c r="Z707" s="37"/>
    </row>
    <row r="708" spans="1:26" ht="15.75" customHeight="1" x14ac:dyDescent="0.4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O708" s="37"/>
      <c r="P708" s="37"/>
      <c r="Y708" s="37"/>
      <c r="Z708" s="37"/>
    </row>
    <row r="709" spans="1:26" ht="15.75" customHeight="1" x14ac:dyDescent="0.4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O709" s="37"/>
      <c r="P709" s="37"/>
      <c r="Y709" s="37"/>
      <c r="Z709" s="37"/>
    </row>
    <row r="710" spans="1:26" ht="15.75" customHeight="1" x14ac:dyDescent="0.4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O710" s="37"/>
      <c r="P710" s="37"/>
      <c r="Y710" s="37"/>
      <c r="Z710" s="37"/>
    </row>
    <row r="711" spans="1:26" ht="15.75" customHeight="1" x14ac:dyDescent="0.4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O711" s="37"/>
      <c r="P711" s="37"/>
      <c r="Y711" s="37"/>
      <c r="Z711" s="37"/>
    </row>
    <row r="712" spans="1:26" ht="15.75" customHeight="1" x14ac:dyDescent="0.4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O712" s="37"/>
      <c r="P712" s="37"/>
      <c r="Y712" s="37"/>
      <c r="Z712" s="37"/>
    </row>
    <row r="713" spans="1:26" ht="15.75" customHeight="1" x14ac:dyDescent="0.4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O713" s="37"/>
      <c r="P713" s="37"/>
      <c r="Y713" s="37"/>
      <c r="Z713" s="37"/>
    </row>
    <row r="714" spans="1:26" ht="15.75" customHeight="1" x14ac:dyDescent="0.4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O714" s="37"/>
      <c r="P714" s="37"/>
      <c r="Y714" s="37"/>
      <c r="Z714" s="37"/>
    </row>
    <row r="715" spans="1:26" ht="15.75" customHeight="1" x14ac:dyDescent="0.4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O715" s="37"/>
      <c r="P715" s="37"/>
      <c r="Y715" s="37"/>
      <c r="Z715" s="37"/>
    </row>
    <row r="716" spans="1:26" ht="15.75" customHeight="1" x14ac:dyDescent="0.4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O716" s="37"/>
      <c r="P716" s="37"/>
      <c r="Y716" s="37"/>
      <c r="Z716" s="37"/>
    </row>
    <row r="717" spans="1:26" ht="15.75" customHeight="1" x14ac:dyDescent="0.4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O717" s="37"/>
      <c r="P717" s="37"/>
      <c r="Y717" s="37"/>
      <c r="Z717" s="37"/>
    </row>
    <row r="718" spans="1:26" ht="15.75" customHeight="1" x14ac:dyDescent="0.4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O718" s="37"/>
      <c r="P718" s="37"/>
      <c r="Y718" s="37"/>
      <c r="Z718" s="37"/>
    </row>
    <row r="719" spans="1:26" ht="15.75" customHeight="1" x14ac:dyDescent="0.4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O719" s="37"/>
      <c r="P719" s="37"/>
      <c r="Y719" s="37"/>
      <c r="Z719" s="37"/>
    </row>
    <row r="720" spans="1:26" ht="15.75" customHeight="1" x14ac:dyDescent="0.4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O720" s="37"/>
      <c r="P720" s="37"/>
      <c r="Y720" s="37"/>
      <c r="Z720" s="37"/>
    </row>
    <row r="721" spans="1:26" ht="15.75" customHeight="1" x14ac:dyDescent="0.4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O721" s="37"/>
      <c r="P721" s="37"/>
      <c r="Y721" s="37"/>
      <c r="Z721" s="37"/>
    </row>
    <row r="722" spans="1:26" ht="15.75" customHeight="1" x14ac:dyDescent="0.4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O722" s="37"/>
      <c r="P722" s="37"/>
      <c r="Y722" s="37"/>
      <c r="Z722" s="37"/>
    </row>
    <row r="723" spans="1:26" ht="15.75" customHeight="1" x14ac:dyDescent="0.4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O723" s="37"/>
      <c r="P723" s="37"/>
      <c r="Y723" s="37"/>
      <c r="Z723" s="37"/>
    </row>
    <row r="724" spans="1:26" ht="15.75" customHeight="1" x14ac:dyDescent="0.4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O724" s="37"/>
      <c r="P724" s="37"/>
      <c r="Y724" s="37"/>
      <c r="Z724" s="37"/>
    </row>
    <row r="725" spans="1:26" ht="15.75" customHeight="1" x14ac:dyDescent="0.4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O725" s="37"/>
      <c r="P725" s="37"/>
      <c r="Y725" s="37"/>
      <c r="Z725" s="37"/>
    </row>
    <row r="726" spans="1:26" ht="15.75" customHeight="1" x14ac:dyDescent="0.4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O726" s="37"/>
      <c r="P726" s="37"/>
      <c r="Y726" s="37"/>
      <c r="Z726" s="37"/>
    </row>
    <row r="727" spans="1:26" ht="15.75" customHeight="1" x14ac:dyDescent="0.4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O727" s="37"/>
      <c r="P727" s="37"/>
      <c r="Y727" s="37"/>
      <c r="Z727" s="37"/>
    </row>
    <row r="728" spans="1:26" ht="15.75" customHeight="1" x14ac:dyDescent="0.4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O728" s="37"/>
      <c r="P728" s="37"/>
      <c r="Y728" s="37"/>
      <c r="Z728" s="37"/>
    </row>
    <row r="729" spans="1:26" ht="15.75" customHeight="1" x14ac:dyDescent="0.4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O729" s="37"/>
      <c r="P729" s="37"/>
      <c r="Y729" s="37"/>
      <c r="Z729" s="37"/>
    </row>
    <row r="730" spans="1:26" ht="15.75" customHeight="1" x14ac:dyDescent="0.4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O730" s="37"/>
      <c r="P730" s="37"/>
      <c r="Y730" s="37"/>
      <c r="Z730" s="37"/>
    </row>
    <row r="731" spans="1:26" ht="15.75" customHeight="1" x14ac:dyDescent="0.4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O731" s="37"/>
      <c r="P731" s="37"/>
      <c r="Y731" s="37"/>
      <c r="Z731" s="37"/>
    </row>
    <row r="732" spans="1:26" ht="15.75" customHeight="1" x14ac:dyDescent="0.4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O732" s="37"/>
      <c r="P732" s="37"/>
      <c r="Y732" s="37"/>
      <c r="Z732" s="37"/>
    </row>
    <row r="733" spans="1:26" ht="15.75" customHeight="1" x14ac:dyDescent="0.4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O733" s="37"/>
      <c r="P733" s="37"/>
      <c r="Y733" s="37"/>
      <c r="Z733" s="37"/>
    </row>
    <row r="734" spans="1:26" ht="15.75" customHeight="1" x14ac:dyDescent="0.4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O734" s="37"/>
      <c r="P734" s="37"/>
      <c r="Y734" s="37"/>
      <c r="Z734" s="37"/>
    </row>
    <row r="735" spans="1:26" ht="15.75" customHeight="1" x14ac:dyDescent="0.4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O735" s="37"/>
      <c r="P735" s="37"/>
      <c r="Y735" s="37"/>
      <c r="Z735" s="37"/>
    </row>
    <row r="736" spans="1:26" ht="15.75" customHeight="1" x14ac:dyDescent="0.4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O736" s="37"/>
      <c r="P736" s="37"/>
      <c r="Y736" s="37"/>
      <c r="Z736" s="37"/>
    </row>
    <row r="737" spans="1:26" ht="15.75" customHeight="1" x14ac:dyDescent="0.4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O737" s="37"/>
      <c r="P737" s="37"/>
      <c r="Y737" s="37"/>
      <c r="Z737" s="37"/>
    </row>
    <row r="738" spans="1:26" ht="15.75" customHeight="1" x14ac:dyDescent="0.4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O738" s="37"/>
      <c r="P738" s="37"/>
      <c r="Y738" s="37"/>
      <c r="Z738" s="37"/>
    </row>
    <row r="739" spans="1:26" ht="15.75" customHeight="1" x14ac:dyDescent="0.4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O739" s="37"/>
      <c r="P739" s="37"/>
      <c r="Y739" s="37"/>
      <c r="Z739" s="37"/>
    </row>
    <row r="740" spans="1:26" ht="15.75" customHeight="1" x14ac:dyDescent="0.4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O740" s="37"/>
      <c r="P740" s="37"/>
      <c r="Y740" s="37"/>
      <c r="Z740" s="37"/>
    </row>
    <row r="741" spans="1:26" ht="15.75" customHeight="1" x14ac:dyDescent="0.4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O741" s="37"/>
      <c r="P741" s="37"/>
      <c r="Y741" s="37"/>
      <c r="Z741" s="37"/>
    </row>
    <row r="742" spans="1:26" ht="15.75" customHeight="1" x14ac:dyDescent="0.4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O742" s="37"/>
      <c r="P742" s="37"/>
      <c r="Y742" s="37"/>
      <c r="Z742" s="37"/>
    </row>
    <row r="743" spans="1:26" ht="15.75" customHeight="1" x14ac:dyDescent="0.4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O743" s="37"/>
      <c r="P743" s="37"/>
      <c r="Y743" s="37"/>
      <c r="Z743" s="37"/>
    </row>
    <row r="744" spans="1:26" ht="15.75" customHeight="1" x14ac:dyDescent="0.4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O744" s="37"/>
      <c r="P744" s="37"/>
      <c r="Y744" s="37"/>
      <c r="Z744" s="37"/>
    </row>
    <row r="745" spans="1:26" ht="15.75" customHeight="1" x14ac:dyDescent="0.4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O745" s="37"/>
      <c r="P745" s="37"/>
      <c r="Y745" s="37"/>
      <c r="Z745" s="37"/>
    </row>
    <row r="746" spans="1:26" ht="15.75" customHeight="1" x14ac:dyDescent="0.4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O746" s="37"/>
      <c r="P746" s="37"/>
      <c r="Y746" s="37"/>
      <c r="Z746" s="37"/>
    </row>
    <row r="747" spans="1:26" ht="15.75" customHeight="1" x14ac:dyDescent="0.4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O747" s="37"/>
      <c r="P747" s="37"/>
      <c r="Y747" s="37"/>
      <c r="Z747" s="37"/>
    </row>
    <row r="748" spans="1:26" ht="15.75" customHeight="1" x14ac:dyDescent="0.4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O748" s="37"/>
      <c r="P748" s="37"/>
      <c r="Y748" s="37"/>
      <c r="Z748" s="37"/>
    </row>
    <row r="749" spans="1:26" ht="15.75" customHeight="1" x14ac:dyDescent="0.4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O749" s="37"/>
      <c r="P749" s="37"/>
      <c r="Y749" s="37"/>
      <c r="Z749" s="37"/>
    </row>
    <row r="750" spans="1:26" ht="15.75" customHeight="1" x14ac:dyDescent="0.4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O750" s="37"/>
      <c r="P750" s="37"/>
      <c r="Y750" s="37"/>
      <c r="Z750" s="37"/>
    </row>
    <row r="751" spans="1:26" ht="15.75" customHeight="1" x14ac:dyDescent="0.4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O751" s="37"/>
      <c r="P751" s="37"/>
      <c r="Y751" s="37"/>
      <c r="Z751" s="37"/>
    </row>
    <row r="752" spans="1:26" ht="15.75" customHeight="1" x14ac:dyDescent="0.4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O752" s="37"/>
      <c r="P752" s="37"/>
      <c r="Y752" s="37"/>
      <c r="Z752" s="37"/>
    </row>
    <row r="753" spans="1:26" ht="15.75" customHeight="1" x14ac:dyDescent="0.4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O753" s="37"/>
      <c r="P753" s="37"/>
      <c r="Y753" s="37"/>
      <c r="Z753" s="37"/>
    </row>
    <row r="754" spans="1:26" ht="15.75" customHeight="1" x14ac:dyDescent="0.4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O754" s="37"/>
      <c r="P754" s="37"/>
      <c r="Y754" s="37"/>
      <c r="Z754" s="37"/>
    </row>
    <row r="755" spans="1:26" ht="15.75" customHeight="1" x14ac:dyDescent="0.4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O755" s="37"/>
      <c r="P755" s="37"/>
      <c r="Y755" s="37"/>
      <c r="Z755" s="37"/>
    </row>
    <row r="756" spans="1:26" ht="15.75" customHeight="1" x14ac:dyDescent="0.4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O756" s="37"/>
      <c r="P756" s="37"/>
      <c r="Y756" s="37"/>
      <c r="Z756" s="37"/>
    </row>
    <row r="757" spans="1:26" ht="15.75" customHeight="1" x14ac:dyDescent="0.4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O757" s="37"/>
      <c r="P757" s="37"/>
      <c r="Y757" s="37"/>
      <c r="Z757" s="37"/>
    </row>
    <row r="758" spans="1:26" ht="15.75" customHeight="1" x14ac:dyDescent="0.4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O758" s="37"/>
      <c r="P758" s="37"/>
      <c r="Y758" s="37"/>
      <c r="Z758" s="37"/>
    </row>
    <row r="759" spans="1:26" ht="15.75" customHeight="1" x14ac:dyDescent="0.4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O759" s="37"/>
      <c r="P759" s="37"/>
      <c r="Y759" s="37"/>
      <c r="Z759" s="37"/>
    </row>
    <row r="760" spans="1:26" ht="15.75" customHeight="1" x14ac:dyDescent="0.4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O760" s="37"/>
      <c r="P760" s="37"/>
      <c r="Y760" s="37"/>
      <c r="Z760" s="37"/>
    </row>
    <row r="761" spans="1:26" ht="15.75" customHeight="1" x14ac:dyDescent="0.4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O761" s="37"/>
      <c r="P761" s="37"/>
      <c r="Y761" s="37"/>
      <c r="Z761" s="37"/>
    </row>
    <row r="762" spans="1:26" ht="15.75" customHeight="1" x14ac:dyDescent="0.4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O762" s="37"/>
      <c r="P762" s="37"/>
      <c r="Y762" s="37"/>
      <c r="Z762" s="37"/>
    </row>
    <row r="763" spans="1:26" ht="15.75" customHeight="1" x14ac:dyDescent="0.4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O763" s="37"/>
      <c r="P763" s="37"/>
      <c r="Y763" s="37"/>
      <c r="Z763" s="37"/>
    </row>
    <row r="764" spans="1:26" ht="15.75" customHeight="1" x14ac:dyDescent="0.4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O764" s="37"/>
      <c r="P764" s="37"/>
      <c r="Y764" s="37"/>
      <c r="Z764" s="37"/>
    </row>
    <row r="765" spans="1:26" ht="15.75" customHeight="1" x14ac:dyDescent="0.4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O765" s="37"/>
      <c r="P765" s="37"/>
      <c r="Y765" s="37"/>
      <c r="Z765" s="37"/>
    </row>
    <row r="766" spans="1:26" ht="15.75" customHeight="1" x14ac:dyDescent="0.4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O766" s="37"/>
      <c r="P766" s="37"/>
      <c r="Y766" s="37"/>
      <c r="Z766" s="37"/>
    </row>
    <row r="767" spans="1:26" ht="15.75" customHeight="1" x14ac:dyDescent="0.4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O767" s="37"/>
      <c r="P767" s="37"/>
      <c r="Y767" s="37"/>
      <c r="Z767" s="37"/>
    </row>
    <row r="768" spans="1:26" ht="15.75" customHeight="1" x14ac:dyDescent="0.4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O768" s="37"/>
      <c r="P768" s="37"/>
      <c r="Y768" s="37"/>
      <c r="Z768" s="37"/>
    </row>
    <row r="769" spans="1:26" ht="15.75" customHeight="1" x14ac:dyDescent="0.4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O769" s="37"/>
      <c r="P769" s="37"/>
      <c r="Y769" s="37"/>
      <c r="Z769" s="37"/>
    </row>
    <row r="770" spans="1:26" ht="15.75" customHeight="1" x14ac:dyDescent="0.4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O770" s="37"/>
      <c r="P770" s="37"/>
      <c r="Y770" s="37"/>
      <c r="Z770" s="37"/>
    </row>
    <row r="771" spans="1:26" ht="15.75" customHeight="1" x14ac:dyDescent="0.4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O771" s="37"/>
      <c r="P771" s="37"/>
      <c r="Y771" s="37"/>
      <c r="Z771" s="37"/>
    </row>
    <row r="772" spans="1:26" ht="15.75" customHeight="1" x14ac:dyDescent="0.4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O772" s="37"/>
      <c r="P772" s="37"/>
      <c r="Y772" s="37"/>
      <c r="Z772" s="37"/>
    </row>
    <row r="773" spans="1:26" ht="15.75" customHeight="1" x14ac:dyDescent="0.4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O773" s="37"/>
      <c r="P773" s="37"/>
      <c r="Y773" s="37"/>
      <c r="Z773" s="37"/>
    </row>
    <row r="774" spans="1:26" ht="15.75" customHeight="1" x14ac:dyDescent="0.4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O774" s="37"/>
      <c r="P774" s="37"/>
      <c r="Y774" s="37"/>
      <c r="Z774" s="37"/>
    </row>
    <row r="775" spans="1:26" ht="15.75" customHeight="1" x14ac:dyDescent="0.4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O775" s="37"/>
      <c r="P775" s="37"/>
      <c r="Y775" s="37"/>
      <c r="Z775" s="37"/>
    </row>
    <row r="776" spans="1:26" ht="15.75" customHeight="1" x14ac:dyDescent="0.4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O776" s="37"/>
      <c r="P776" s="37"/>
      <c r="Y776" s="37"/>
      <c r="Z776" s="37"/>
    </row>
    <row r="777" spans="1:26" ht="15.75" customHeight="1" x14ac:dyDescent="0.4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O777" s="37"/>
      <c r="P777" s="37"/>
      <c r="Y777" s="37"/>
      <c r="Z777" s="37"/>
    </row>
    <row r="778" spans="1:26" ht="15.75" customHeight="1" x14ac:dyDescent="0.4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O778" s="37"/>
      <c r="P778" s="37"/>
      <c r="Y778" s="37"/>
      <c r="Z778" s="37"/>
    </row>
    <row r="779" spans="1:26" ht="15.75" customHeight="1" x14ac:dyDescent="0.4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O779" s="37"/>
      <c r="P779" s="37"/>
      <c r="Y779" s="37"/>
      <c r="Z779" s="37"/>
    </row>
    <row r="780" spans="1:26" ht="15.75" customHeight="1" x14ac:dyDescent="0.4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O780" s="37"/>
      <c r="P780" s="37"/>
      <c r="Y780" s="37"/>
      <c r="Z780" s="37"/>
    </row>
    <row r="781" spans="1:26" ht="15.75" customHeight="1" x14ac:dyDescent="0.4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O781" s="37"/>
      <c r="P781" s="37"/>
      <c r="Y781" s="37"/>
      <c r="Z781" s="37"/>
    </row>
    <row r="782" spans="1:26" ht="15.75" customHeight="1" x14ac:dyDescent="0.4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O782" s="37"/>
      <c r="P782" s="37"/>
      <c r="Y782" s="37"/>
      <c r="Z782" s="37"/>
    </row>
    <row r="783" spans="1:26" ht="15.75" customHeight="1" x14ac:dyDescent="0.4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O783" s="37"/>
      <c r="P783" s="37"/>
      <c r="Y783" s="37"/>
      <c r="Z783" s="37"/>
    </row>
    <row r="784" spans="1:26" ht="15.75" customHeight="1" x14ac:dyDescent="0.4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O784" s="37"/>
      <c r="P784" s="37"/>
      <c r="Y784" s="37"/>
      <c r="Z784" s="37"/>
    </row>
    <row r="785" spans="1:26" ht="15.75" customHeight="1" x14ac:dyDescent="0.4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O785" s="37"/>
      <c r="P785" s="37"/>
      <c r="Y785" s="37"/>
      <c r="Z785" s="37"/>
    </row>
    <row r="786" spans="1:26" ht="15.75" customHeight="1" x14ac:dyDescent="0.4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O786" s="37"/>
      <c r="P786" s="37"/>
      <c r="Y786" s="37"/>
      <c r="Z786" s="37"/>
    </row>
    <row r="787" spans="1:26" ht="15.75" customHeight="1" x14ac:dyDescent="0.4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O787" s="37"/>
      <c r="P787" s="37"/>
      <c r="Y787" s="37"/>
      <c r="Z787" s="37"/>
    </row>
    <row r="788" spans="1:26" ht="15.75" customHeight="1" x14ac:dyDescent="0.4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O788" s="37"/>
      <c r="P788" s="37"/>
      <c r="Y788" s="37"/>
      <c r="Z788" s="37"/>
    </row>
    <row r="789" spans="1:26" ht="15.75" customHeight="1" x14ac:dyDescent="0.4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O789" s="37"/>
      <c r="P789" s="37"/>
      <c r="Y789" s="37"/>
      <c r="Z789" s="37"/>
    </row>
    <row r="790" spans="1:26" ht="15.75" customHeight="1" x14ac:dyDescent="0.4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O790" s="37"/>
      <c r="P790" s="37"/>
      <c r="Y790" s="37"/>
      <c r="Z790" s="37"/>
    </row>
    <row r="791" spans="1:26" ht="15.75" customHeight="1" x14ac:dyDescent="0.4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O791" s="37"/>
      <c r="P791" s="37"/>
      <c r="Y791" s="37"/>
      <c r="Z791" s="37"/>
    </row>
    <row r="792" spans="1:26" ht="15.75" customHeight="1" x14ac:dyDescent="0.4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O792" s="37"/>
      <c r="P792" s="37"/>
      <c r="Y792" s="37"/>
      <c r="Z792" s="37"/>
    </row>
    <row r="793" spans="1:26" ht="15.75" customHeight="1" x14ac:dyDescent="0.4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O793" s="37"/>
      <c r="P793" s="37"/>
      <c r="Y793" s="37"/>
      <c r="Z793" s="37"/>
    </row>
    <row r="794" spans="1:26" ht="15.75" customHeight="1" x14ac:dyDescent="0.4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O794" s="37"/>
      <c r="P794" s="37"/>
      <c r="Y794" s="37"/>
      <c r="Z794" s="37"/>
    </row>
    <row r="795" spans="1:26" ht="15.75" customHeight="1" x14ac:dyDescent="0.4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O795" s="37"/>
      <c r="P795" s="37"/>
      <c r="Y795" s="37"/>
      <c r="Z795" s="37"/>
    </row>
    <row r="796" spans="1:26" ht="15.75" customHeight="1" x14ac:dyDescent="0.4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O796" s="37"/>
      <c r="P796" s="37"/>
      <c r="Y796" s="37"/>
      <c r="Z796" s="37"/>
    </row>
    <row r="797" spans="1:26" ht="15.75" customHeight="1" x14ac:dyDescent="0.4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O797" s="37"/>
      <c r="P797" s="37"/>
      <c r="Y797" s="37"/>
      <c r="Z797" s="37"/>
    </row>
    <row r="798" spans="1:26" ht="15.75" customHeight="1" x14ac:dyDescent="0.4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O798" s="37"/>
      <c r="P798" s="37"/>
      <c r="Y798" s="37"/>
      <c r="Z798" s="37"/>
    </row>
    <row r="799" spans="1:26" ht="15.75" customHeight="1" x14ac:dyDescent="0.4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O799" s="37"/>
      <c r="P799" s="37"/>
      <c r="Y799" s="37"/>
      <c r="Z799" s="37"/>
    </row>
    <row r="800" spans="1:26" ht="15.75" customHeight="1" x14ac:dyDescent="0.4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O800" s="37"/>
      <c r="P800" s="37"/>
      <c r="Y800" s="37"/>
      <c r="Z800" s="37"/>
    </row>
    <row r="801" spans="1:26" ht="15.75" customHeight="1" x14ac:dyDescent="0.4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O801" s="37"/>
      <c r="P801" s="37"/>
      <c r="Y801" s="37"/>
      <c r="Z801" s="37"/>
    </row>
    <row r="802" spans="1:26" ht="15.75" customHeight="1" x14ac:dyDescent="0.4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O802" s="37"/>
      <c r="P802" s="37"/>
      <c r="Y802" s="37"/>
      <c r="Z802" s="37"/>
    </row>
    <row r="803" spans="1:26" ht="15.75" customHeight="1" x14ac:dyDescent="0.4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O803" s="37"/>
      <c r="P803" s="37"/>
      <c r="Y803" s="37"/>
      <c r="Z803" s="37"/>
    </row>
    <row r="804" spans="1:26" ht="15.75" customHeight="1" x14ac:dyDescent="0.4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O804" s="37"/>
      <c r="P804" s="37"/>
      <c r="Y804" s="37"/>
      <c r="Z804" s="37"/>
    </row>
    <row r="805" spans="1:26" ht="15.75" customHeight="1" x14ac:dyDescent="0.4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O805" s="37"/>
      <c r="P805" s="37"/>
      <c r="Y805" s="37"/>
      <c r="Z805" s="37"/>
    </row>
    <row r="806" spans="1:26" ht="15.75" customHeight="1" x14ac:dyDescent="0.4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O806" s="37"/>
      <c r="P806" s="37"/>
      <c r="Y806" s="37"/>
      <c r="Z806" s="37"/>
    </row>
    <row r="807" spans="1:26" ht="15.75" customHeight="1" x14ac:dyDescent="0.4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O807" s="37"/>
      <c r="P807" s="37"/>
      <c r="Y807" s="37"/>
      <c r="Z807" s="37"/>
    </row>
    <row r="808" spans="1:26" ht="15.75" customHeight="1" x14ac:dyDescent="0.4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O808" s="37"/>
      <c r="P808" s="37"/>
      <c r="Y808" s="37"/>
      <c r="Z808" s="37"/>
    </row>
    <row r="809" spans="1:26" ht="15.75" customHeight="1" x14ac:dyDescent="0.4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O809" s="37"/>
      <c r="P809" s="37"/>
      <c r="Y809" s="37"/>
      <c r="Z809" s="37"/>
    </row>
    <row r="810" spans="1:26" ht="15.75" customHeight="1" x14ac:dyDescent="0.4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O810" s="37"/>
      <c r="P810" s="37"/>
      <c r="Y810" s="37"/>
      <c r="Z810" s="37"/>
    </row>
    <row r="811" spans="1:26" ht="15.75" customHeight="1" x14ac:dyDescent="0.4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O811" s="37"/>
      <c r="P811" s="37"/>
      <c r="Y811" s="37"/>
      <c r="Z811" s="37"/>
    </row>
    <row r="812" spans="1:26" ht="15.75" customHeight="1" x14ac:dyDescent="0.4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O812" s="37"/>
      <c r="P812" s="37"/>
      <c r="Y812" s="37"/>
      <c r="Z812" s="37"/>
    </row>
    <row r="813" spans="1:26" ht="15.75" customHeight="1" x14ac:dyDescent="0.4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O813" s="37"/>
      <c r="P813" s="37"/>
      <c r="Y813" s="37"/>
      <c r="Z813" s="37"/>
    </row>
    <row r="814" spans="1:26" ht="15.75" customHeight="1" x14ac:dyDescent="0.4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O814" s="37"/>
      <c r="P814" s="37"/>
      <c r="Y814" s="37"/>
      <c r="Z814" s="37"/>
    </row>
    <row r="815" spans="1:26" ht="15.75" customHeight="1" x14ac:dyDescent="0.4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O815" s="37"/>
      <c r="P815" s="37"/>
      <c r="Y815" s="37"/>
      <c r="Z815" s="37"/>
    </row>
    <row r="816" spans="1:26" ht="15.75" customHeight="1" x14ac:dyDescent="0.4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O816" s="37"/>
      <c r="P816" s="37"/>
      <c r="Y816" s="37"/>
      <c r="Z816" s="37"/>
    </row>
    <row r="817" spans="1:26" ht="15.75" customHeight="1" x14ac:dyDescent="0.4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O817" s="37"/>
      <c r="P817" s="37"/>
      <c r="Y817" s="37"/>
      <c r="Z817" s="37"/>
    </row>
    <row r="818" spans="1:26" ht="15.75" customHeight="1" x14ac:dyDescent="0.4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O818" s="37"/>
      <c r="P818" s="37"/>
      <c r="Y818" s="37"/>
      <c r="Z818" s="37"/>
    </row>
    <row r="819" spans="1:26" ht="15.75" customHeight="1" x14ac:dyDescent="0.4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O819" s="37"/>
      <c r="P819" s="37"/>
      <c r="Y819" s="37"/>
      <c r="Z819" s="37"/>
    </row>
    <row r="820" spans="1:26" ht="15.75" customHeight="1" x14ac:dyDescent="0.4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O820" s="37"/>
      <c r="P820" s="37"/>
      <c r="Y820" s="37"/>
      <c r="Z820" s="37"/>
    </row>
    <row r="821" spans="1:26" ht="15.75" customHeight="1" x14ac:dyDescent="0.4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O821" s="37"/>
      <c r="P821" s="37"/>
      <c r="Y821" s="37"/>
      <c r="Z821" s="37"/>
    </row>
    <row r="822" spans="1:26" ht="15.75" customHeight="1" x14ac:dyDescent="0.4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O822" s="37"/>
      <c r="P822" s="37"/>
      <c r="Y822" s="37"/>
      <c r="Z822" s="37"/>
    </row>
    <row r="823" spans="1:26" ht="15.75" customHeight="1" x14ac:dyDescent="0.4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O823" s="37"/>
      <c r="P823" s="37"/>
      <c r="Y823" s="37"/>
      <c r="Z823" s="37"/>
    </row>
    <row r="824" spans="1:26" ht="15.75" customHeight="1" x14ac:dyDescent="0.4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O824" s="37"/>
      <c r="P824" s="37"/>
      <c r="Y824" s="37"/>
      <c r="Z824" s="37"/>
    </row>
    <row r="825" spans="1:26" ht="15.75" customHeight="1" x14ac:dyDescent="0.4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O825" s="37"/>
      <c r="P825" s="37"/>
      <c r="Y825" s="37"/>
      <c r="Z825" s="37"/>
    </row>
    <row r="826" spans="1:26" ht="15.75" customHeight="1" x14ac:dyDescent="0.4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O826" s="37"/>
      <c r="P826" s="37"/>
      <c r="Y826" s="37"/>
      <c r="Z826" s="37"/>
    </row>
    <row r="827" spans="1:26" ht="15.75" customHeight="1" x14ac:dyDescent="0.4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O827" s="37"/>
      <c r="P827" s="37"/>
      <c r="Y827" s="37"/>
      <c r="Z827" s="37"/>
    </row>
    <row r="828" spans="1:26" ht="15.75" customHeight="1" x14ac:dyDescent="0.4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O828" s="37"/>
      <c r="P828" s="37"/>
      <c r="Y828" s="37"/>
      <c r="Z828" s="37"/>
    </row>
    <row r="829" spans="1:26" ht="15.75" customHeight="1" x14ac:dyDescent="0.4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O829" s="37"/>
      <c r="P829" s="37"/>
      <c r="Y829" s="37"/>
      <c r="Z829" s="37"/>
    </row>
    <row r="830" spans="1:26" ht="15.75" customHeight="1" x14ac:dyDescent="0.4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O830" s="37"/>
      <c r="P830" s="37"/>
      <c r="Y830" s="37"/>
      <c r="Z830" s="37"/>
    </row>
    <row r="831" spans="1:26" ht="15.75" customHeight="1" x14ac:dyDescent="0.4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O831" s="37"/>
      <c r="P831" s="37"/>
      <c r="Y831" s="37"/>
      <c r="Z831" s="37"/>
    </row>
    <row r="832" spans="1:26" ht="15.75" customHeight="1" x14ac:dyDescent="0.4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O832" s="37"/>
      <c r="P832" s="37"/>
      <c r="Y832" s="37"/>
      <c r="Z832" s="37"/>
    </row>
    <row r="833" spans="1:26" ht="15.75" customHeight="1" x14ac:dyDescent="0.4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O833" s="37"/>
      <c r="P833" s="37"/>
      <c r="Y833" s="37"/>
      <c r="Z833" s="37"/>
    </row>
    <row r="834" spans="1:26" ht="15.75" customHeight="1" x14ac:dyDescent="0.4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O834" s="37"/>
      <c r="P834" s="37"/>
      <c r="Y834" s="37"/>
      <c r="Z834" s="37"/>
    </row>
    <row r="835" spans="1:26" ht="15.75" customHeight="1" x14ac:dyDescent="0.4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O835" s="37"/>
      <c r="P835" s="37"/>
      <c r="Y835" s="37"/>
      <c r="Z835" s="37"/>
    </row>
    <row r="836" spans="1:26" ht="15.75" customHeight="1" x14ac:dyDescent="0.4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O836" s="37"/>
      <c r="P836" s="37"/>
      <c r="Y836" s="37"/>
      <c r="Z836" s="37"/>
    </row>
    <row r="837" spans="1:26" ht="15.75" customHeight="1" x14ac:dyDescent="0.4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O837" s="37"/>
      <c r="P837" s="37"/>
      <c r="Y837" s="37"/>
      <c r="Z837" s="37"/>
    </row>
    <row r="838" spans="1:26" ht="15.75" customHeight="1" x14ac:dyDescent="0.4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O838" s="37"/>
      <c r="P838" s="37"/>
      <c r="Y838" s="37"/>
      <c r="Z838" s="37"/>
    </row>
    <row r="839" spans="1:26" ht="15.75" customHeight="1" x14ac:dyDescent="0.4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O839" s="37"/>
      <c r="P839" s="37"/>
      <c r="Y839" s="37"/>
      <c r="Z839" s="37"/>
    </row>
    <row r="840" spans="1:26" ht="15.75" customHeight="1" x14ac:dyDescent="0.4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O840" s="37"/>
      <c r="P840" s="37"/>
      <c r="Y840" s="37"/>
      <c r="Z840" s="37"/>
    </row>
    <row r="841" spans="1:26" ht="15.75" customHeight="1" x14ac:dyDescent="0.4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O841" s="37"/>
      <c r="P841" s="37"/>
      <c r="Y841" s="37"/>
      <c r="Z841" s="37"/>
    </row>
    <row r="842" spans="1:26" ht="15.75" customHeight="1" x14ac:dyDescent="0.4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O842" s="37"/>
      <c r="P842" s="37"/>
      <c r="Y842" s="37"/>
      <c r="Z842" s="37"/>
    </row>
    <row r="843" spans="1:26" ht="15.75" customHeight="1" x14ac:dyDescent="0.4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O843" s="37"/>
      <c r="P843" s="37"/>
      <c r="Y843" s="37"/>
      <c r="Z843" s="37"/>
    </row>
    <row r="844" spans="1:26" ht="15.75" customHeight="1" x14ac:dyDescent="0.4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O844" s="37"/>
      <c r="P844" s="37"/>
      <c r="Y844" s="37"/>
      <c r="Z844" s="37"/>
    </row>
    <row r="845" spans="1:26" ht="15.75" customHeight="1" x14ac:dyDescent="0.4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O845" s="37"/>
      <c r="P845" s="37"/>
      <c r="Y845" s="37"/>
      <c r="Z845" s="37"/>
    </row>
    <row r="846" spans="1:26" ht="15.75" customHeight="1" x14ac:dyDescent="0.4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O846" s="37"/>
      <c r="P846" s="37"/>
      <c r="Y846" s="37"/>
      <c r="Z846" s="37"/>
    </row>
    <row r="847" spans="1:26" ht="15.75" customHeight="1" x14ac:dyDescent="0.4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O847" s="37"/>
      <c r="P847" s="37"/>
      <c r="Y847" s="37"/>
      <c r="Z847" s="37"/>
    </row>
    <row r="848" spans="1:26" ht="15.75" customHeight="1" x14ac:dyDescent="0.4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O848" s="37"/>
      <c r="P848" s="37"/>
      <c r="Y848" s="37"/>
      <c r="Z848" s="37"/>
    </row>
    <row r="849" spans="1:26" ht="15.75" customHeight="1" x14ac:dyDescent="0.4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O849" s="37"/>
      <c r="P849" s="37"/>
      <c r="Y849" s="37"/>
      <c r="Z849" s="37"/>
    </row>
    <row r="850" spans="1:26" ht="15.75" customHeight="1" x14ac:dyDescent="0.4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O850" s="37"/>
      <c r="P850" s="37"/>
      <c r="Y850" s="37"/>
      <c r="Z850" s="37"/>
    </row>
    <row r="851" spans="1:26" ht="15.75" customHeight="1" x14ac:dyDescent="0.4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O851" s="37"/>
      <c r="P851" s="37"/>
      <c r="Y851" s="37"/>
      <c r="Z851" s="37"/>
    </row>
    <row r="852" spans="1:26" ht="15.75" customHeight="1" x14ac:dyDescent="0.4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O852" s="37"/>
      <c r="P852" s="37"/>
      <c r="Y852" s="37"/>
      <c r="Z852" s="37"/>
    </row>
    <row r="853" spans="1:26" ht="15.75" customHeight="1" x14ac:dyDescent="0.4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O853" s="37"/>
      <c r="P853" s="37"/>
      <c r="Y853" s="37"/>
      <c r="Z853" s="37"/>
    </row>
    <row r="854" spans="1:26" ht="15.75" customHeight="1" x14ac:dyDescent="0.4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O854" s="37"/>
      <c r="P854" s="37"/>
      <c r="Y854" s="37"/>
      <c r="Z854" s="37"/>
    </row>
    <row r="855" spans="1:26" ht="15.75" customHeight="1" x14ac:dyDescent="0.4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O855" s="37"/>
      <c r="P855" s="37"/>
      <c r="Y855" s="37"/>
      <c r="Z855" s="37"/>
    </row>
    <row r="856" spans="1:26" ht="15.75" customHeight="1" x14ac:dyDescent="0.4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O856" s="37"/>
      <c r="P856" s="37"/>
      <c r="Y856" s="37"/>
      <c r="Z856" s="37"/>
    </row>
    <row r="857" spans="1:26" ht="15.75" customHeight="1" x14ac:dyDescent="0.4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O857" s="37"/>
      <c r="P857" s="37"/>
      <c r="Y857" s="37"/>
      <c r="Z857" s="37"/>
    </row>
    <row r="858" spans="1:26" ht="15.75" customHeight="1" x14ac:dyDescent="0.4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O858" s="37"/>
      <c r="P858" s="37"/>
      <c r="Y858" s="37"/>
      <c r="Z858" s="37"/>
    </row>
    <row r="859" spans="1:26" ht="15.75" customHeight="1" x14ac:dyDescent="0.4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O859" s="37"/>
      <c r="P859" s="37"/>
      <c r="Y859" s="37"/>
      <c r="Z859" s="37"/>
    </row>
    <row r="860" spans="1:26" ht="15.75" customHeight="1" x14ac:dyDescent="0.4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O860" s="37"/>
      <c r="P860" s="37"/>
      <c r="Y860" s="37"/>
      <c r="Z860" s="37"/>
    </row>
    <row r="861" spans="1:26" ht="15.75" customHeight="1" x14ac:dyDescent="0.4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O861" s="37"/>
      <c r="P861" s="37"/>
      <c r="Y861" s="37"/>
      <c r="Z861" s="37"/>
    </row>
    <row r="862" spans="1:26" ht="15.75" customHeight="1" x14ac:dyDescent="0.4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O862" s="37"/>
      <c r="P862" s="37"/>
      <c r="Y862" s="37"/>
      <c r="Z862" s="37"/>
    </row>
    <row r="863" spans="1:26" ht="15.75" customHeight="1" x14ac:dyDescent="0.4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O863" s="37"/>
      <c r="P863" s="37"/>
      <c r="Y863" s="37"/>
      <c r="Z863" s="37"/>
    </row>
    <row r="864" spans="1:26" ht="15.75" customHeight="1" x14ac:dyDescent="0.4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O864" s="37"/>
      <c r="P864" s="37"/>
      <c r="Y864" s="37"/>
      <c r="Z864" s="37"/>
    </row>
    <row r="865" spans="1:26" ht="15.75" customHeight="1" x14ac:dyDescent="0.4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O865" s="37"/>
      <c r="P865" s="37"/>
      <c r="Y865" s="37"/>
      <c r="Z865" s="37"/>
    </row>
    <row r="866" spans="1:26" ht="15.75" customHeight="1" x14ac:dyDescent="0.4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O866" s="37"/>
      <c r="P866" s="37"/>
      <c r="Y866" s="37"/>
      <c r="Z866" s="37"/>
    </row>
    <row r="867" spans="1:26" ht="15.75" customHeight="1" x14ac:dyDescent="0.4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O867" s="37"/>
      <c r="P867" s="37"/>
      <c r="Y867" s="37"/>
      <c r="Z867" s="37"/>
    </row>
    <row r="868" spans="1:26" ht="15.75" customHeight="1" x14ac:dyDescent="0.4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O868" s="37"/>
      <c r="P868" s="37"/>
      <c r="Y868" s="37"/>
      <c r="Z868" s="37"/>
    </row>
    <row r="869" spans="1:26" ht="15.75" customHeight="1" x14ac:dyDescent="0.4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O869" s="37"/>
      <c r="P869" s="37"/>
      <c r="Y869" s="37"/>
      <c r="Z869" s="37"/>
    </row>
    <row r="870" spans="1:26" ht="15.75" customHeight="1" x14ac:dyDescent="0.4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O870" s="37"/>
      <c r="P870" s="37"/>
      <c r="Y870" s="37"/>
      <c r="Z870" s="37"/>
    </row>
    <row r="871" spans="1:26" ht="15.75" customHeight="1" x14ac:dyDescent="0.4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O871" s="37"/>
      <c r="P871" s="37"/>
      <c r="Y871" s="37"/>
      <c r="Z871" s="37"/>
    </row>
    <row r="872" spans="1:26" ht="15.75" customHeight="1" x14ac:dyDescent="0.4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O872" s="37"/>
      <c r="P872" s="37"/>
      <c r="Y872" s="37"/>
      <c r="Z872" s="37"/>
    </row>
    <row r="873" spans="1:26" ht="15.75" customHeight="1" x14ac:dyDescent="0.4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O873" s="37"/>
      <c r="P873" s="37"/>
      <c r="Y873" s="37"/>
      <c r="Z873" s="37"/>
    </row>
    <row r="874" spans="1:26" ht="15.75" customHeight="1" x14ac:dyDescent="0.4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O874" s="37"/>
      <c r="P874" s="37"/>
      <c r="Y874" s="37"/>
      <c r="Z874" s="37"/>
    </row>
    <row r="875" spans="1:26" ht="15.75" customHeight="1" x14ac:dyDescent="0.4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O875" s="37"/>
      <c r="P875" s="37"/>
      <c r="Y875" s="37"/>
      <c r="Z875" s="37"/>
    </row>
    <row r="876" spans="1:26" ht="15.75" customHeight="1" x14ac:dyDescent="0.4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O876" s="37"/>
      <c r="P876" s="37"/>
      <c r="Y876" s="37"/>
      <c r="Z876" s="37"/>
    </row>
    <row r="877" spans="1:26" ht="15.75" customHeight="1" x14ac:dyDescent="0.4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O877" s="37"/>
      <c r="P877" s="37"/>
      <c r="Y877" s="37"/>
      <c r="Z877" s="37"/>
    </row>
    <row r="878" spans="1:26" ht="15.75" customHeight="1" x14ac:dyDescent="0.4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O878" s="37"/>
      <c r="P878" s="37"/>
      <c r="Y878" s="37"/>
      <c r="Z878" s="37"/>
    </row>
    <row r="879" spans="1:26" ht="15.75" customHeight="1" x14ac:dyDescent="0.4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O879" s="37"/>
      <c r="P879" s="37"/>
      <c r="Y879" s="37"/>
      <c r="Z879" s="37"/>
    </row>
    <row r="880" spans="1:26" ht="15.75" customHeight="1" x14ac:dyDescent="0.4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O880" s="37"/>
      <c r="P880" s="37"/>
      <c r="Y880" s="37"/>
      <c r="Z880" s="37"/>
    </row>
    <row r="881" spans="1:26" ht="15.75" customHeight="1" x14ac:dyDescent="0.4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O881" s="37"/>
      <c r="P881" s="37"/>
      <c r="Y881" s="37"/>
      <c r="Z881" s="37"/>
    </row>
    <row r="882" spans="1:26" ht="15.75" customHeight="1" x14ac:dyDescent="0.4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O882" s="37"/>
      <c r="P882" s="37"/>
      <c r="Y882" s="37"/>
      <c r="Z882" s="37"/>
    </row>
    <row r="883" spans="1:26" ht="15.75" customHeight="1" x14ac:dyDescent="0.4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O883" s="37"/>
      <c r="P883" s="37"/>
      <c r="Y883" s="37"/>
      <c r="Z883" s="37"/>
    </row>
    <row r="884" spans="1:26" ht="15.75" customHeight="1" x14ac:dyDescent="0.4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O884" s="37"/>
      <c r="P884" s="37"/>
      <c r="Y884" s="37"/>
      <c r="Z884" s="37"/>
    </row>
    <row r="885" spans="1:26" ht="15.75" customHeight="1" x14ac:dyDescent="0.4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O885" s="37"/>
      <c r="P885" s="37"/>
      <c r="Y885" s="37"/>
      <c r="Z885" s="37"/>
    </row>
    <row r="886" spans="1:26" ht="15.75" customHeight="1" x14ac:dyDescent="0.4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O886" s="37"/>
      <c r="P886" s="37"/>
      <c r="Y886" s="37"/>
      <c r="Z886" s="37"/>
    </row>
    <row r="887" spans="1:26" ht="15.75" customHeight="1" x14ac:dyDescent="0.4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O887" s="37"/>
      <c r="P887" s="37"/>
      <c r="Y887" s="37"/>
      <c r="Z887" s="37"/>
    </row>
    <row r="888" spans="1:26" ht="15.75" customHeight="1" x14ac:dyDescent="0.4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O888" s="37"/>
      <c r="P888" s="37"/>
      <c r="Y888" s="37"/>
      <c r="Z888" s="37"/>
    </row>
    <row r="889" spans="1:26" ht="15.75" customHeight="1" x14ac:dyDescent="0.4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O889" s="37"/>
      <c r="P889" s="37"/>
      <c r="Y889" s="37"/>
      <c r="Z889" s="37"/>
    </row>
    <row r="890" spans="1:26" ht="15.75" customHeight="1" x14ac:dyDescent="0.4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O890" s="37"/>
      <c r="P890" s="37"/>
      <c r="Y890" s="37"/>
      <c r="Z890" s="37"/>
    </row>
    <row r="891" spans="1:26" ht="15.75" customHeight="1" x14ac:dyDescent="0.4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O891" s="37"/>
      <c r="P891" s="37"/>
      <c r="Y891" s="37"/>
      <c r="Z891" s="37"/>
    </row>
    <row r="892" spans="1:26" ht="15.75" customHeight="1" x14ac:dyDescent="0.4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O892" s="37"/>
      <c r="P892" s="37"/>
      <c r="Y892" s="37"/>
      <c r="Z892" s="37"/>
    </row>
    <row r="893" spans="1:26" ht="15.75" customHeight="1" x14ac:dyDescent="0.4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O893" s="37"/>
      <c r="P893" s="37"/>
      <c r="Y893" s="37"/>
      <c r="Z893" s="37"/>
    </row>
    <row r="894" spans="1:26" ht="15.75" customHeight="1" x14ac:dyDescent="0.4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O894" s="37"/>
      <c r="P894" s="37"/>
      <c r="Y894" s="37"/>
      <c r="Z894" s="37"/>
    </row>
    <row r="895" spans="1:26" ht="15.75" customHeight="1" x14ac:dyDescent="0.4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O895" s="37"/>
      <c r="P895" s="37"/>
      <c r="Y895" s="37"/>
      <c r="Z895" s="37"/>
    </row>
    <row r="896" spans="1:26" ht="15.75" customHeight="1" x14ac:dyDescent="0.4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O896" s="37"/>
      <c r="P896" s="37"/>
      <c r="Y896" s="37"/>
      <c r="Z896" s="37"/>
    </row>
    <row r="897" spans="1:26" ht="15.75" customHeight="1" x14ac:dyDescent="0.4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O897" s="37"/>
      <c r="P897" s="37"/>
      <c r="Y897" s="37"/>
      <c r="Z897" s="37"/>
    </row>
    <row r="898" spans="1:26" ht="15.75" customHeight="1" x14ac:dyDescent="0.4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O898" s="37"/>
      <c r="P898" s="37"/>
      <c r="Y898" s="37"/>
      <c r="Z898" s="37"/>
    </row>
    <row r="899" spans="1:26" ht="15.75" customHeight="1" x14ac:dyDescent="0.4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O899" s="37"/>
      <c r="P899" s="37"/>
      <c r="Y899" s="37"/>
      <c r="Z899" s="37"/>
    </row>
    <row r="900" spans="1:26" ht="15.75" customHeight="1" x14ac:dyDescent="0.4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O900" s="37"/>
      <c r="P900" s="37"/>
      <c r="Y900" s="37"/>
      <c r="Z900" s="37"/>
    </row>
    <row r="901" spans="1:26" ht="15.75" customHeight="1" x14ac:dyDescent="0.4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O901" s="37"/>
      <c r="P901" s="37"/>
      <c r="Y901" s="37"/>
      <c r="Z901" s="37"/>
    </row>
    <row r="902" spans="1:26" ht="15.75" customHeight="1" x14ac:dyDescent="0.4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O902" s="37"/>
      <c r="P902" s="37"/>
      <c r="Y902" s="37"/>
      <c r="Z902" s="37"/>
    </row>
    <row r="903" spans="1:26" ht="15.75" customHeight="1" x14ac:dyDescent="0.4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O903" s="37"/>
      <c r="P903" s="37"/>
      <c r="Y903" s="37"/>
      <c r="Z903" s="37"/>
    </row>
    <row r="904" spans="1:26" ht="15.75" customHeight="1" x14ac:dyDescent="0.4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O904" s="37"/>
      <c r="P904" s="37"/>
      <c r="Y904" s="37"/>
      <c r="Z904" s="37"/>
    </row>
    <row r="905" spans="1:26" ht="15.75" customHeight="1" x14ac:dyDescent="0.4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O905" s="37"/>
      <c r="P905" s="37"/>
      <c r="Y905" s="37"/>
      <c r="Z905" s="37"/>
    </row>
    <row r="906" spans="1:26" ht="15.75" customHeight="1" x14ac:dyDescent="0.4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O906" s="37"/>
      <c r="P906" s="37"/>
      <c r="Y906" s="37"/>
      <c r="Z906" s="37"/>
    </row>
    <row r="907" spans="1:26" ht="15.75" customHeight="1" x14ac:dyDescent="0.4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O907" s="37"/>
      <c r="P907" s="37"/>
      <c r="Y907" s="37"/>
      <c r="Z907" s="37"/>
    </row>
    <row r="908" spans="1:26" ht="15.75" customHeight="1" x14ac:dyDescent="0.4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O908" s="37"/>
      <c r="P908" s="37"/>
      <c r="Y908" s="37"/>
      <c r="Z908" s="37"/>
    </row>
    <row r="909" spans="1:26" ht="15.75" customHeight="1" x14ac:dyDescent="0.4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O909" s="37"/>
      <c r="P909" s="37"/>
      <c r="Y909" s="37"/>
      <c r="Z909" s="37"/>
    </row>
    <row r="910" spans="1:26" ht="15.75" customHeight="1" x14ac:dyDescent="0.4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O910" s="37"/>
      <c r="P910" s="37"/>
      <c r="Y910" s="37"/>
      <c r="Z910" s="37"/>
    </row>
    <row r="911" spans="1:26" ht="15.75" customHeight="1" x14ac:dyDescent="0.4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O911" s="37"/>
      <c r="P911" s="37"/>
      <c r="Y911" s="37"/>
      <c r="Z911" s="37"/>
    </row>
    <row r="912" spans="1:26" ht="15.75" customHeight="1" x14ac:dyDescent="0.4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O912" s="37"/>
      <c r="P912" s="37"/>
      <c r="Y912" s="37"/>
      <c r="Z912" s="37"/>
    </row>
    <row r="913" spans="1:26" ht="15.75" customHeight="1" x14ac:dyDescent="0.4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O913" s="37"/>
      <c r="P913" s="37"/>
      <c r="Y913" s="37"/>
      <c r="Z913" s="37"/>
    </row>
    <row r="914" spans="1:26" ht="15.75" customHeight="1" x14ac:dyDescent="0.4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O914" s="37"/>
      <c r="P914" s="37"/>
      <c r="Y914" s="37"/>
      <c r="Z914" s="37"/>
    </row>
    <row r="915" spans="1:26" ht="15.75" customHeight="1" x14ac:dyDescent="0.4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O915" s="37"/>
      <c r="P915" s="37"/>
      <c r="Y915" s="37"/>
      <c r="Z915" s="37"/>
    </row>
    <row r="916" spans="1:26" ht="15.75" customHeight="1" x14ac:dyDescent="0.4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O916" s="37"/>
      <c r="P916" s="37"/>
      <c r="Y916" s="37"/>
      <c r="Z916" s="37"/>
    </row>
    <row r="917" spans="1:26" ht="15.75" customHeight="1" x14ac:dyDescent="0.4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O917" s="37"/>
      <c r="P917" s="37"/>
      <c r="Y917" s="37"/>
      <c r="Z917" s="37"/>
    </row>
    <row r="918" spans="1:26" ht="15.75" customHeight="1" x14ac:dyDescent="0.4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O918" s="37"/>
      <c r="P918" s="37"/>
      <c r="Y918" s="37"/>
      <c r="Z918" s="37"/>
    </row>
    <row r="919" spans="1:26" ht="15.75" customHeight="1" x14ac:dyDescent="0.4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O919" s="37"/>
      <c r="P919" s="37"/>
      <c r="Y919" s="37"/>
      <c r="Z919" s="37"/>
    </row>
    <row r="920" spans="1:26" ht="15.75" customHeight="1" x14ac:dyDescent="0.4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O920" s="37"/>
      <c r="P920" s="37"/>
      <c r="Y920" s="37"/>
      <c r="Z920" s="37"/>
    </row>
    <row r="921" spans="1:26" ht="15.75" customHeight="1" x14ac:dyDescent="0.4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O921" s="37"/>
      <c r="P921" s="37"/>
      <c r="Y921" s="37"/>
      <c r="Z921" s="37"/>
    </row>
    <row r="922" spans="1:26" ht="15.75" customHeight="1" x14ac:dyDescent="0.4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O922" s="37"/>
      <c r="P922" s="37"/>
      <c r="Y922" s="37"/>
      <c r="Z922" s="37"/>
    </row>
    <row r="923" spans="1:26" ht="15.75" customHeight="1" x14ac:dyDescent="0.4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O923" s="37"/>
      <c r="P923" s="37"/>
      <c r="Y923" s="37"/>
      <c r="Z923" s="37"/>
    </row>
    <row r="924" spans="1:26" ht="15.75" customHeight="1" x14ac:dyDescent="0.4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O924" s="37"/>
      <c r="P924" s="37"/>
      <c r="Y924" s="37"/>
      <c r="Z924" s="37"/>
    </row>
    <row r="925" spans="1:26" ht="15.75" customHeight="1" x14ac:dyDescent="0.4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O925" s="37"/>
      <c r="P925" s="37"/>
      <c r="Y925" s="37"/>
      <c r="Z925" s="37"/>
    </row>
    <row r="926" spans="1:26" ht="15.75" customHeight="1" x14ac:dyDescent="0.4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O926" s="37"/>
      <c r="P926" s="37"/>
      <c r="Y926" s="37"/>
      <c r="Z926" s="37"/>
    </row>
    <row r="927" spans="1:26" ht="15.75" customHeight="1" x14ac:dyDescent="0.4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O927" s="37"/>
      <c r="P927" s="37"/>
      <c r="Y927" s="37"/>
      <c r="Z927" s="37"/>
    </row>
    <row r="928" spans="1:26" ht="15.75" customHeight="1" x14ac:dyDescent="0.4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O928" s="37"/>
      <c r="P928" s="37"/>
      <c r="Y928" s="37"/>
      <c r="Z928" s="37"/>
    </row>
    <row r="929" spans="1:26" ht="15.75" customHeight="1" x14ac:dyDescent="0.4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O929" s="37"/>
      <c r="P929" s="37"/>
      <c r="Y929" s="37"/>
      <c r="Z929" s="37"/>
    </row>
    <row r="930" spans="1:26" ht="15.75" customHeight="1" x14ac:dyDescent="0.4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O930" s="37"/>
      <c r="P930" s="37"/>
      <c r="Y930" s="37"/>
      <c r="Z930" s="37"/>
    </row>
    <row r="931" spans="1:26" ht="15.75" customHeight="1" x14ac:dyDescent="0.4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O931" s="37"/>
      <c r="P931" s="37"/>
      <c r="Y931" s="37"/>
      <c r="Z931" s="37"/>
    </row>
    <row r="932" spans="1:26" ht="15.75" customHeight="1" x14ac:dyDescent="0.4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O932" s="37"/>
      <c r="P932" s="37"/>
      <c r="Y932" s="37"/>
      <c r="Z932" s="37"/>
    </row>
    <row r="933" spans="1:26" ht="15.75" customHeight="1" x14ac:dyDescent="0.4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O933" s="37"/>
      <c r="P933" s="37"/>
      <c r="Y933" s="37"/>
      <c r="Z933" s="37"/>
    </row>
    <row r="934" spans="1:26" ht="15.75" customHeight="1" x14ac:dyDescent="0.4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O934" s="37"/>
      <c r="P934" s="37"/>
      <c r="Y934" s="37"/>
      <c r="Z934" s="37"/>
    </row>
    <row r="935" spans="1:26" ht="15.75" customHeight="1" x14ac:dyDescent="0.4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O935" s="37"/>
      <c r="P935" s="37"/>
      <c r="Y935" s="37"/>
      <c r="Z935" s="37"/>
    </row>
    <row r="936" spans="1:26" ht="15.75" customHeight="1" x14ac:dyDescent="0.4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O936" s="37"/>
      <c r="P936" s="37"/>
      <c r="Y936" s="37"/>
      <c r="Z936" s="37"/>
    </row>
    <row r="937" spans="1:26" ht="15.75" customHeight="1" x14ac:dyDescent="0.4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O937" s="37"/>
      <c r="P937" s="37"/>
      <c r="Y937" s="37"/>
      <c r="Z937" s="37"/>
    </row>
    <row r="938" spans="1:26" ht="15.75" customHeight="1" x14ac:dyDescent="0.4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O938" s="37"/>
      <c r="P938" s="37"/>
      <c r="Y938" s="37"/>
      <c r="Z938" s="37"/>
    </row>
    <row r="939" spans="1:26" ht="15.75" customHeight="1" x14ac:dyDescent="0.4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O939" s="37"/>
      <c r="P939" s="37"/>
      <c r="Y939" s="37"/>
      <c r="Z939" s="37"/>
    </row>
    <row r="940" spans="1:26" ht="15.75" customHeight="1" x14ac:dyDescent="0.4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O940" s="37"/>
      <c r="P940" s="37"/>
      <c r="Y940" s="37"/>
      <c r="Z940" s="37"/>
    </row>
    <row r="941" spans="1:26" ht="15.75" customHeight="1" x14ac:dyDescent="0.4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O941" s="37"/>
      <c r="P941" s="37"/>
      <c r="Y941" s="37"/>
      <c r="Z941" s="37"/>
    </row>
    <row r="942" spans="1:26" ht="15.75" customHeight="1" x14ac:dyDescent="0.4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O942" s="37"/>
      <c r="P942" s="37"/>
      <c r="Y942" s="37"/>
      <c r="Z942" s="37"/>
    </row>
    <row r="943" spans="1:26" ht="15.75" customHeight="1" x14ac:dyDescent="0.4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O943" s="37"/>
      <c r="P943" s="37"/>
      <c r="Y943" s="37"/>
      <c r="Z943" s="37"/>
    </row>
    <row r="944" spans="1:26" ht="15.75" customHeight="1" x14ac:dyDescent="0.4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O944" s="37"/>
      <c r="P944" s="37"/>
      <c r="Y944" s="37"/>
      <c r="Z944" s="37"/>
    </row>
    <row r="945" spans="1:26" ht="15.75" customHeight="1" x14ac:dyDescent="0.4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O945" s="37"/>
      <c r="P945" s="37"/>
      <c r="Y945" s="37"/>
      <c r="Z945" s="37"/>
    </row>
    <row r="946" spans="1:26" ht="15.75" customHeight="1" x14ac:dyDescent="0.4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O946" s="37"/>
      <c r="P946" s="37"/>
      <c r="Y946" s="37"/>
      <c r="Z946" s="37"/>
    </row>
    <row r="947" spans="1:26" ht="15.75" customHeight="1" x14ac:dyDescent="0.4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O947" s="37"/>
      <c r="P947" s="37"/>
      <c r="Y947" s="37"/>
      <c r="Z947" s="37"/>
    </row>
    <row r="948" spans="1:26" ht="15.75" customHeight="1" x14ac:dyDescent="0.4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O948" s="37"/>
      <c r="P948" s="37"/>
      <c r="Y948" s="37"/>
      <c r="Z948" s="37"/>
    </row>
    <row r="949" spans="1:26" ht="15.75" customHeight="1" x14ac:dyDescent="0.4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O949" s="37"/>
      <c r="P949" s="37"/>
      <c r="Y949" s="37"/>
      <c r="Z949" s="37"/>
    </row>
    <row r="950" spans="1:26" ht="15.75" customHeight="1" x14ac:dyDescent="0.4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O950" s="37"/>
      <c r="P950" s="37"/>
      <c r="Y950" s="37"/>
      <c r="Z950" s="37"/>
    </row>
    <row r="951" spans="1:26" ht="15.75" customHeight="1" x14ac:dyDescent="0.4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O951" s="37"/>
      <c r="P951" s="37"/>
      <c r="Y951" s="37"/>
      <c r="Z951" s="37"/>
    </row>
    <row r="952" spans="1:26" ht="15.75" customHeight="1" x14ac:dyDescent="0.4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O952" s="37"/>
      <c r="P952" s="37"/>
      <c r="Y952" s="37"/>
      <c r="Z952" s="37"/>
    </row>
    <row r="953" spans="1:26" ht="15.75" customHeight="1" x14ac:dyDescent="0.4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O953" s="37"/>
      <c r="P953" s="37"/>
      <c r="Y953" s="37"/>
      <c r="Z953" s="37"/>
    </row>
    <row r="954" spans="1:26" ht="15.75" customHeight="1" x14ac:dyDescent="0.4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O954" s="37"/>
      <c r="P954" s="37"/>
      <c r="Y954" s="37"/>
      <c r="Z954" s="37"/>
    </row>
    <row r="955" spans="1:26" ht="15.75" customHeight="1" x14ac:dyDescent="0.4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O955" s="37"/>
      <c r="P955" s="37"/>
      <c r="Y955" s="37"/>
      <c r="Z955" s="37"/>
    </row>
    <row r="956" spans="1:26" ht="15.75" customHeight="1" x14ac:dyDescent="0.4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O956" s="37"/>
      <c r="P956" s="37"/>
      <c r="Y956" s="37"/>
      <c r="Z956" s="37"/>
    </row>
    <row r="957" spans="1:26" ht="15.75" customHeight="1" x14ac:dyDescent="0.4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O957" s="37"/>
      <c r="P957" s="37"/>
      <c r="Y957" s="37"/>
      <c r="Z957" s="37"/>
    </row>
    <row r="958" spans="1:26" ht="15.75" customHeight="1" x14ac:dyDescent="0.4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O958" s="37"/>
      <c r="P958" s="37"/>
      <c r="Y958" s="37"/>
      <c r="Z958" s="37"/>
    </row>
    <row r="959" spans="1:26" ht="15.75" customHeight="1" x14ac:dyDescent="0.4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O959" s="37"/>
      <c r="P959" s="37"/>
      <c r="Y959" s="37"/>
      <c r="Z959" s="37"/>
    </row>
    <row r="960" spans="1:26" ht="15.75" customHeight="1" x14ac:dyDescent="0.4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O960" s="37"/>
      <c r="P960" s="37"/>
      <c r="Y960" s="37"/>
      <c r="Z960" s="37"/>
    </row>
    <row r="961" spans="1:26" ht="15.75" customHeight="1" x14ac:dyDescent="0.4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O961" s="37"/>
      <c r="P961" s="37"/>
      <c r="Y961" s="37"/>
      <c r="Z961" s="37"/>
    </row>
    <row r="962" spans="1:26" ht="15.75" customHeight="1" x14ac:dyDescent="0.4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O962" s="37"/>
      <c r="P962" s="37"/>
      <c r="Y962" s="37"/>
      <c r="Z962" s="37"/>
    </row>
    <row r="963" spans="1:26" ht="15.75" customHeight="1" x14ac:dyDescent="0.4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O963" s="37"/>
      <c r="P963" s="37"/>
      <c r="Y963" s="37"/>
      <c r="Z963" s="37"/>
    </row>
    <row r="964" spans="1:26" ht="15.75" customHeight="1" x14ac:dyDescent="0.4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O964" s="37"/>
      <c r="P964" s="37"/>
      <c r="Y964" s="37"/>
      <c r="Z964" s="37"/>
    </row>
    <row r="965" spans="1:26" ht="15.75" customHeight="1" x14ac:dyDescent="0.4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O965" s="37"/>
      <c r="P965" s="37"/>
      <c r="Y965" s="37"/>
      <c r="Z965" s="37"/>
    </row>
    <row r="966" spans="1:26" ht="15.75" customHeight="1" x14ac:dyDescent="0.4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O966" s="37"/>
      <c r="P966" s="37"/>
      <c r="Y966" s="37"/>
      <c r="Z966" s="37"/>
    </row>
    <row r="967" spans="1:26" ht="15.75" customHeight="1" x14ac:dyDescent="0.4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O967" s="37"/>
      <c r="P967" s="37"/>
      <c r="Y967" s="37"/>
      <c r="Z967" s="37"/>
    </row>
    <row r="968" spans="1:26" ht="15.75" customHeight="1" x14ac:dyDescent="0.4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O968" s="37"/>
      <c r="P968" s="37"/>
      <c r="Y968" s="37"/>
      <c r="Z968" s="37"/>
    </row>
    <row r="969" spans="1:26" ht="15.75" customHeight="1" x14ac:dyDescent="0.4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O969" s="37"/>
      <c r="P969" s="37"/>
      <c r="Y969" s="37"/>
      <c r="Z969" s="37"/>
    </row>
    <row r="970" spans="1:26" ht="15.75" customHeight="1" x14ac:dyDescent="0.4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O970" s="37"/>
      <c r="P970" s="37"/>
      <c r="Y970" s="37"/>
      <c r="Z970" s="37"/>
    </row>
    <row r="971" spans="1:26" ht="15.75" customHeight="1" x14ac:dyDescent="0.4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O971" s="37"/>
      <c r="P971" s="37"/>
      <c r="Y971" s="37"/>
      <c r="Z971" s="37"/>
    </row>
    <row r="972" spans="1:26" ht="15.75" customHeight="1" x14ac:dyDescent="0.4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O972" s="37"/>
      <c r="P972" s="37"/>
      <c r="Y972" s="37"/>
      <c r="Z972" s="37"/>
    </row>
    <row r="973" spans="1:26" ht="15.75" customHeight="1" x14ac:dyDescent="0.4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O973" s="37"/>
      <c r="P973" s="37"/>
      <c r="Y973" s="37"/>
      <c r="Z973" s="37"/>
    </row>
    <row r="974" spans="1:26" ht="15.75" customHeight="1" x14ac:dyDescent="0.4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O974" s="37"/>
      <c r="P974" s="37"/>
      <c r="Y974" s="37"/>
      <c r="Z974" s="37"/>
    </row>
    <row r="975" spans="1:26" ht="15.75" customHeight="1" x14ac:dyDescent="0.4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O975" s="37"/>
      <c r="P975" s="37"/>
      <c r="Y975" s="37"/>
      <c r="Z975" s="37"/>
    </row>
    <row r="976" spans="1:26" ht="15.75" customHeight="1" x14ac:dyDescent="0.4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O976" s="37"/>
      <c r="P976" s="37"/>
      <c r="Y976" s="37"/>
      <c r="Z976" s="37"/>
    </row>
    <row r="977" spans="1:26" ht="15.75" customHeight="1" x14ac:dyDescent="0.4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O977" s="37"/>
      <c r="P977" s="37"/>
      <c r="Y977" s="37"/>
      <c r="Z977" s="37"/>
    </row>
    <row r="978" spans="1:26" ht="15.75" customHeight="1" x14ac:dyDescent="0.4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O978" s="37"/>
      <c r="P978" s="37"/>
      <c r="Y978" s="37"/>
      <c r="Z978" s="37"/>
    </row>
    <row r="979" spans="1:26" ht="15.75" customHeight="1" x14ac:dyDescent="0.4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O979" s="37"/>
      <c r="P979" s="37"/>
      <c r="Y979" s="37"/>
      <c r="Z979" s="37"/>
    </row>
    <row r="980" spans="1:26" ht="15.75" customHeight="1" x14ac:dyDescent="0.4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O980" s="37"/>
      <c r="P980" s="37"/>
      <c r="Y980" s="37"/>
      <c r="Z980" s="37"/>
    </row>
    <row r="981" spans="1:26" ht="15.75" customHeight="1" x14ac:dyDescent="0.4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O981" s="37"/>
      <c r="P981" s="37"/>
      <c r="Y981" s="37"/>
      <c r="Z981" s="37"/>
    </row>
    <row r="982" spans="1:26" ht="15.75" customHeight="1" x14ac:dyDescent="0.4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O982" s="37"/>
      <c r="P982" s="37"/>
      <c r="Y982" s="37"/>
      <c r="Z982" s="37"/>
    </row>
    <row r="983" spans="1:26" ht="15.75" customHeight="1" x14ac:dyDescent="0.4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O983" s="37"/>
      <c r="P983" s="37"/>
      <c r="Y983" s="37"/>
      <c r="Z983" s="37"/>
    </row>
    <row r="984" spans="1:26" ht="15.75" customHeight="1" x14ac:dyDescent="0.4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O984" s="37"/>
      <c r="P984" s="37"/>
      <c r="Y984" s="37"/>
      <c r="Z984" s="37"/>
    </row>
    <row r="985" spans="1:26" ht="15.75" customHeight="1" x14ac:dyDescent="0.4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O985" s="37"/>
      <c r="P985" s="37"/>
      <c r="Y985" s="37"/>
      <c r="Z985" s="37"/>
    </row>
    <row r="986" spans="1:26" ht="15.75" customHeight="1" x14ac:dyDescent="0.4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O986" s="37"/>
      <c r="P986" s="37"/>
      <c r="Y986" s="37"/>
      <c r="Z986" s="37"/>
    </row>
    <row r="987" spans="1:26" ht="15.75" customHeight="1" x14ac:dyDescent="0.4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O987" s="37"/>
      <c r="P987" s="37"/>
      <c r="Y987" s="37"/>
      <c r="Z987" s="37"/>
    </row>
    <row r="988" spans="1:26" ht="15.75" customHeight="1" x14ac:dyDescent="0.4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O988" s="37"/>
      <c r="P988" s="37"/>
      <c r="Y988" s="37"/>
      <c r="Z988" s="37"/>
    </row>
    <row r="989" spans="1:26" ht="15.75" customHeight="1" x14ac:dyDescent="0.4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O989" s="37"/>
      <c r="P989" s="37"/>
      <c r="Y989" s="37"/>
      <c r="Z989" s="37"/>
    </row>
    <row r="990" spans="1:26" ht="15.75" customHeight="1" x14ac:dyDescent="0.4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O990" s="37"/>
      <c r="P990" s="37"/>
      <c r="Y990" s="37"/>
      <c r="Z990" s="37"/>
    </row>
    <row r="991" spans="1:26" ht="15.75" customHeight="1" x14ac:dyDescent="0.4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O991" s="37"/>
      <c r="P991" s="37"/>
      <c r="Y991" s="37"/>
      <c r="Z991" s="37"/>
    </row>
    <row r="992" spans="1:26" ht="15.75" customHeight="1" x14ac:dyDescent="0.4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O992" s="37"/>
      <c r="P992" s="37"/>
      <c r="Y992" s="37"/>
      <c r="Z992" s="37"/>
    </row>
    <row r="993" spans="1:26" ht="15.75" customHeight="1" x14ac:dyDescent="0.4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O993" s="37"/>
      <c r="P993" s="37"/>
      <c r="Y993" s="37"/>
      <c r="Z993" s="37"/>
    </row>
    <row r="994" spans="1:26" ht="15.75" customHeight="1" x14ac:dyDescent="0.4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O994" s="37"/>
      <c r="P994" s="37"/>
      <c r="Y994" s="37"/>
      <c r="Z994" s="37"/>
    </row>
    <row r="995" spans="1:26" ht="15.75" customHeight="1" x14ac:dyDescent="0.4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O995" s="37"/>
      <c r="P995" s="37"/>
      <c r="Y995" s="37"/>
      <c r="Z995" s="37"/>
    </row>
    <row r="996" spans="1:26" ht="15.75" customHeight="1" x14ac:dyDescent="0.4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O996" s="37"/>
      <c r="P996" s="37"/>
      <c r="Y996" s="37"/>
      <c r="Z996" s="37"/>
    </row>
    <row r="997" spans="1:26" ht="15.75" customHeight="1" x14ac:dyDescent="0.4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O997" s="37"/>
      <c r="P997" s="37"/>
      <c r="Y997" s="37"/>
      <c r="Z997" s="37"/>
    </row>
    <row r="998" spans="1:26" ht="15.75" customHeight="1" x14ac:dyDescent="0.4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O998" s="37"/>
      <c r="P998" s="37"/>
      <c r="Y998" s="37"/>
      <c r="Z998" s="37"/>
    </row>
    <row r="999" spans="1:26" ht="15.75" customHeight="1" x14ac:dyDescent="0.4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O999" s="37"/>
      <c r="P999" s="37"/>
      <c r="Y999" s="37"/>
      <c r="Z999" s="37"/>
    </row>
    <row r="1000" spans="1:26" ht="15.75" customHeight="1" x14ac:dyDescent="0.4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O1000" s="37"/>
      <c r="P1000" s="37"/>
      <c r="Y1000" s="37"/>
      <c r="Z1000" s="37"/>
    </row>
  </sheetData>
  <conditionalFormatting sqref="G12:K12">
    <cfRule type="notContainsBlanks" dxfId="13" priority="1">
      <formula>LEN(TRIM(G12))&gt;0</formula>
    </cfRule>
  </conditionalFormatting>
  <conditionalFormatting sqref="G5:H6">
    <cfRule type="notContainsBlanks" dxfId="12" priority="2">
      <formula>LEN(TRIM(G5))&gt;0</formula>
    </cfRule>
  </conditionalFormatting>
  <conditionalFormatting sqref="I5:K6 G10:K10">
    <cfRule type="notContainsBlanks" dxfId="11" priority="3">
      <formula>LEN(TRIM(I5))&gt;0</formula>
    </cfRule>
  </conditionalFormatting>
  <conditionalFormatting sqref="D5:D8 D10:D11">
    <cfRule type="cellIs" dxfId="10" priority="4" operator="greaterThan">
      <formula>0</formula>
    </cfRule>
  </conditionalFormatting>
  <conditionalFormatting sqref="D4">
    <cfRule type="cellIs" dxfId="9" priority="5" operator="greaterThan">
      <formula>0</formula>
    </cfRule>
  </conditionalFormatting>
  <conditionalFormatting sqref="M5:M8 M10:M11">
    <cfRule type="cellIs" dxfId="8" priority="6" operator="greaterThan">
      <formula>0</formula>
    </cfRule>
  </conditionalFormatting>
  <conditionalFormatting sqref="M4">
    <cfRule type="cellIs" dxfId="7" priority="7" operator="greaterThan">
      <formula>0</formula>
    </cfRule>
  </conditionalFormatting>
  <conditionalFormatting sqref="W5:W8 W10:W11">
    <cfRule type="cellIs" dxfId="6" priority="8" operator="greaterThan">
      <formula>0</formula>
    </cfRule>
  </conditionalFormatting>
  <conditionalFormatting sqref="W4">
    <cfRule type="cellIs" dxfId="5" priority="9" operator="greaterThan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14.3984375" defaultRowHeight="15" customHeight="1" x14ac:dyDescent="0.45"/>
  <cols>
    <col min="1" max="1" width="38.86328125" customWidth="1"/>
    <col min="2" max="2" width="20" customWidth="1"/>
    <col min="3" max="3" width="4.3984375" customWidth="1"/>
    <col min="4" max="4" width="12" customWidth="1"/>
    <col min="5" max="5" width="8.3984375" customWidth="1"/>
    <col min="6" max="6" width="7.53125" customWidth="1"/>
    <col min="7" max="11" width="9.73046875" customWidth="1"/>
    <col min="12" max="26" width="8.73046875" customWidth="1"/>
  </cols>
  <sheetData>
    <row r="1" spans="1:26" ht="31.5" customHeight="1" x14ac:dyDescent="0.45">
      <c r="A1" s="1"/>
      <c r="B1" s="1" t="s">
        <v>0</v>
      </c>
      <c r="C1" s="1"/>
      <c r="D1" s="512" t="s">
        <v>482</v>
      </c>
      <c r="E1" s="11"/>
      <c r="F1" s="11"/>
      <c r="G1" s="157" t="s">
        <v>483</v>
      </c>
      <c r="H1" s="157" t="s">
        <v>484</v>
      </c>
      <c r="I1" s="157" t="s">
        <v>485</v>
      </c>
      <c r="J1" s="157" t="s">
        <v>486</v>
      </c>
      <c r="K1" s="157" t="s">
        <v>487</v>
      </c>
    </row>
    <row r="2" spans="1:26" ht="69.75" x14ac:dyDescent="0.7">
      <c r="A2" s="6" t="s">
        <v>22</v>
      </c>
      <c r="B2" s="14" t="s">
        <v>499</v>
      </c>
      <c r="C2" s="6"/>
      <c r="D2" s="24" t="s">
        <v>52</v>
      </c>
      <c r="E2" s="560" t="s">
        <v>491</v>
      </c>
      <c r="F2" s="560" t="s">
        <v>492</v>
      </c>
      <c r="G2" s="561" t="s">
        <v>493</v>
      </c>
      <c r="H2" s="561" t="s">
        <v>494</v>
      </c>
      <c r="I2" s="561" t="s">
        <v>495</v>
      </c>
      <c r="J2" s="561" t="s">
        <v>496</v>
      </c>
      <c r="K2" s="561" t="s">
        <v>497</v>
      </c>
    </row>
    <row r="3" spans="1:26" ht="14.25" x14ac:dyDescent="0.45">
      <c r="A3" s="25" t="s">
        <v>53</v>
      </c>
      <c r="B3" s="35">
        <v>0.02</v>
      </c>
      <c r="C3" s="25"/>
      <c r="D3" s="39">
        <v>513.30286162025016</v>
      </c>
      <c r="E3" s="22"/>
      <c r="F3" s="35">
        <v>0.01</v>
      </c>
      <c r="G3" s="157"/>
      <c r="H3" s="157"/>
      <c r="I3" s="157"/>
      <c r="J3" s="157"/>
      <c r="K3" s="157"/>
    </row>
    <row r="4" spans="1:26" ht="14.25" x14ac:dyDescent="0.45">
      <c r="A4" s="40" t="s">
        <v>55</v>
      </c>
      <c r="B4" s="40"/>
      <c r="C4" s="40"/>
      <c r="D4" s="50">
        <v>0.35</v>
      </c>
      <c r="E4" s="22"/>
      <c r="F4" s="22"/>
      <c r="G4" s="22"/>
      <c r="H4" s="22"/>
      <c r="I4" s="22"/>
      <c r="J4" s="22"/>
      <c r="K4" s="22"/>
    </row>
    <row r="5" spans="1:26" ht="14.25" x14ac:dyDescent="0.45">
      <c r="A5" s="40" t="s">
        <v>56</v>
      </c>
      <c r="B5" s="40"/>
      <c r="C5" s="40"/>
      <c r="D5" s="50">
        <v>0</v>
      </c>
      <c r="E5" s="523"/>
      <c r="F5" s="44"/>
      <c r="G5" s="149"/>
      <c r="H5" s="149"/>
      <c r="I5" s="149"/>
      <c r="J5" s="149"/>
      <c r="K5" s="149"/>
    </row>
    <row r="6" spans="1:26" ht="14.25" x14ac:dyDescent="0.45">
      <c r="A6" s="40" t="s">
        <v>57</v>
      </c>
      <c r="B6" s="40"/>
      <c r="C6" s="40"/>
      <c r="D6" s="50">
        <v>0.25</v>
      </c>
      <c r="E6" s="523"/>
      <c r="F6" s="44"/>
      <c r="G6" s="149"/>
      <c r="H6" s="149"/>
      <c r="I6" s="149"/>
      <c r="J6" s="149"/>
      <c r="K6" s="149"/>
    </row>
    <row r="7" spans="1:26" ht="14.25" x14ac:dyDescent="0.45">
      <c r="A7" s="40" t="s">
        <v>58</v>
      </c>
      <c r="B7" s="40"/>
      <c r="C7" s="40"/>
      <c r="D7" s="50">
        <v>0.15</v>
      </c>
      <c r="E7" s="523"/>
      <c r="F7" s="44"/>
      <c r="G7" s="149"/>
      <c r="H7" s="149"/>
      <c r="I7" s="149"/>
      <c r="J7" s="149"/>
      <c r="K7" s="149"/>
    </row>
    <row r="8" spans="1:26" ht="14.25" x14ac:dyDescent="0.45">
      <c r="A8" s="40" t="s">
        <v>59</v>
      </c>
      <c r="B8" s="40"/>
      <c r="C8" s="40"/>
      <c r="D8" s="50">
        <v>0.25</v>
      </c>
      <c r="E8" s="523"/>
      <c r="F8" s="44"/>
      <c r="G8" s="149"/>
      <c r="H8" s="149"/>
      <c r="I8" s="149"/>
      <c r="J8" s="149"/>
      <c r="K8" s="149"/>
    </row>
    <row r="9" spans="1:26" ht="14.25" x14ac:dyDescent="0.45">
      <c r="A9" s="40"/>
      <c r="B9" s="40"/>
      <c r="C9" s="40"/>
      <c r="D9" s="55">
        <v>1</v>
      </c>
      <c r="E9" s="523"/>
      <c r="F9" s="44"/>
      <c r="G9" s="149"/>
      <c r="H9" s="149"/>
      <c r="I9" s="149"/>
      <c r="J9" s="149"/>
      <c r="K9" s="149"/>
    </row>
    <row r="10" spans="1:26" ht="14.25" hidden="1" x14ac:dyDescent="0.45">
      <c r="A10" s="40"/>
      <c r="B10" s="40"/>
      <c r="C10" s="40"/>
      <c r="D10" s="50"/>
      <c r="E10" s="523"/>
      <c r="F10" s="44"/>
      <c r="G10" s="149"/>
      <c r="H10" s="149"/>
      <c r="I10" s="149"/>
      <c r="J10" s="149"/>
      <c r="K10" s="149"/>
    </row>
    <row r="11" spans="1:26" ht="17.25" hidden="1" customHeight="1" x14ac:dyDescent="0.45">
      <c r="A11" s="40" t="s">
        <v>60</v>
      </c>
      <c r="B11" s="40"/>
      <c r="C11" s="40"/>
      <c r="D11" s="50">
        <v>1</v>
      </c>
      <c r="E11" s="523"/>
      <c r="F11" s="44"/>
      <c r="G11" s="149"/>
      <c r="H11" s="149"/>
      <c r="I11" s="149"/>
      <c r="J11" s="149"/>
      <c r="K11" s="149"/>
    </row>
    <row r="12" spans="1:26" ht="14.25" x14ac:dyDescent="0.45">
      <c r="A12" s="40" t="s">
        <v>61</v>
      </c>
      <c r="B12" s="40"/>
      <c r="C12" s="40"/>
      <c r="D12" s="57">
        <v>0.25</v>
      </c>
      <c r="E12" s="523"/>
      <c r="F12" s="44"/>
      <c r="G12" s="149"/>
      <c r="H12" s="149"/>
      <c r="I12" s="149"/>
      <c r="J12" s="149"/>
      <c r="K12" s="149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4.25" x14ac:dyDescent="0.45">
      <c r="A13" s="58" t="s">
        <v>62</v>
      </c>
      <c r="B13" s="562">
        <v>1333.0224243756002</v>
      </c>
      <c r="C13" s="80"/>
      <c r="D13" s="74">
        <v>816.59489787942266</v>
      </c>
      <c r="E13" s="570">
        <f t="shared" ref="E13:E66" si="0">SUM(D13-B13)</f>
        <v>-516.42752649617751</v>
      </c>
      <c r="F13" s="564">
        <f t="shared" ref="F13:F66" si="1">SUM(D13-B13)/D13</f>
        <v>-0.63241581332097974</v>
      </c>
      <c r="G13" s="149">
        <f t="shared" ref="G13:G66" si="2">SUM(E13/5)+B13</f>
        <v>1229.7369190763648</v>
      </c>
      <c r="H13" s="149">
        <f t="shared" ref="H13:K13" si="3">SUM(($E13/5)+G13)*(1+$F$3)</f>
        <v>1137.7159279149007</v>
      </c>
      <c r="I13" s="149">
        <f t="shared" si="3"/>
        <v>1044.774726841822</v>
      </c>
      <c r="J13" s="149">
        <f t="shared" si="3"/>
        <v>950.90411375801239</v>
      </c>
      <c r="K13" s="149">
        <f t="shared" si="3"/>
        <v>856.09479454336463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4.25" x14ac:dyDescent="0.45">
      <c r="A14" s="78" t="s">
        <v>65</v>
      </c>
      <c r="B14" s="486">
        <v>1332.8900999999998</v>
      </c>
      <c r="C14" s="103"/>
      <c r="D14" s="74">
        <v>1103.3704804128713</v>
      </c>
      <c r="E14" s="570">
        <f t="shared" si="0"/>
        <v>-229.51961958712855</v>
      </c>
      <c r="F14" s="564">
        <f t="shared" si="1"/>
        <v>-0.20801682087891674</v>
      </c>
      <c r="G14" s="149">
        <f t="shared" si="2"/>
        <v>1286.986176082574</v>
      </c>
      <c r="H14" s="149">
        <f t="shared" ref="H14:K14" si="4">SUM(($E14/5)+G14)*(1+$F$3)</f>
        <v>1253.4930746867997</v>
      </c>
      <c r="I14" s="149">
        <f t="shared" si="4"/>
        <v>1219.6650422770676</v>
      </c>
      <c r="J14" s="149">
        <f t="shared" si="4"/>
        <v>1185.4987295432384</v>
      </c>
      <c r="K14" s="149">
        <f t="shared" si="4"/>
        <v>1150.9907536820708</v>
      </c>
    </row>
    <row r="15" spans="1:26" ht="14.25" x14ac:dyDescent="0.45">
      <c r="A15" s="80" t="s">
        <v>67</v>
      </c>
      <c r="B15" s="562">
        <v>1599.6269092507205</v>
      </c>
      <c r="C15" s="80"/>
      <c r="D15" s="74">
        <v>2188.7000303716195</v>
      </c>
      <c r="E15" s="570">
        <f t="shared" si="0"/>
        <v>589.07312112089903</v>
      </c>
      <c r="F15" s="564">
        <f t="shared" si="1"/>
        <v>0.26914292180133986</v>
      </c>
      <c r="G15" s="149">
        <f t="shared" si="2"/>
        <v>1717.4415334749003</v>
      </c>
      <c r="H15" s="149">
        <f t="shared" ref="H15:K15" si="5">SUM(($E15/5)+G15)*(1+$F$3)</f>
        <v>1853.608719276071</v>
      </c>
      <c r="I15" s="149">
        <f t="shared" si="5"/>
        <v>1991.1375769352535</v>
      </c>
      <c r="J15" s="149">
        <f t="shared" si="5"/>
        <v>2130.0417231710276</v>
      </c>
      <c r="K15" s="149">
        <f t="shared" si="5"/>
        <v>2270.3349108691591</v>
      </c>
    </row>
    <row r="16" spans="1:26" ht="14.25" x14ac:dyDescent="0.45">
      <c r="A16" s="83" t="s">
        <v>70</v>
      </c>
      <c r="B16" s="65">
        <v>13330.224243756003</v>
      </c>
      <c r="C16" s="83"/>
      <c r="D16" s="74">
        <v>17258.425724694909</v>
      </c>
      <c r="E16" s="570">
        <f t="shared" si="0"/>
        <v>3928.2014809389057</v>
      </c>
      <c r="F16" s="564">
        <f t="shared" si="1"/>
        <v>0.22761064905926393</v>
      </c>
      <c r="G16" s="149">
        <f t="shared" si="2"/>
        <v>14115.864539943785</v>
      </c>
      <c r="H16" s="149">
        <f t="shared" ref="H16:K16" si="6">SUM(($E16/5)+G16)*(1+$F$3)</f>
        <v>15050.519884492882</v>
      </c>
      <c r="I16" s="149">
        <f t="shared" si="6"/>
        <v>15994.521782487469</v>
      </c>
      <c r="J16" s="149">
        <f t="shared" si="6"/>
        <v>16947.963699462001</v>
      </c>
      <c r="K16" s="149">
        <f t="shared" si="6"/>
        <v>17910.940035606283</v>
      </c>
    </row>
    <row r="17" spans="1:11" ht="14.25" x14ac:dyDescent="0.45">
      <c r="A17" s="86" t="s">
        <v>73</v>
      </c>
      <c r="B17" s="65">
        <v>6665.1121218780017</v>
      </c>
      <c r="C17" s="86"/>
      <c r="D17" s="74">
        <v>1979.7007697329409</v>
      </c>
      <c r="E17" s="570">
        <f t="shared" si="0"/>
        <v>-4685.4113521450608</v>
      </c>
      <c r="F17" s="564">
        <f t="shared" si="1"/>
        <v>-2.3667270447023752</v>
      </c>
      <c r="G17" s="149">
        <f t="shared" si="2"/>
        <v>5728.0298514489896</v>
      </c>
      <c r="H17" s="149">
        <f t="shared" ref="H17:K17" si="7">SUM(($E17/5)+G17)*(1+$F$3)</f>
        <v>4838.8570568301775</v>
      </c>
      <c r="I17" s="149">
        <f t="shared" si="7"/>
        <v>3940.792534265177</v>
      </c>
      <c r="J17" s="149">
        <f t="shared" si="7"/>
        <v>3033.7473664745266</v>
      </c>
      <c r="K17" s="149">
        <f t="shared" si="7"/>
        <v>2117.6317470059698</v>
      </c>
    </row>
    <row r="18" spans="1:11" ht="14.25" x14ac:dyDescent="0.45">
      <c r="A18" s="86" t="s">
        <v>76</v>
      </c>
      <c r="B18" s="65">
        <v>5332.0896975024007</v>
      </c>
      <c r="C18" s="86"/>
      <c r="D18" s="74">
        <v>2970.428157322996</v>
      </c>
      <c r="E18" s="570">
        <f t="shared" si="0"/>
        <v>-2361.6615401794047</v>
      </c>
      <c r="F18" s="564">
        <f t="shared" si="1"/>
        <v>-0.79505761967587096</v>
      </c>
      <c r="G18" s="149">
        <f t="shared" si="2"/>
        <v>4859.7573894665202</v>
      </c>
      <c r="H18" s="149">
        <f t="shared" ref="H18:K18" si="8">SUM(($E18/5)+G18)*(1+$F$3)</f>
        <v>4431.2993322449465</v>
      </c>
      <c r="I18" s="149">
        <f t="shared" si="8"/>
        <v>3998.5566944511561</v>
      </c>
      <c r="J18" s="149">
        <f t="shared" si="8"/>
        <v>3561.486630279428</v>
      </c>
      <c r="K18" s="149">
        <f t="shared" si="8"/>
        <v>3120.0458654659824</v>
      </c>
    </row>
    <row r="19" spans="1:11" ht="14.25" x14ac:dyDescent="0.45">
      <c r="A19" s="83" t="s">
        <v>79</v>
      </c>
      <c r="B19" s="65">
        <v>1333.0224243756002</v>
      </c>
      <c r="C19" s="83"/>
      <c r="D19" s="74">
        <v>1273.7748223755293</v>
      </c>
      <c r="E19" s="570">
        <f t="shared" si="0"/>
        <v>-59.247602000070856</v>
      </c>
      <c r="F19" s="564">
        <f t="shared" si="1"/>
        <v>-4.6513403279220815E-2</v>
      </c>
      <c r="G19" s="149">
        <f t="shared" si="2"/>
        <v>1321.172903975586</v>
      </c>
      <c r="H19" s="149">
        <f t="shared" ref="H19:K19" si="9">SUM(($E19/5)+G19)*(1+$F$3)</f>
        <v>1322.4166174113275</v>
      </c>
      <c r="I19" s="149">
        <f t="shared" si="9"/>
        <v>1323.6727679814264</v>
      </c>
      <c r="J19" s="149">
        <f t="shared" si="9"/>
        <v>1324.9414800572265</v>
      </c>
      <c r="K19" s="149">
        <f t="shared" si="9"/>
        <v>1326.2228792537844</v>
      </c>
    </row>
    <row r="20" spans="1:11" ht="14.25" x14ac:dyDescent="0.45">
      <c r="A20" s="83" t="s">
        <v>82</v>
      </c>
      <c r="B20" s="65">
        <v>1002.9406811968801</v>
      </c>
      <c r="C20" s="83"/>
      <c r="D20" s="74">
        <v>739.42088871328406</v>
      </c>
      <c r="E20" s="570">
        <f t="shared" si="0"/>
        <v>-263.51979248359601</v>
      </c>
      <c r="F20" s="564">
        <f t="shared" si="1"/>
        <v>-0.3563867298125219</v>
      </c>
      <c r="G20" s="149">
        <f t="shared" si="2"/>
        <v>950.23672270016084</v>
      </c>
      <c r="H20" s="149">
        <f t="shared" ref="H20:K20" si="10">SUM(($E20/5)+G20)*(1+$F$3)</f>
        <v>906.50809184547609</v>
      </c>
      <c r="I20" s="149">
        <f t="shared" si="10"/>
        <v>862.34217468224449</v>
      </c>
      <c r="J20" s="149">
        <f t="shared" si="10"/>
        <v>817.73459834738048</v>
      </c>
      <c r="K20" s="149">
        <f t="shared" si="10"/>
        <v>772.68094624916785</v>
      </c>
    </row>
    <row r="21" spans="1:11" ht="15.75" customHeight="1" x14ac:dyDescent="0.45">
      <c r="A21" s="80" t="s">
        <v>85</v>
      </c>
      <c r="B21" s="562">
        <v>1599.6269092507205</v>
      </c>
      <c r="C21" s="80"/>
      <c r="D21" s="74">
        <v>1428.2000609747004</v>
      </c>
      <c r="E21" s="570">
        <f t="shared" si="0"/>
        <v>-171.42684827602011</v>
      </c>
      <c r="F21" s="564">
        <f t="shared" si="1"/>
        <v>-0.12002999646914091</v>
      </c>
      <c r="G21" s="149">
        <f t="shared" si="2"/>
        <v>1565.3415395955165</v>
      </c>
      <c r="H21" s="149">
        <f t="shared" ref="H21:K21" si="11">SUM(($E21/5)+G21)*(1+$F$3)</f>
        <v>1546.3667316397155</v>
      </c>
      <c r="I21" s="149">
        <f t="shared" si="11"/>
        <v>1527.2021756043566</v>
      </c>
      <c r="J21" s="149">
        <f t="shared" si="11"/>
        <v>1507.8459740086441</v>
      </c>
      <c r="K21" s="149">
        <f t="shared" si="11"/>
        <v>1488.2962103969746</v>
      </c>
    </row>
    <row r="22" spans="1:11" ht="15.75" customHeight="1" x14ac:dyDescent="0.45">
      <c r="A22" s="83" t="s">
        <v>87</v>
      </c>
      <c r="B22" s="65">
        <v>399.90672731268012</v>
      </c>
      <c r="C22" s="83"/>
      <c r="D22" s="74">
        <v>866.85675688355889</v>
      </c>
      <c r="E22" s="570">
        <f t="shared" si="0"/>
        <v>466.95002957087877</v>
      </c>
      <c r="F22" s="564">
        <f t="shared" si="1"/>
        <v>0.53867034647063627</v>
      </c>
      <c r="G22" s="149">
        <f t="shared" si="2"/>
        <v>493.29673322685585</v>
      </c>
      <c r="H22" s="149">
        <f t="shared" ref="H22:K22" si="12">SUM(($E22/5)+G22)*(1+$F$3)</f>
        <v>592.5536065324419</v>
      </c>
      <c r="I22" s="149">
        <f t="shared" si="12"/>
        <v>692.80304857108376</v>
      </c>
      <c r="J22" s="149">
        <f t="shared" si="12"/>
        <v>794.05498503011211</v>
      </c>
      <c r="K22" s="149">
        <f t="shared" si="12"/>
        <v>896.31944085373073</v>
      </c>
    </row>
    <row r="23" spans="1:11" ht="15.75" customHeight="1" x14ac:dyDescent="0.45">
      <c r="A23" s="83" t="s">
        <v>90</v>
      </c>
      <c r="B23" s="65">
        <v>1802.7541358222402</v>
      </c>
      <c r="C23" s="83"/>
      <c r="D23" s="74">
        <v>2953.612984752127</v>
      </c>
      <c r="E23" s="570">
        <f t="shared" si="0"/>
        <v>1150.8588489298868</v>
      </c>
      <c r="F23" s="564">
        <f t="shared" si="1"/>
        <v>0.38964443035398871</v>
      </c>
      <c r="G23" s="149">
        <f t="shared" si="2"/>
        <v>2032.9259056082176</v>
      </c>
      <c r="H23" s="149">
        <f t="shared" ref="H23:K23" si="13">SUM(($E23/5)+G23)*(1+$F$3)</f>
        <v>2285.7286521481369</v>
      </c>
      <c r="I23" s="149">
        <f t="shared" si="13"/>
        <v>2541.0594261534552</v>
      </c>
      <c r="J23" s="149">
        <f t="shared" si="13"/>
        <v>2798.9435078988267</v>
      </c>
      <c r="K23" s="149">
        <f t="shared" si="13"/>
        <v>3059.4064304616518</v>
      </c>
    </row>
    <row r="24" spans="1:11" ht="15.75" customHeight="1" x14ac:dyDescent="0.45">
      <c r="A24" s="95" t="s">
        <v>93</v>
      </c>
      <c r="B24" s="493">
        <v>1600.1198999999999</v>
      </c>
      <c r="C24" s="95"/>
      <c r="D24" s="74">
        <v>3864.1953190929416</v>
      </c>
      <c r="E24" s="570">
        <f t="shared" si="0"/>
        <v>2264.075419092942</v>
      </c>
      <c r="F24" s="564">
        <f t="shared" si="1"/>
        <v>0.58591122656408523</v>
      </c>
      <c r="G24" s="149">
        <f t="shared" si="2"/>
        <v>2052.9349838185881</v>
      </c>
      <c r="H24" s="149">
        <f t="shared" ref="H24:K24" si="14">SUM(($E24/5)+G24)*(1+$F$3)</f>
        <v>2530.8075683135485</v>
      </c>
      <c r="I24" s="149">
        <f t="shared" si="14"/>
        <v>3013.4588786534582</v>
      </c>
      <c r="J24" s="149">
        <f t="shared" si="14"/>
        <v>3500.936702096767</v>
      </c>
      <c r="K24" s="149">
        <f t="shared" si="14"/>
        <v>3993.2893037745089</v>
      </c>
    </row>
    <row r="25" spans="1:11" ht="15.75" customHeight="1" x14ac:dyDescent="0.45">
      <c r="A25" s="96" t="s">
        <v>95</v>
      </c>
      <c r="B25" s="65">
        <v>1333.0224243756002</v>
      </c>
      <c r="C25" s="83"/>
      <c r="D25" s="74">
        <v>993.89516308750876</v>
      </c>
      <c r="E25" s="570">
        <f t="shared" si="0"/>
        <v>-339.1272612880914</v>
      </c>
      <c r="F25" s="564">
        <f t="shared" si="1"/>
        <v>-0.34121029448880869</v>
      </c>
      <c r="G25" s="149">
        <f t="shared" si="2"/>
        <v>1265.1969721179819</v>
      </c>
      <c r="H25" s="149">
        <f t="shared" ref="H25:K25" si="15">SUM(($E25/5)+G25)*(1+$F$3)</f>
        <v>1209.3452350589673</v>
      </c>
      <c r="I25" s="149">
        <f t="shared" si="15"/>
        <v>1152.9349806293626</v>
      </c>
      <c r="J25" s="149">
        <f t="shared" si="15"/>
        <v>1095.9606236554619</v>
      </c>
      <c r="K25" s="149">
        <f t="shared" si="15"/>
        <v>1038.416523111822</v>
      </c>
    </row>
    <row r="26" spans="1:11" ht="15.75" customHeight="1" x14ac:dyDescent="0.45">
      <c r="A26" s="83" t="s">
        <v>97</v>
      </c>
      <c r="B26" s="65">
        <v>1599.6269092507205</v>
      </c>
      <c r="C26" s="83"/>
      <c r="D26" s="74">
        <v>1766.8049688854119</v>
      </c>
      <c r="E26" s="570">
        <f t="shared" si="0"/>
        <v>167.17805963469141</v>
      </c>
      <c r="F26" s="564">
        <f t="shared" si="1"/>
        <v>9.4621682969431312E-2</v>
      </c>
      <c r="G26" s="149">
        <f t="shared" si="2"/>
        <v>1633.0625211776587</v>
      </c>
      <c r="H26" s="149">
        <f t="shared" ref="H26:K26" si="16">SUM(($E26/5)+G26)*(1+$F$3)</f>
        <v>1683.1631144356429</v>
      </c>
      <c r="I26" s="149">
        <f t="shared" si="16"/>
        <v>1733.7647136262069</v>
      </c>
      <c r="J26" s="149">
        <f t="shared" si="16"/>
        <v>1784.8723288086767</v>
      </c>
      <c r="K26" s="149">
        <f t="shared" si="16"/>
        <v>1836.4910201429711</v>
      </c>
    </row>
    <row r="27" spans="1:11" ht="15.75" customHeight="1" x14ac:dyDescent="0.45">
      <c r="A27" s="83" t="s">
        <v>99</v>
      </c>
      <c r="B27" s="65">
        <v>5431.5</v>
      </c>
      <c r="C27" s="83"/>
      <c r="D27" s="74">
        <v>4919.3528323315722</v>
      </c>
      <c r="E27" s="570">
        <f t="shared" si="0"/>
        <v>-512.14716766842776</v>
      </c>
      <c r="F27" s="564">
        <f t="shared" si="1"/>
        <v>-0.10410864703634012</v>
      </c>
      <c r="G27" s="149">
        <f t="shared" si="2"/>
        <v>5329.0705664663146</v>
      </c>
      <c r="H27" s="149">
        <f t="shared" ref="H27:K27" si="17">SUM(($E27/5)+G27)*(1+$F$3)</f>
        <v>5278.907544261956</v>
      </c>
      <c r="I27" s="149">
        <f t="shared" si="17"/>
        <v>5228.2428918355536</v>
      </c>
      <c r="J27" s="149">
        <f t="shared" si="17"/>
        <v>5177.0715928848867</v>
      </c>
      <c r="K27" s="149">
        <f t="shared" si="17"/>
        <v>5125.3885809447138</v>
      </c>
    </row>
    <row r="28" spans="1:11" ht="15.75" customHeight="1" x14ac:dyDescent="0.45">
      <c r="A28" s="83" t="s">
        <v>102</v>
      </c>
      <c r="B28" s="65">
        <v>1333.0224243756002</v>
      </c>
      <c r="C28" s="83"/>
      <c r="D28" s="74">
        <v>1017.4395616693488</v>
      </c>
      <c r="E28" s="570">
        <f t="shared" si="0"/>
        <v>-315.58286270625138</v>
      </c>
      <c r="F28" s="564">
        <f t="shared" si="1"/>
        <v>-0.31017357157654013</v>
      </c>
      <c r="G28" s="149">
        <f t="shared" si="2"/>
        <v>1269.90585183435</v>
      </c>
      <c r="H28" s="149">
        <f t="shared" ref="H28:K28" si="18">SUM(($E28/5)+G28)*(1+$F$3)</f>
        <v>1218.8571720860307</v>
      </c>
      <c r="I28" s="149">
        <f t="shared" si="18"/>
        <v>1167.2980055402284</v>
      </c>
      <c r="J28" s="149">
        <f t="shared" si="18"/>
        <v>1115.223247328968</v>
      </c>
      <c r="K28" s="149">
        <f t="shared" si="18"/>
        <v>1062.6277415355951</v>
      </c>
    </row>
    <row r="29" spans="1:11" ht="15.75" customHeight="1" x14ac:dyDescent="0.45">
      <c r="A29" s="83" t="s">
        <v>104</v>
      </c>
      <c r="B29" s="65">
        <v>5431.5</v>
      </c>
      <c r="C29" s="83"/>
      <c r="D29" s="74">
        <v>6556.2524011916403</v>
      </c>
      <c r="E29" s="570">
        <f t="shared" si="0"/>
        <v>1124.7524011916403</v>
      </c>
      <c r="F29" s="564">
        <f t="shared" si="1"/>
        <v>0.17155416423370298</v>
      </c>
      <c r="G29" s="149">
        <f t="shared" si="2"/>
        <v>5656.4504802383281</v>
      </c>
      <c r="H29" s="149">
        <f t="shared" ref="H29:K29" si="19">SUM(($E29/5)+G29)*(1+$F$3)</f>
        <v>5940.2149700814225</v>
      </c>
      <c r="I29" s="149">
        <f t="shared" si="19"/>
        <v>6226.8171048229478</v>
      </c>
      <c r="J29" s="149">
        <f t="shared" si="19"/>
        <v>6516.2852609118891</v>
      </c>
      <c r="K29" s="149">
        <f t="shared" si="19"/>
        <v>6808.6480985617191</v>
      </c>
    </row>
    <row r="30" spans="1:11" ht="15.75" customHeight="1" x14ac:dyDescent="0.45">
      <c r="A30" s="58" t="s">
        <v>106</v>
      </c>
      <c r="B30" s="562">
        <v>1333.0224243756002</v>
      </c>
      <c r="C30" s="80"/>
      <c r="D30" s="74">
        <v>1105.3635441046358</v>
      </c>
      <c r="E30" s="570">
        <f t="shared" si="0"/>
        <v>-227.65888027096435</v>
      </c>
      <c r="F30" s="564">
        <f t="shared" si="1"/>
        <v>-0.20595837585305213</v>
      </c>
      <c r="G30" s="149">
        <f t="shared" si="2"/>
        <v>1287.4906483214072</v>
      </c>
      <c r="H30" s="149">
        <f t="shared" ref="H30:K30" si="20">SUM(($E30/5)+G30)*(1+$F$3)</f>
        <v>1254.3784609898864</v>
      </c>
      <c r="I30" s="149">
        <f t="shared" si="20"/>
        <v>1220.9351517850505</v>
      </c>
      <c r="J30" s="149">
        <f t="shared" si="20"/>
        <v>1187.1574094881662</v>
      </c>
      <c r="K30" s="149">
        <f t="shared" si="20"/>
        <v>1153.041889768313</v>
      </c>
    </row>
    <row r="31" spans="1:11" ht="15.75" customHeight="1" x14ac:dyDescent="0.45">
      <c r="A31" s="83" t="s">
        <v>108</v>
      </c>
      <c r="B31" s="65">
        <v>399.90672731268012</v>
      </c>
      <c r="C31" s="83"/>
      <c r="D31" s="74">
        <v>915.25432590675541</v>
      </c>
      <c r="E31" s="570">
        <f t="shared" si="0"/>
        <v>515.34759859407529</v>
      </c>
      <c r="F31" s="564">
        <f t="shared" si="1"/>
        <v>0.56306491431604344</v>
      </c>
      <c r="G31" s="149">
        <f t="shared" si="2"/>
        <v>502.97624703149518</v>
      </c>
      <c r="H31" s="149">
        <f t="shared" ref="H31:K31" si="21">SUM(($E31/5)+G31)*(1+$F$3)</f>
        <v>612.10622441781334</v>
      </c>
      <c r="I31" s="149">
        <f t="shared" si="21"/>
        <v>722.32750157799467</v>
      </c>
      <c r="J31" s="149">
        <f t="shared" si="21"/>
        <v>833.65099150977778</v>
      </c>
      <c r="K31" s="149">
        <f t="shared" si="21"/>
        <v>946.08771634087873</v>
      </c>
    </row>
    <row r="32" spans="1:11" ht="15.75" customHeight="1" x14ac:dyDescent="0.45">
      <c r="A32" s="83" t="s">
        <v>110</v>
      </c>
      <c r="B32" s="65">
        <v>13330.224243756003</v>
      </c>
      <c r="C32" s="83"/>
      <c r="D32" s="74">
        <v>12831.812991102379</v>
      </c>
      <c r="E32" s="570">
        <f t="shared" si="0"/>
        <v>-498.41125265362462</v>
      </c>
      <c r="F32" s="564">
        <f t="shared" si="1"/>
        <v>-3.8841841990623197E-2</v>
      </c>
      <c r="G32" s="149">
        <f t="shared" si="2"/>
        <v>13230.541993225279</v>
      </c>
      <c r="H32" s="149">
        <f t="shared" ref="H32:K32" si="22">SUM(($E32/5)+G32)*(1+$F$3)</f>
        <v>13262.1683401215</v>
      </c>
      <c r="I32" s="149">
        <f t="shared" si="22"/>
        <v>13294.110950486684</v>
      </c>
      <c r="J32" s="149">
        <f t="shared" si="22"/>
        <v>13326.372986955519</v>
      </c>
      <c r="K32" s="149">
        <f t="shared" si="22"/>
        <v>13358.957643789043</v>
      </c>
    </row>
    <row r="33" spans="1:11" ht="15.75" customHeight="1" x14ac:dyDescent="0.45">
      <c r="A33" s="103" t="s">
        <v>112</v>
      </c>
      <c r="B33" s="486">
        <v>1333.0224243756002</v>
      </c>
      <c r="C33" s="103"/>
      <c r="D33" s="74">
        <v>1008.5560985278329</v>
      </c>
      <c r="E33" s="570">
        <f t="shared" si="0"/>
        <v>-324.46632584776728</v>
      </c>
      <c r="F33" s="564">
        <f t="shared" si="1"/>
        <v>-0.32171371163327811</v>
      </c>
      <c r="G33" s="149">
        <f t="shared" si="2"/>
        <v>1268.1291592060468</v>
      </c>
      <c r="H33" s="149">
        <f t="shared" ref="H33:K33" si="23">SUM(($E33/5)+G33)*(1+$F$3)</f>
        <v>1215.2682529768583</v>
      </c>
      <c r="I33" s="149">
        <f t="shared" si="23"/>
        <v>1161.8787376853779</v>
      </c>
      <c r="J33" s="149">
        <f t="shared" si="23"/>
        <v>1107.9553272409828</v>
      </c>
      <c r="K33" s="149">
        <f t="shared" si="23"/>
        <v>1053.4926826921437</v>
      </c>
    </row>
    <row r="34" spans="1:11" ht="15.75" customHeight="1" x14ac:dyDescent="0.45">
      <c r="A34" s="83" t="s">
        <v>114</v>
      </c>
      <c r="B34" s="65">
        <v>13330.224243756003</v>
      </c>
      <c r="C34" s="83"/>
      <c r="D34" s="74">
        <v>19434.395647396359</v>
      </c>
      <c r="E34" s="570">
        <f t="shared" si="0"/>
        <v>6104.1714036403555</v>
      </c>
      <c r="F34" s="564">
        <f t="shared" si="1"/>
        <v>0.31409113585984527</v>
      </c>
      <c r="G34" s="149">
        <f t="shared" si="2"/>
        <v>14551.058524484075</v>
      </c>
      <c r="H34" s="149">
        <f t="shared" ref="H34:K34" si="24">SUM(($E34/5)+G34)*(1+$F$3)</f>
        <v>15929.611733264268</v>
      </c>
      <c r="I34" s="149">
        <f t="shared" si="24"/>
        <v>17321.950474132263</v>
      </c>
      <c r="J34" s="149">
        <f t="shared" si="24"/>
        <v>18728.212602408938</v>
      </c>
      <c r="K34" s="149">
        <f t="shared" si="24"/>
        <v>20148.537351968378</v>
      </c>
    </row>
    <row r="35" spans="1:11" ht="15.75" customHeight="1" x14ac:dyDescent="0.45">
      <c r="A35" s="83" t="s">
        <v>116</v>
      </c>
      <c r="B35" s="65">
        <v>2666.0448487512003</v>
      </c>
      <c r="C35" s="83"/>
      <c r="D35" s="74">
        <v>1992.0044557074202</v>
      </c>
      <c r="E35" s="570">
        <f t="shared" si="0"/>
        <v>-674.04039304378011</v>
      </c>
      <c r="F35" s="564">
        <f t="shared" si="1"/>
        <v>-0.33837293441414934</v>
      </c>
      <c r="G35" s="149">
        <f t="shared" si="2"/>
        <v>2531.2367701424441</v>
      </c>
      <c r="H35" s="149">
        <f t="shared" ref="H35:K35" si="25">SUM(($E35/5)+G35)*(1+$F$3)</f>
        <v>2420.3929784490247</v>
      </c>
      <c r="I35" s="149">
        <f t="shared" si="25"/>
        <v>2308.440748838671</v>
      </c>
      <c r="J35" s="149">
        <f t="shared" si="25"/>
        <v>2195.368996932214</v>
      </c>
      <c r="K35" s="149">
        <f t="shared" si="25"/>
        <v>2081.1665275066925</v>
      </c>
    </row>
    <row r="36" spans="1:11" ht="15.75" customHeight="1" x14ac:dyDescent="0.45">
      <c r="A36" s="105" t="s">
        <v>119</v>
      </c>
      <c r="B36" s="65">
        <v>1002.9406811968801</v>
      </c>
      <c r="C36" s="83"/>
      <c r="D36" s="74">
        <v>987.52278444796718</v>
      </c>
      <c r="E36" s="570">
        <f t="shared" si="0"/>
        <v>-15.417896748912881</v>
      </c>
      <c r="F36" s="564">
        <f t="shared" si="1"/>
        <v>-1.5612699769283403E-2</v>
      </c>
      <c r="G36" s="149">
        <f t="shared" si="2"/>
        <v>999.85710184709751</v>
      </c>
      <c r="H36" s="149">
        <f t="shared" ref="H36:K36" si="26">SUM(($E36/5)+G36)*(1+$F$3)</f>
        <v>1006.7412577222881</v>
      </c>
      <c r="I36" s="149">
        <f t="shared" si="26"/>
        <v>1013.6942551562306</v>
      </c>
      <c r="J36" s="149">
        <f t="shared" si="26"/>
        <v>1020.7167825645125</v>
      </c>
      <c r="K36" s="149">
        <f t="shared" si="26"/>
        <v>1027.8095352468772</v>
      </c>
    </row>
    <row r="37" spans="1:11" ht="15.75" customHeight="1" x14ac:dyDescent="0.45">
      <c r="A37" s="108" t="s">
        <v>121</v>
      </c>
      <c r="B37" s="486">
        <v>1600.1198999999999</v>
      </c>
      <c r="C37" s="103"/>
      <c r="D37" s="74">
        <v>1208.0239133177338</v>
      </c>
      <c r="E37" s="570">
        <f t="shared" si="0"/>
        <v>-392.09598668226613</v>
      </c>
      <c r="F37" s="564">
        <f t="shared" si="1"/>
        <v>-0.324576345186254</v>
      </c>
      <c r="G37" s="149">
        <f t="shared" si="2"/>
        <v>1521.7007026635467</v>
      </c>
      <c r="H37" s="149">
        <f t="shared" ref="H37:K37" si="27">SUM(($E37/5)+G37)*(1+$F$3)</f>
        <v>1457.7143203803646</v>
      </c>
      <c r="I37" s="149">
        <f t="shared" si="27"/>
        <v>1393.0880742743504</v>
      </c>
      <c r="J37" s="149">
        <f t="shared" si="27"/>
        <v>1327.8155657072762</v>
      </c>
      <c r="K37" s="149">
        <f t="shared" si="27"/>
        <v>1261.8903320545312</v>
      </c>
    </row>
    <row r="38" spans="1:11" ht="15.75" customHeight="1" x14ac:dyDescent="0.45">
      <c r="A38" s="83" t="s">
        <v>123</v>
      </c>
      <c r="B38" s="65">
        <v>399.90672731268012</v>
      </c>
      <c r="C38" s="83"/>
      <c r="D38" s="74">
        <v>633.41034793807535</v>
      </c>
      <c r="E38" s="570">
        <f t="shared" si="0"/>
        <v>233.50362062539523</v>
      </c>
      <c r="F38" s="564">
        <f t="shared" si="1"/>
        <v>0.36864509931912803</v>
      </c>
      <c r="G38" s="149">
        <f t="shared" si="2"/>
        <v>446.60745143775915</v>
      </c>
      <c r="H38" s="149">
        <f t="shared" ref="H38:K38" si="28">SUM(($E38/5)+G38)*(1+$F$3)</f>
        <v>498.24125731846658</v>
      </c>
      <c r="I38" s="149">
        <f t="shared" si="28"/>
        <v>550.3914012579811</v>
      </c>
      <c r="J38" s="149">
        <f t="shared" si="28"/>
        <v>603.06304663689082</v>
      </c>
      <c r="K38" s="149">
        <f t="shared" si="28"/>
        <v>656.26140846958958</v>
      </c>
    </row>
    <row r="39" spans="1:11" ht="15.75" customHeight="1" x14ac:dyDescent="0.45">
      <c r="A39" s="83" t="s">
        <v>125</v>
      </c>
      <c r="B39" s="65">
        <v>1600.1198999999999</v>
      </c>
      <c r="C39" s="83"/>
      <c r="D39" s="74">
        <v>2501.672990343789</v>
      </c>
      <c r="E39" s="570">
        <f t="shared" si="0"/>
        <v>901.55309034378911</v>
      </c>
      <c r="F39" s="564">
        <f t="shared" si="1"/>
        <v>0.36038007118584048</v>
      </c>
      <c r="G39" s="149">
        <f t="shared" si="2"/>
        <v>1780.4305180687577</v>
      </c>
      <c r="H39" s="149">
        <f t="shared" ref="H39:K39" si="29">SUM(($E39/5)+G39)*(1+$F$3)</f>
        <v>1980.3485474988906</v>
      </c>
      <c r="I39" s="149">
        <f t="shared" si="29"/>
        <v>2182.2657572233247</v>
      </c>
      <c r="J39" s="149">
        <f t="shared" si="29"/>
        <v>2386.2021390450032</v>
      </c>
      <c r="K39" s="149">
        <f t="shared" si="29"/>
        <v>2592.1778846848983</v>
      </c>
    </row>
    <row r="40" spans="1:11" ht="15.75" customHeight="1" x14ac:dyDescent="0.45">
      <c r="A40" s="95" t="s">
        <v>127</v>
      </c>
      <c r="B40" s="493">
        <v>399.90672731268012</v>
      </c>
      <c r="C40" s="95"/>
      <c r="D40" s="74">
        <v>587.40925313170885</v>
      </c>
      <c r="E40" s="570">
        <f t="shared" si="0"/>
        <v>187.50252581902873</v>
      </c>
      <c r="F40" s="564">
        <f t="shared" si="1"/>
        <v>0.31920254034028117</v>
      </c>
      <c r="G40" s="149">
        <f t="shared" si="2"/>
        <v>437.40723247648589</v>
      </c>
      <c r="H40" s="149">
        <f t="shared" ref="H40:K40" si="30">SUM(($E40/5)+G40)*(1+$F$3)</f>
        <v>479.65681501669457</v>
      </c>
      <c r="I40" s="149">
        <f t="shared" si="30"/>
        <v>522.3288933823053</v>
      </c>
      <c r="J40" s="149">
        <f t="shared" si="30"/>
        <v>565.42769253157223</v>
      </c>
      <c r="K40" s="149">
        <f t="shared" si="30"/>
        <v>608.95747967233183</v>
      </c>
    </row>
    <row r="41" spans="1:11" ht="15.75" customHeight="1" x14ac:dyDescent="0.45">
      <c r="A41" s="86" t="s">
        <v>129</v>
      </c>
      <c r="B41" s="65">
        <v>5332.0896975024007</v>
      </c>
      <c r="C41" s="86"/>
      <c r="D41" s="74">
        <v>1171.9484256094472</v>
      </c>
      <c r="E41" s="570">
        <f t="shared" si="0"/>
        <v>-4160.1412718929532</v>
      </c>
      <c r="F41" s="564">
        <f t="shared" si="1"/>
        <v>-3.5497648027724078</v>
      </c>
      <c r="G41" s="149">
        <f t="shared" si="2"/>
        <v>4500.06144312381</v>
      </c>
      <c r="H41" s="149">
        <f t="shared" ref="H41:K41" si="31">SUM(($E41/5)+G41)*(1+$F$3)</f>
        <v>3704.7135206326716</v>
      </c>
      <c r="I41" s="149">
        <f t="shared" si="31"/>
        <v>2901.4121189166217</v>
      </c>
      <c r="J41" s="149">
        <f t="shared" si="31"/>
        <v>2090.0777031834114</v>
      </c>
      <c r="K41" s="149">
        <f t="shared" si="31"/>
        <v>1270.629943292869</v>
      </c>
    </row>
    <row r="42" spans="1:11" ht="15.75" customHeight="1" x14ac:dyDescent="0.45">
      <c r="A42" s="83" t="s">
        <v>131</v>
      </c>
      <c r="B42" s="65">
        <v>13330.224243756003</v>
      </c>
      <c r="C42" s="83"/>
      <c r="D42" s="74">
        <v>16669.678927755602</v>
      </c>
      <c r="E42" s="570">
        <f t="shared" si="0"/>
        <v>3339.4546839995983</v>
      </c>
      <c r="F42" s="564">
        <f t="shared" si="1"/>
        <v>0.20033107407001635</v>
      </c>
      <c r="G42" s="149">
        <f t="shared" si="2"/>
        <v>13998.115180555924</v>
      </c>
      <c r="H42" s="149">
        <f t="shared" ref="H42:K42" si="32">SUM(($E42/5)+G42)*(1+$F$3)</f>
        <v>14812.666178529404</v>
      </c>
      <c r="I42" s="149">
        <f t="shared" si="32"/>
        <v>15635.362686482616</v>
      </c>
      <c r="J42" s="149">
        <f t="shared" si="32"/>
        <v>16466.286159515363</v>
      </c>
      <c r="K42" s="149">
        <f t="shared" si="32"/>
        <v>17305.518867278435</v>
      </c>
    </row>
    <row r="43" spans="1:11" ht="15.75" customHeight="1" x14ac:dyDescent="0.45">
      <c r="A43" s="83" t="s">
        <v>133</v>
      </c>
      <c r="B43" s="65">
        <v>10638.788491683363</v>
      </c>
      <c r="C43" s="83"/>
      <c r="D43" s="74">
        <v>7355.0990621232277</v>
      </c>
      <c r="E43" s="570">
        <f t="shared" si="0"/>
        <v>-3283.6894295601351</v>
      </c>
      <c r="F43" s="564">
        <f t="shared" si="1"/>
        <v>-0.4464507414278413</v>
      </c>
      <c r="G43" s="149">
        <f t="shared" si="2"/>
        <v>9982.0506057713355</v>
      </c>
      <c r="H43" s="149">
        <f t="shared" ref="H43:K43" si="33">SUM(($E43/5)+G43)*(1+$F$3)</f>
        <v>9418.5658470579019</v>
      </c>
      <c r="I43" s="149">
        <f t="shared" si="33"/>
        <v>8849.4462407573337</v>
      </c>
      <c r="J43" s="149">
        <f t="shared" si="33"/>
        <v>8274.6354383937596</v>
      </c>
      <c r="K43" s="149">
        <f t="shared" si="33"/>
        <v>7694.0765280065498</v>
      </c>
    </row>
    <row r="44" spans="1:11" ht="15.75" customHeight="1" x14ac:dyDescent="0.45">
      <c r="A44" s="80" t="s">
        <v>136</v>
      </c>
      <c r="B44" s="562">
        <v>10638.788491683363</v>
      </c>
      <c r="C44" s="80"/>
      <c r="D44" s="74">
        <v>7646.4781074416605</v>
      </c>
      <c r="E44" s="570">
        <f t="shared" si="0"/>
        <v>-2992.3103842417022</v>
      </c>
      <c r="F44" s="564">
        <f t="shared" si="1"/>
        <v>-0.39133184483056893</v>
      </c>
      <c r="G44" s="149">
        <f t="shared" si="2"/>
        <v>10040.326414835023</v>
      </c>
      <c r="H44" s="149">
        <f t="shared" ref="H44:K44" si="34">SUM(($E44/5)+G44)*(1+$F$3)</f>
        <v>9536.2829813665503</v>
      </c>
      <c r="I44" s="149">
        <f t="shared" si="34"/>
        <v>9027.1991135633925</v>
      </c>
      <c r="J44" s="149">
        <f t="shared" si="34"/>
        <v>8513.0244070822027</v>
      </c>
      <c r="K44" s="149">
        <f t="shared" si="34"/>
        <v>7993.7079535362018</v>
      </c>
    </row>
    <row r="45" spans="1:11" ht="15.75" customHeight="1" x14ac:dyDescent="0.45">
      <c r="A45" s="96" t="s">
        <v>138</v>
      </c>
      <c r="B45" s="65">
        <v>1333.0224243756002</v>
      </c>
      <c r="C45" s="83"/>
      <c r="D45" s="74">
        <v>1079.6875845537891</v>
      </c>
      <c r="E45" s="570">
        <f t="shared" si="0"/>
        <v>-253.3348398218111</v>
      </c>
      <c r="F45" s="564">
        <f t="shared" si="1"/>
        <v>-0.23463717046122076</v>
      </c>
      <c r="G45" s="149">
        <f t="shared" si="2"/>
        <v>1282.355456411238</v>
      </c>
      <c r="H45" s="149">
        <f t="shared" ref="H45:K45" si="35">SUM(($E45/5)+G45)*(1+$F$3)</f>
        <v>1244.0053733313446</v>
      </c>
      <c r="I45" s="149">
        <f t="shared" si="35"/>
        <v>1205.2717894206523</v>
      </c>
      <c r="J45" s="149">
        <f t="shared" si="35"/>
        <v>1166.1508696708531</v>
      </c>
      <c r="K45" s="149">
        <f t="shared" si="35"/>
        <v>1126.6387407235559</v>
      </c>
    </row>
    <row r="46" spans="1:11" ht="15.75" customHeight="1" x14ac:dyDescent="0.45">
      <c r="A46" s="83" t="s">
        <v>140</v>
      </c>
      <c r="B46" s="65">
        <v>1802.7541358222402</v>
      </c>
      <c r="C46" s="83"/>
      <c r="D46" s="74">
        <v>3479.6832854186305</v>
      </c>
      <c r="E46" s="570">
        <f t="shared" si="0"/>
        <v>1676.9291495963903</v>
      </c>
      <c r="F46" s="564">
        <f t="shared" si="1"/>
        <v>0.48192005192640508</v>
      </c>
      <c r="G46" s="149">
        <f t="shared" si="2"/>
        <v>2138.1399657415182</v>
      </c>
      <c r="H46" s="149">
        <f t="shared" ref="H46:K46" si="36">SUM(($E46/5)+G46)*(1+$F$3)</f>
        <v>2498.2610536174043</v>
      </c>
      <c r="I46" s="149">
        <f t="shared" si="36"/>
        <v>2861.983352372049</v>
      </c>
      <c r="J46" s="149">
        <f t="shared" si="36"/>
        <v>3229.3428741142402</v>
      </c>
      <c r="K46" s="149">
        <f t="shared" si="36"/>
        <v>3600.3759910738536</v>
      </c>
    </row>
    <row r="47" spans="1:11" ht="15.75" customHeight="1" x14ac:dyDescent="0.45">
      <c r="A47" s="83" t="s">
        <v>142</v>
      </c>
      <c r="B47" s="65">
        <v>13330.224243756003</v>
      </c>
      <c r="C47" s="83"/>
      <c r="D47" s="74">
        <v>15262.870144887562</v>
      </c>
      <c r="E47" s="570">
        <f t="shared" si="0"/>
        <v>1932.6459011315583</v>
      </c>
      <c r="F47" s="564">
        <f t="shared" si="1"/>
        <v>0.12662401519408298</v>
      </c>
      <c r="G47" s="149">
        <f t="shared" si="2"/>
        <v>13716.753423982314</v>
      </c>
      <c r="H47" s="149">
        <f t="shared" ref="H47:K47" si="37">SUM(($E47/5)+G47)*(1+$F$3)</f>
        <v>14244.315430250712</v>
      </c>
      <c r="I47" s="149">
        <f t="shared" si="37"/>
        <v>14777.153056581794</v>
      </c>
      <c r="J47" s="149">
        <f t="shared" si="37"/>
        <v>15315.319059176187</v>
      </c>
      <c r="K47" s="149">
        <f t="shared" si="37"/>
        <v>15858.866721796523</v>
      </c>
    </row>
    <row r="48" spans="1:11" ht="15.75" customHeight="1" x14ac:dyDescent="0.45">
      <c r="A48" s="83" t="s">
        <v>144</v>
      </c>
      <c r="B48" s="65">
        <v>2666.0448487512003</v>
      </c>
      <c r="C48" s="83"/>
      <c r="D48" s="74">
        <v>1374.9095518595896</v>
      </c>
      <c r="E48" s="570">
        <f t="shared" si="0"/>
        <v>-1291.1352968916108</v>
      </c>
      <c r="F48" s="564">
        <f t="shared" si="1"/>
        <v>-0.93906926106181121</v>
      </c>
      <c r="G48" s="149">
        <f t="shared" si="2"/>
        <v>2407.817789372878</v>
      </c>
      <c r="H48" s="149">
        <f t="shared" ref="H48:K48" si="38">SUM(($E48/5)+G48)*(1+$F$3)</f>
        <v>2171.0866372945011</v>
      </c>
      <c r="I48" s="149">
        <f t="shared" si="38"/>
        <v>1931.9881736953407</v>
      </c>
      <c r="J48" s="149">
        <f t="shared" si="38"/>
        <v>1690.4987254601888</v>
      </c>
      <c r="K48" s="149">
        <f t="shared" si="38"/>
        <v>1446.5943827426854</v>
      </c>
    </row>
    <row r="49" spans="1:11" ht="15.75" customHeight="1" x14ac:dyDescent="0.45">
      <c r="A49" s="83" t="s">
        <v>146</v>
      </c>
      <c r="B49" s="65">
        <v>1333.0224243756002</v>
      </c>
      <c r="C49" s="83"/>
      <c r="D49" s="74">
        <v>1172.7938017590106</v>
      </c>
      <c r="E49" s="570">
        <f t="shared" si="0"/>
        <v>-160.22862261658952</v>
      </c>
      <c r="F49" s="564">
        <f t="shared" si="1"/>
        <v>-0.13662130749350071</v>
      </c>
      <c r="G49" s="149">
        <f t="shared" si="2"/>
        <v>1300.9766998522823</v>
      </c>
      <c r="H49" s="149">
        <f t="shared" ref="H49:K49" si="39">SUM(($E49/5)+G49)*(1+$F$3)</f>
        <v>1281.6202850822542</v>
      </c>
      <c r="I49" s="149">
        <f t="shared" si="39"/>
        <v>1262.0703061645256</v>
      </c>
      <c r="J49" s="149">
        <f t="shared" si="39"/>
        <v>1242.3248274576199</v>
      </c>
      <c r="K49" s="149">
        <f t="shared" si="39"/>
        <v>1222.3818939636451</v>
      </c>
    </row>
    <row r="50" spans="1:11" ht="15.75" customHeight="1" x14ac:dyDescent="0.45">
      <c r="A50" s="83" t="s">
        <v>148</v>
      </c>
      <c r="B50" s="65">
        <v>10638.788491683363</v>
      </c>
      <c r="C50" s="83"/>
      <c r="D50" s="74">
        <v>7013.1410359073325</v>
      </c>
      <c r="E50" s="570">
        <f t="shared" si="0"/>
        <v>-3625.6474557760303</v>
      </c>
      <c r="F50" s="564">
        <f t="shared" si="1"/>
        <v>-0.51697911637776695</v>
      </c>
      <c r="G50" s="149">
        <f t="shared" si="2"/>
        <v>9913.659000528156</v>
      </c>
      <c r="H50" s="149">
        <f t="shared" ref="H50:K50" si="40">SUM(($E50/5)+G50)*(1+$F$3)</f>
        <v>9280.4148044666781</v>
      </c>
      <c r="I50" s="149">
        <f t="shared" si="40"/>
        <v>8640.838166444586</v>
      </c>
      <c r="J50" s="149">
        <f t="shared" si="40"/>
        <v>7994.8657620422737</v>
      </c>
      <c r="K50" s="149">
        <f t="shared" si="40"/>
        <v>7342.4336335959388</v>
      </c>
    </row>
    <row r="51" spans="1:11" ht="15.75" customHeight="1" x14ac:dyDescent="0.45">
      <c r="A51" s="80" t="s">
        <v>150</v>
      </c>
      <c r="B51" s="562">
        <v>13330.224243756003</v>
      </c>
      <c r="C51" s="80"/>
      <c r="D51" s="74">
        <v>15555.72731107117</v>
      </c>
      <c r="E51" s="570">
        <f t="shared" si="0"/>
        <v>2225.5030673151668</v>
      </c>
      <c r="F51" s="564">
        <f t="shared" si="1"/>
        <v>0.14306647466950989</v>
      </c>
      <c r="G51" s="149">
        <f t="shared" si="2"/>
        <v>13775.324857219037</v>
      </c>
      <c r="H51" s="149">
        <f t="shared" ref="H51:K51" si="41">SUM(($E51/5)+G51)*(1+$F$3)</f>
        <v>14362.629725388892</v>
      </c>
      <c r="I51" s="149">
        <f t="shared" si="41"/>
        <v>14955.807642240445</v>
      </c>
      <c r="J51" s="149">
        <f t="shared" si="41"/>
        <v>15554.917338260513</v>
      </c>
      <c r="K51" s="149">
        <f t="shared" si="41"/>
        <v>16160.018131240782</v>
      </c>
    </row>
    <row r="52" spans="1:11" ht="15.75" customHeight="1" x14ac:dyDescent="0.45">
      <c r="A52" s="80" t="s">
        <v>152</v>
      </c>
      <c r="B52" s="562">
        <v>1802.7541358222402</v>
      </c>
      <c r="C52" s="80"/>
      <c r="D52" s="74">
        <v>1662.5955845837605</v>
      </c>
      <c r="E52" s="570">
        <f t="shared" si="0"/>
        <v>-140.15855123847973</v>
      </c>
      <c r="F52" s="564">
        <f t="shared" si="1"/>
        <v>-8.4301048636291884E-2</v>
      </c>
      <c r="G52" s="149">
        <f t="shared" si="2"/>
        <v>1774.7224255745443</v>
      </c>
      <c r="H52" s="149">
        <f t="shared" ref="H52:K52" si="42">SUM(($E52/5)+G52)*(1+$F$3)</f>
        <v>1764.157622480117</v>
      </c>
      <c r="I52" s="149">
        <f t="shared" si="42"/>
        <v>1753.4871713547454</v>
      </c>
      <c r="J52" s="149">
        <f t="shared" si="42"/>
        <v>1742.7100157181201</v>
      </c>
      <c r="K52" s="149">
        <f t="shared" si="42"/>
        <v>1731.8250885251284</v>
      </c>
    </row>
    <row r="53" spans="1:11" ht="15.75" customHeight="1" x14ac:dyDescent="0.45">
      <c r="A53" s="83" t="s">
        <v>154</v>
      </c>
      <c r="B53" s="65">
        <v>1599.6269092507205</v>
      </c>
      <c r="C53" s="83"/>
      <c r="D53" s="74">
        <v>2352.2426973647648</v>
      </c>
      <c r="E53" s="570">
        <f t="shared" si="0"/>
        <v>752.61578811404434</v>
      </c>
      <c r="F53" s="564">
        <f t="shared" si="1"/>
        <v>0.31995669025020484</v>
      </c>
      <c r="G53" s="149">
        <f t="shared" si="2"/>
        <v>1750.1500668735293</v>
      </c>
      <c r="H53" s="149">
        <f t="shared" ref="H53:K53" si="43">SUM(($E53/5)+G53)*(1+$F$3)</f>
        <v>1919.6799567413016</v>
      </c>
      <c r="I53" s="149">
        <f t="shared" si="43"/>
        <v>2090.905145507752</v>
      </c>
      <c r="J53" s="149">
        <f t="shared" si="43"/>
        <v>2263.8425861618666</v>
      </c>
      <c r="K53" s="149">
        <f t="shared" si="43"/>
        <v>2438.5094012225222</v>
      </c>
    </row>
    <row r="54" spans="1:11" ht="15.75" customHeight="1" x14ac:dyDescent="0.45">
      <c r="A54" s="103" t="s">
        <v>156</v>
      </c>
      <c r="B54" s="486">
        <v>1333.0224243756002</v>
      </c>
      <c r="C54" s="103"/>
      <c r="D54" s="74">
        <v>1517.9656122000029</v>
      </c>
      <c r="E54" s="570">
        <f t="shared" si="0"/>
        <v>184.94318782440268</v>
      </c>
      <c r="F54" s="564">
        <f t="shared" si="1"/>
        <v>0.12183621706447134</v>
      </c>
      <c r="G54" s="149">
        <f t="shared" si="2"/>
        <v>1370.0110619404807</v>
      </c>
      <c r="H54" s="149">
        <f t="shared" ref="H54:K54" si="44">SUM(($E54/5)+G54)*(1+$F$3)</f>
        <v>1421.0696965004147</v>
      </c>
      <c r="I54" s="149">
        <f t="shared" si="44"/>
        <v>1472.6389174059482</v>
      </c>
      <c r="J54" s="149">
        <f t="shared" si="44"/>
        <v>1524.7238305205369</v>
      </c>
      <c r="K54" s="149">
        <f t="shared" si="44"/>
        <v>1577.3295927662716</v>
      </c>
    </row>
    <row r="55" spans="1:11" ht="15.75" customHeight="1" x14ac:dyDescent="0.45">
      <c r="A55" s="58" t="s">
        <v>157</v>
      </c>
      <c r="B55" s="562">
        <v>1802.7541358222402</v>
      </c>
      <c r="C55" s="80"/>
      <c r="D55" s="74">
        <v>2078.6429363405264</v>
      </c>
      <c r="E55" s="570">
        <f t="shared" si="0"/>
        <v>275.88880051828619</v>
      </c>
      <c r="F55" s="564">
        <f t="shared" si="1"/>
        <v>0.13272544105337852</v>
      </c>
      <c r="G55" s="149">
        <f t="shared" si="2"/>
        <v>1857.9318959258974</v>
      </c>
      <c r="H55" s="149">
        <f t="shared" ref="H55:K55" si="45">SUM(($E55/5)+G55)*(1+$F$3)</f>
        <v>1932.2407525898502</v>
      </c>
      <c r="I55" s="149">
        <f t="shared" si="45"/>
        <v>2007.2926978204425</v>
      </c>
      <c r="J55" s="149">
        <f t="shared" si="45"/>
        <v>2083.0951625033408</v>
      </c>
      <c r="K55" s="149">
        <f t="shared" si="45"/>
        <v>2159.6556518330681</v>
      </c>
    </row>
    <row r="56" spans="1:11" ht="15.75" customHeight="1" x14ac:dyDescent="0.45">
      <c r="A56" s="83" t="s">
        <v>159</v>
      </c>
      <c r="B56" s="65">
        <v>399.90672731268012</v>
      </c>
      <c r="C56" s="83"/>
      <c r="D56" s="74">
        <v>584.84501498826501</v>
      </c>
      <c r="E56" s="570">
        <f t="shared" si="0"/>
        <v>184.93828767558489</v>
      </c>
      <c r="F56" s="564">
        <f t="shared" si="1"/>
        <v>0.31621760113539771</v>
      </c>
      <c r="G56" s="149">
        <f t="shared" si="2"/>
        <v>436.89438484779708</v>
      </c>
      <c r="H56" s="149">
        <f t="shared" ref="H56:K56" si="46">SUM(($E56/5)+G56)*(1+$F$3)</f>
        <v>478.62086280674322</v>
      </c>
      <c r="I56" s="149">
        <f t="shared" si="46"/>
        <v>520.76460554527876</v>
      </c>
      <c r="J56" s="149">
        <f t="shared" si="46"/>
        <v>563.32978571119975</v>
      </c>
      <c r="K56" s="149">
        <f t="shared" si="46"/>
        <v>606.32061767877997</v>
      </c>
    </row>
    <row r="57" spans="1:11" ht="15.75" customHeight="1" x14ac:dyDescent="0.45">
      <c r="A57" s="95" t="s">
        <v>161</v>
      </c>
      <c r="B57" s="493">
        <v>399.90672731268012</v>
      </c>
      <c r="C57" s="95"/>
      <c r="D57" s="74">
        <v>570.81598355970232</v>
      </c>
      <c r="E57" s="570">
        <f t="shared" si="0"/>
        <v>170.9092562470222</v>
      </c>
      <c r="F57" s="564">
        <f t="shared" si="1"/>
        <v>0.29941217690017013</v>
      </c>
      <c r="G57" s="149">
        <f t="shared" si="2"/>
        <v>434.08857856208454</v>
      </c>
      <c r="H57" s="149">
        <f t="shared" ref="H57:K57" si="47">SUM(($E57/5)+G57)*(1+$F$3)</f>
        <v>472.95313410960387</v>
      </c>
      <c r="I57" s="149">
        <f t="shared" si="47"/>
        <v>512.20633521259833</v>
      </c>
      <c r="J57" s="149">
        <f t="shared" si="47"/>
        <v>551.85206832662277</v>
      </c>
      <c r="K57" s="149">
        <f t="shared" si="47"/>
        <v>591.89425877178746</v>
      </c>
    </row>
    <row r="58" spans="1:11" ht="15.75" customHeight="1" x14ac:dyDescent="0.45">
      <c r="A58" s="83" t="s">
        <v>163</v>
      </c>
      <c r="B58" s="65">
        <v>13330.224243756003</v>
      </c>
      <c r="C58" s="83"/>
      <c r="D58" s="74">
        <v>21115.08562878161</v>
      </c>
      <c r="E58" s="570">
        <f t="shared" si="0"/>
        <v>7784.8613850256061</v>
      </c>
      <c r="F58" s="564">
        <f t="shared" si="1"/>
        <v>0.36868718043057308</v>
      </c>
      <c r="G58" s="149">
        <f t="shared" si="2"/>
        <v>14887.196520761125</v>
      </c>
      <c r="H58" s="149">
        <f t="shared" ref="H58:K58" si="48">SUM(($E58/5)+G58)*(1+$F$3)</f>
        <v>16608.610485743906</v>
      </c>
      <c r="I58" s="149">
        <f t="shared" si="48"/>
        <v>18347.238590376521</v>
      </c>
      <c r="J58" s="149">
        <f t="shared" si="48"/>
        <v>20103.252976055457</v>
      </c>
      <c r="K58" s="149">
        <f t="shared" si="48"/>
        <v>21876.827505591184</v>
      </c>
    </row>
    <row r="59" spans="1:11" ht="15.75" customHeight="1" x14ac:dyDescent="0.45">
      <c r="A59" s="86" t="s">
        <v>165</v>
      </c>
      <c r="B59" s="65">
        <v>6665.1121218780017</v>
      </c>
      <c r="C59" s="86"/>
      <c r="D59" s="74">
        <v>2584.0466337741318</v>
      </c>
      <c r="E59" s="570">
        <f t="shared" si="0"/>
        <v>-4081.0654881038699</v>
      </c>
      <c r="F59" s="564">
        <f t="shared" si="1"/>
        <v>-1.5793312066289089</v>
      </c>
      <c r="G59" s="149">
        <f t="shared" si="2"/>
        <v>5848.8990242572281</v>
      </c>
      <c r="H59" s="149">
        <f t="shared" ref="H59:K59" si="49">SUM(($E59/5)+G59)*(1+$F$3)</f>
        <v>5083.0127859028189</v>
      </c>
      <c r="I59" s="149">
        <f t="shared" si="49"/>
        <v>4309.4676851648655</v>
      </c>
      <c r="J59" s="149">
        <f t="shared" si="49"/>
        <v>3528.1871334195325</v>
      </c>
      <c r="K59" s="149">
        <f t="shared" si="49"/>
        <v>2739.0937761567461</v>
      </c>
    </row>
    <row r="60" spans="1:11" ht="15.75" customHeight="1" x14ac:dyDescent="0.45">
      <c r="A60" s="80" t="s">
        <v>167</v>
      </c>
      <c r="B60" s="562">
        <v>1333.0224243756002</v>
      </c>
      <c r="C60" s="80"/>
      <c r="D60" s="74">
        <v>1200.0652552992431</v>
      </c>
      <c r="E60" s="570">
        <f t="shared" si="0"/>
        <v>-132.9571690763571</v>
      </c>
      <c r="F60" s="564">
        <f t="shared" si="1"/>
        <v>-0.11079161611357832</v>
      </c>
      <c r="G60" s="149">
        <f t="shared" si="2"/>
        <v>1306.4309905603288</v>
      </c>
      <c r="H60" s="149">
        <f t="shared" ref="H60:K60" si="50">SUM(($E60/5)+G60)*(1+$F$3)</f>
        <v>1292.6379523125081</v>
      </c>
      <c r="I60" s="149">
        <f t="shared" si="50"/>
        <v>1278.7069836822091</v>
      </c>
      <c r="J60" s="149">
        <f t="shared" si="50"/>
        <v>1264.6367053656072</v>
      </c>
      <c r="K60" s="149">
        <f t="shared" si="50"/>
        <v>1250.4257242658393</v>
      </c>
    </row>
    <row r="61" spans="1:11" ht="15.75" customHeight="1" x14ac:dyDescent="0.45">
      <c r="A61" s="80" t="s">
        <v>169</v>
      </c>
      <c r="B61" s="562">
        <v>10638.788491683363</v>
      </c>
      <c r="C61" s="80"/>
      <c r="D61" s="74">
        <v>4587.1470874326824</v>
      </c>
      <c r="E61" s="570">
        <f t="shared" si="0"/>
        <v>-6051.6414042506804</v>
      </c>
      <c r="F61" s="564">
        <f t="shared" si="1"/>
        <v>-1.3192603788158972</v>
      </c>
      <c r="G61" s="149">
        <f t="shared" si="2"/>
        <v>9428.4602108332274</v>
      </c>
      <c r="H61" s="149">
        <f t="shared" ref="H61:K61" si="51">SUM(($E61/5)+G61)*(1+$F$3)</f>
        <v>8300.3132492829227</v>
      </c>
      <c r="I61" s="149">
        <f t="shared" si="51"/>
        <v>7160.8848181171143</v>
      </c>
      <c r="J61" s="149">
        <f t="shared" si="51"/>
        <v>6010.0621026396475</v>
      </c>
      <c r="K61" s="149">
        <f t="shared" si="51"/>
        <v>4847.7311600074063</v>
      </c>
    </row>
    <row r="62" spans="1:11" ht="15.75" customHeight="1" x14ac:dyDescent="0.45">
      <c r="A62" s="83" t="s">
        <v>171</v>
      </c>
      <c r="B62" s="65">
        <v>1802.7541358222402</v>
      </c>
      <c r="C62" s="83"/>
      <c r="D62" s="74">
        <v>2891.4224419708921</v>
      </c>
      <c r="E62" s="570">
        <f t="shared" si="0"/>
        <v>1088.6683061486519</v>
      </c>
      <c r="F62" s="564">
        <f t="shared" si="1"/>
        <v>0.37651651669639064</v>
      </c>
      <c r="G62" s="149">
        <f t="shared" si="2"/>
        <v>2020.4877970519706</v>
      </c>
      <c r="H62" s="149">
        <f t="shared" ref="H62:K62" si="52">SUM(($E62/5)+G62)*(1+$F$3)</f>
        <v>2260.6036728645181</v>
      </c>
      <c r="I62" s="149">
        <f t="shared" si="52"/>
        <v>2503.120707435191</v>
      </c>
      <c r="J62" s="149">
        <f t="shared" si="52"/>
        <v>2748.0629123515705</v>
      </c>
      <c r="K62" s="149">
        <f t="shared" si="52"/>
        <v>2995.4545393171138</v>
      </c>
    </row>
    <row r="63" spans="1:11" ht="15.75" customHeight="1" x14ac:dyDescent="0.45">
      <c r="A63" s="78" t="s">
        <v>173</v>
      </c>
      <c r="B63" s="486">
        <v>1600.1198999999999</v>
      </c>
      <c r="C63" s="103"/>
      <c r="D63" s="74">
        <v>2735.3898195566653</v>
      </c>
      <c r="E63" s="570">
        <f t="shared" si="0"/>
        <v>1135.2699195566654</v>
      </c>
      <c r="F63" s="564">
        <f t="shared" si="1"/>
        <v>0.41503039582879736</v>
      </c>
      <c r="G63" s="149">
        <f t="shared" si="2"/>
        <v>1827.173883911333</v>
      </c>
      <c r="H63" s="149">
        <f t="shared" ref="H63:K63" si="53">SUM(($E63/5)+G63)*(1+$F$3)</f>
        <v>2074.7701465008927</v>
      </c>
      <c r="I63" s="149">
        <f t="shared" si="53"/>
        <v>2324.8423717163478</v>
      </c>
      <c r="J63" s="149">
        <f t="shared" si="53"/>
        <v>2577.4153191839578</v>
      </c>
      <c r="K63" s="149">
        <f t="shared" si="53"/>
        <v>2832.5139961262439</v>
      </c>
    </row>
    <row r="64" spans="1:11" ht="15.75" customHeight="1" x14ac:dyDescent="0.45">
      <c r="A64" s="83" t="s">
        <v>175</v>
      </c>
      <c r="B64" s="65">
        <v>1333.0224243756002</v>
      </c>
      <c r="C64" s="83"/>
      <c r="D64" s="74">
        <v>1071.3988907269322</v>
      </c>
      <c r="E64" s="570">
        <f t="shared" si="0"/>
        <v>-261.62353364866794</v>
      </c>
      <c r="F64" s="564">
        <f t="shared" si="1"/>
        <v>-0.24418872925205223</v>
      </c>
      <c r="G64" s="149">
        <f t="shared" si="2"/>
        <v>1280.6977176458665</v>
      </c>
      <c r="H64" s="149">
        <f t="shared" ref="H64:K64" si="54">SUM(($E64/5)+G64)*(1+$F$3)</f>
        <v>1240.6567410252942</v>
      </c>
      <c r="I64" s="149">
        <f t="shared" si="54"/>
        <v>1200.2153546385161</v>
      </c>
      <c r="J64" s="149">
        <f t="shared" si="54"/>
        <v>1159.3695543878703</v>
      </c>
      <c r="K64" s="149">
        <f t="shared" si="54"/>
        <v>1118.1152961347179</v>
      </c>
    </row>
    <row r="65" spans="1:11" ht="15.75" customHeight="1" x14ac:dyDescent="0.45">
      <c r="A65" s="83" t="s">
        <v>177</v>
      </c>
      <c r="B65" s="65">
        <v>1599.6269092507205</v>
      </c>
      <c r="C65" s="83"/>
      <c r="D65" s="74">
        <v>1669.5985474132588</v>
      </c>
      <c r="E65" s="570">
        <f t="shared" si="0"/>
        <v>69.971638162538284</v>
      </c>
      <c r="F65" s="564">
        <f t="shared" si="1"/>
        <v>4.1909259127558954E-2</v>
      </c>
      <c r="G65" s="149">
        <f t="shared" si="2"/>
        <v>1613.6212368832282</v>
      </c>
      <c r="H65" s="149">
        <f t="shared" ref="H65:K65" si="55">SUM(($E65/5)+G65)*(1+$F$3)</f>
        <v>1643.8917201608933</v>
      </c>
      <c r="I65" s="149">
        <f t="shared" si="55"/>
        <v>1674.4649082713352</v>
      </c>
      <c r="J65" s="149">
        <f t="shared" si="55"/>
        <v>1705.3438282628813</v>
      </c>
      <c r="K65" s="149">
        <f t="shared" si="55"/>
        <v>1736.5315374543429</v>
      </c>
    </row>
    <row r="66" spans="1:11" ht="15.75" customHeight="1" x14ac:dyDescent="0.45">
      <c r="A66" s="118" t="s">
        <v>179</v>
      </c>
      <c r="B66" s="566">
        <v>1600.1198999999999</v>
      </c>
      <c r="C66" s="545"/>
      <c r="D66" s="74">
        <v>1308.5784553234905</v>
      </c>
      <c r="E66" s="570">
        <f t="shared" si="0"/>
        <v>-291.5414446765094</v>
      </c>
      <c r="F66" s="564">
        <f t="shared" si="1"/>
        <v>-0.22279248408108487</v>
      </c>
      <c r="G66" s="149">
        <f t="shared" si="2"/>
        <v>1541.8116110646981</v>
      </c>
      <c r="H66" s="149">
        <f t="shared" ref="H66:K66" si="56">SUM(($E66/5)+G66)*(1+$F$3)</f>
        <v>1498.3383553506903</v>
      </c>
      <c r="I66" s="149">
        <f t="shared" si="56"/>
        <v>1454.4303670795425</v>
      </c>
      <c r="J66" s="149">
        <f t="shared" si="56"/>
        <v>1410.083298925683</v>
      </c>
      <c r="K66" s="149">
        <f t="shared" si="56"/>
        <v>1365.2927600902851</v>
      </c>
    </row>
    <row r="67" spans="1:11" ht="15.75" customHeight="1" x14ac:dyDescent="0.45">
      <c r="A67" s="52"/>
      <c r="B67" s="52"/>
      <c r="C67" s="52"/>
      <c r="D67" s="22"/>
      <c r="E67" s="22"/>
      <c r="F67" s="22"/>
      <c r="G67" s="22"/>
      <c r="H67" s="22"/>
      <c r="I67" s="22"/>
      <c r="J67" s="22"/>
      <c r="K67" s="22"/>
    </row>
    <row r="68" spans="1:11" ht="15.75" customHeight="1" x14ac:dyDescent="0.5">
      <c r="A68" s="124"/>
      <c r="B68" s="124"/>
      <c r="C68" s="124"/>
      <c r="D68" s="22"/>
      <c r="E68" s="22"/>
      <c r="F68" s="22"/>
      <c r="G68" s="22"/>
      <c r="H68" s="22"/>
      <c r="I68" s="22"/>
      <c r="J68" s="22"/>
      <c r="K68" s="22"/>
    </row>
    <row r="69" spans="1:11" ht="15.75" customHeight="1" x14ac:dyDescent="0.5">
      <c r="A69" s="132" t="s">
        <v>181</v>
      </c>
      <c r="B69" s="142">
        <f>SUM(B13:B68)</f>
        <v>221470.18022905494</v>
      </c>
      <c r="C69" s="124"/>
      <c r="D69" s="142">
        <v>221614.31000000006</v>
      </c>
      <c r="E69" s="567">
        <f>SUM(E13:E68)</f>
        <v>144.12977094506186</v>
      </c>
      <c r="F69" s="141"/>
      <c r="G69" s="142">
        <f t="shared" ref="G69:K69" si="57">SUM(G13:G68)</f>
        <v>221499.00618324397</v>
      </c>
      <c r="H69" s="142">
        <f t="shared" si="57"/>
        <v>223743.11045880738</v>
      </c>
      <c r="I69" s="142">
        <f t="shared" si="57"/>
        <v>226009.65577712617</v>
      </c>
      <c r="J69" s="142">
        <f t="shared" si="57"/>
        <v>228298.8665486284</v>
      </c>
      <c r="K69" s="142">
        <f t="shared" si="57"/>
        <v>230610.96942784564</v>
      </c>
    </row>
    <row r="70" spans="1:11" ht="15.75" customHeight="1" x14ac:dyDescent="0.45">
      <c r="A70" s="83" t="s">
        <v>182</v>
      </c>
      <c r="B70" s="65">
        <v>54</v>
      </c>
      <c r="C70" s="83"/>
      <c r="D70" s="22"/>
      <c r="E70" s="22"/>
      <c r="F70" s="22"/>
      <c r="G70" s="511"/>
      <c r="H70" s="149">
        <f t="shared" ref="H70:K70" si="58">SUM(H69-G69)</f>
        <v>2244.1042755634116</v>
      </c>
      <c r="I70" s="149">
        <f t="shared" si="58"/>
        <v>2266.5453183187929</v>
      </c>
      <c r="J70" s="149">
        <f t="shared" si="58"/>
        <v>2289.2107715022285</v>
      </c>
      <c r="K70" s="149">
        <f t="shared" si="58"/>
        <v>2312.1028792172438</v>
      </c>
    </row>
    <row r="71" spans="1:11" ht="15.75" customHeight="1" x14ac:dyDescent="0.45">
      <c r="A71" s="96" t="s">
        <v>183</v>
      </c>
      <c r="B71" s="65"/>
      <c r="C71" s="83"/>
      <c r="D71" s="22"/>
      <c r="E71" s="22"/>
      <c r="F71" s="22"/>
      <c r="G71" s="22"/>
      <c r="H71" s="22"/>
      <c r="I71" s="22"/>
      <c r="J71" s="22"/>
      <c r="K71" s="22"/>
    </row>
    <row r="72" spans="1:11" ht="15.75" customHeight="1" x14ac:dyDescent="0.45">
      <c r="A72" s="83"/>
      <c r="B72" s="65"/>
      <c r="C72" s="83"/>
      <c r="D72" s="22"/>
      <c r="E72" s="22"/>
      <c r="F72" s="22"/>
      <c r="G72" s="22"/>
      <c r="H72" s="22"/>
      <c r="I72" s="22"/>
      <c r="J72" s="22"/>
      <c r="K72" s="22"/>
    </row>
    <row r="73" spans="1:11" ht="15.75" customHeight="1" x14ac:dyDescent="0.45">
      <c r="A73" s="83" t="s">
        <v>184</v>
      </c>
      <c r="B73" s="65">
        <v>219871.62799999997</v>
      </c>
      <c r="C73" s="83"/>
      <c r="D73" s="22"/>
      <c r="E73" s="44"/>
      <c r="F73" s="556">
        <v>0.02</v>
      </c>
      <c r="G73" s="149">
        <f>SUM(B73*(1+F73))</f>
        <v>224269.06055999998</v>
      </c>
      <c r="H73" s="149">
        <f t="shared" ref="H73:K73" si="59">SUM(G73*(1+$F$73))</f>
        <v>228754.44177119998</v>
      </c>
      <c r="I73" s="149">
        <f t="shared" si="59"/>
        <v>233329.530606624</v>
      </c>
      <c r="J73" s="149">
        <f t="shared" si="59"/>
        <v>237996.12121875648</v>
      </c>
      <c r="K73" s="149">
        <f t="shared" si="59"/>
        <v>242756.04364313162</v>
      </c>
    </row>
    <row r="74" spans="1:11" ht="15.75" customHeight="1" x14ac:dyDescent="0.45">
      <c r="A74" s="66" t="s">
        <v>185</v>
      </c>
      <c r="B74" s="66">
        <v>0.03</v>
      </c>
      <c r="C74" s="66"/>
      <c r="D74" s="22"/>
      <c r="E74" s="22"/>
      <c r="F74" s="556"/>
      <c r="G74" s="149"/>
      <c r="H74" s="149"/>
      <c r="I74" s="149"/>
      <c r="J74" s="149"/>
      <c r="K74" s="149"/>
    </row>
    <row r="75" spans="1:11" ht="15.75" customHeight="1" x14ac:dyDescent="0.45">
      <c r="A75" s="22"/>
      <c r="B75" s="145">
        <v>1598.5522290549707</v>
      </c>
      <c r="C75" s="22"/>
      <c r="D75" s="22"/>
      <c r="E75" s="45"/>
      <c r="F75" s="45"/>
      <c r="G75" s="149"/>
      <c r="H75" s="149"/>
      <c r="I75" s="149"/>
      <c r="J75" s="149"/>
      <c r="K75" s="149"/>
    </row>
    <row r="76" spans="1:11" ht="15.75" customHeight="1" x14ac:dyDescent="0.45">
      <c r="A76" s="22"/>
      <c r="B76" s="22"/>
      <c r="C76" s="22"/>
      <c r="D76" s="22"/>
      <c r="E76" s="45"/>
      <c r="F76" s="45"/>
      <c r="G76" s="532"/>
      <c r="H76" s="532"/>
      <c r="I76" s="532"/>
      <c r="J76" s="532"/>
      <c r="K76" s="532"/>
    </row>
    <row r="77" spans="1:11" ht="15.75" customHeight="1" x14ac:dyDescent="0.45">
      <c r="A77" s="22"/>
      <c r="B77" s="22"/>
      <c r="C77" s="22"/>
      <c r="D77" s="22"/>
      <c r="E77" s="45"/>
      <c r="F77" s="45"/>
      <c r="G77" s="532"/>
      <c r="H77" s="532"/>
      <c r="I77" s="532"/>
      <c r="J77" s="532"/>
      <c r="K77" s="532"/>
    </row>
    <row r="78" spans="1:11" ht="15.75" customHeight="1" x14ac:dyDescent="0.45">
      <c r="A78" s="22"/>
      <c r="B78" s="145"/>
      <c r="C78" s="22"/>
      <c r="D78" s="22"/>
      <c r="E78" s="145"/>
      <c r="F78" s="45"/>
      <c r="G78" s="145"/>
      <c r="H78" s="145"/>
      <c r="I78" s="145"/>
      <c r="J78" s="145"/>
      <c r="K78" s="145"/>
    </row>
    <row r="79" spans="1:11" ht="15.75" customHeight="1" x14ac:dyDescent="0.45">
      <c r="A79" s="160" t="s">
        <v>189</v>
      </c>
      <c r="B79" s="568">
        <f>SUM(B13,B15,B21,B30,B44,B51,B52,B55,B61,B66,B60)</f>
        <v>47011.750490395454</v>
      </c>
      <c r="C79" s="160"/>
      <c r="D79" s="568">
        <v>39578.093270822908</v>
      </c>
      <c r="E79" s="569"/>
      <c r="F79" s="569"/>
      <c r="G79" s="568">
        <f t="shared" ref="G79:K79" si="60">SUM(G13,G15,G21,G30,G44,G51,G52,G55,G61,G66,G60)</f>
        <v>45525.019046480942</v>
      </c>
      <c r="H79" s="568">
        <f t="shared" si="60"/>
        <v>44478.67047859211</v>
      </c>
      <c r="I79" s="568">
        <f t="shared" si="60"/>
        <v>43421.858425024373</v>
      </c>
      <c r="J79" s="568">
        <f t="shared" si="60"/>
        <v>42354.478250920962</v>
      </c>
      <c r="K79" s="568">
        <f t="shared" si="60"/>
        <v>41276.424275076526</v>
      </c>
    </row>
    <row r="80" spans="1:11" ht="15.75" customHeight="1" x14ac:dyDescent="0.45">
      <c r="A80" s="22"/>
      <c r="B80" s="22"/>
      <c r="C80" s="22"/>
      <c r="D80" s="22"/>
      <c r="E80" s="45"/>
      <c r="F80" s="45"/>
      <c r="G80" s="149"/>
      <c r="H80" s="149"/>
      <c r="I80" s="149"/>
      <c r="J80" s="149"/>
      <c r="K80" s="149"/>
    </row>
    <row r="81" spans="1:11" ht="15.75" customHeight="1" x14ac:dyDescent="0.45">
      <c r="A81" s="22"/>
      <c r="B81" s="22"/>
      <c r="C81" s="22"/>
      <c r="D81" s="22"/>
      <c r="E81" s="45"/>
      <c r="F81" s="45"/>
      <c r="G81" s="45"/>
      <c r="H81" s="45"/>
      <c r="I81" s="45"/>
      <c r="J81" s="45"/>
      <c r="K81" s="45"/>
    </row>
    <row r="82" spans="1:11" ht="15.75" customHeight="1" x14ac:dyDescent="0.45">
      <c r="A82" s="22"/>
      <c r="B82" s="22"/>
      <c r="C82" s="22"/>
      <c r="D82" s="22"/>
      <c r="E82" s="45"/>
      <c r="F82" s="45"/>
      <c r="G82" s="45"/>
      <c r="H82" s="45"/>
      <c r="I82" s="45"/>
      <c r="J82" s="45"/>
      <c r="K82" s="45"/>
    </row>
    <row r="83" spans="1:11" ht="15.75" customHeight="1" x14ac:dyDescent="0.45">
      <c r="A83" s="22"/>
      <c r="B83" s="22"/>
      <c r="C83" s="22"/>
      <c r="D83" s="22"/>
      <c r="E83" s="45"/>
      <c r="F83" s="45"/>
      <c r="G83" s="45"/>
      <c r="H83" s="45"/>
      <c r="I83" s="45"/>
      <c r="J83" s="45"/>
      <c r="K83" s="45"/>
    </row>
    <row r="84" spans="1:11" ht="15.75" customHeight="1" x14ac:dyDescent="0.45">
      <c r="A84" s="22"/>
      <c r="B84" s="22"/>
      <c r="C84" s="22"/>
      <c r="D84" s="22"/>
      <c r="E84" s="45"/>
      <c r="F84" s="45"/>
      <c r="G84" s="45"/>
      <c r="H84" s="45"/>
      <c r="I84" s="45"/>
      <c r="J84" s="45"/>
      <c r="K84" s="45"/>
    </row>
    <row r="85" spans="1:11" ht="15.75" customHeight="1" x14ac:dyDescent="0.45">
      <c r="A85" s="22"/>
      <c r="B85" s="22"/>
      <c r="C85" s="22"/>
      <c r="D85" s="22"/>
      <c r="E85" s="45"/>
      <c r="F85" s="45"/>
      <c r="G85" s="45"/>
      <c r="H85" s="45"/>
      <c r="I85" s="45"/>
      <c r="J85" s="45"/>
      <c r="K85" s="45"/>
    </row>
    <row r="86" spans="1:11" ht="15.75" customHeight="1" x14ac:dyDescent="0.45">
      <c r="A86" s="22"/>
      <c r="B86" s="22"/>
      <c r="C86" s="22"/>
      <c r="D86" s="22"/>
      <c r="E86" s="45"/>
      <c r="F86" s="45"/>
      <c r="G86" s="45"/>
      <c r="H86" s="45"/>
      <c r="I86" s="45"/>
      <c r="J86" s="45"/>
      <c r="K86" s="45"/>
    </row>
    <row r="87" spans="1:11" ht="15.75" customHeight="1" x14ac:dyDescent="0.45">
      <c r="A87" s="22"/>
      <c r="B87" s="22"/>
      <c r="C87" s="22"/>
      <c r="D87" s="22"/>
      <c r="E87" s="45"/>
      <c r="F87" s="45"/>
      <c r="G87" s="45"/>
      <c r="H87" s="45"/>
      <c r="I87" s="45"/>
      <c r="J87" s="45"/>
      <c r="K87" s="45"/>
    </row>
    <row r="88" spans="1:11" ht="15.75" customHeight="1" x14ac:dyDescent="0.45">
      <c r="A88" s="22"/>
      <c r="B88" s="22"/>
      <c r="C88" s="22"/>
      <c r="D88" s="22"/>
      <c r="E88" s="45"/>
      <c r="F88" s="45"/>
      <c r="G88" s="45"/>
      <c r="H88" s="45"/>
      <c r="I88" s="45"/>
      <c r="J88" s="45"/>
      <c r="K88" s="45"/>
    </row>
    <row r="89" spans="1:11" ht="15.75" customHeight="1" x14ac:dyDescent="0.45">
      <c r="A89" s="22"/>
      <c r="B89" s="22"/>
      <c r="C89" s="22"/>
      <c r="D89" s="22"/>
      <c r="E89" s="45"/>
      <c r="F89" s="45"/>
      <c r="G89" s="45"/>
      <c r="H89" s="45"/>
      <c r="I89" s="45"/>
      <c r="J89" s="45"/>
      <c r="K89" s="45"/>
    </row>
    <row r="90" spans="1:11" ht="15.75" customHeight="1" x14ac:dyDescent="0.45">
      <c r="A90" s="22"/>
      <c r="B90" s="22"/>
      <c r="C90" s="22"/>
      <c r="D90" s="22"/>
      <c r="E90" s="45"/>
      <c r="F90" s="45"/>
      <c r="G90" s="45"/>
      <c r="H90" s="45"/>
      <c r="I90" s="45"/>
      <c r="J90" s="45"/>
      <c r="K90" s="45"/>
    </row>
    <row r="91" spans="1:11" ht="15.75" customHeight="1" x14ac:dyDescent="0.45">
      <c r="A91" s="22"/>
      <c r="B91" s="22"/>
      <c r="C91" s="22"/>
      <c r="D91" s="22"/>
      <c r="E91" s="45"/>
      <c r="F91" s="45"/>
      <c r="G91" s="45"/>
      <c r="H91" s="45"/>
      <c r="I91" s="45"/>
      <c r="J91" s="45"/>
      <c r="K91" s="45"/>
    </row>
    <row r="92" spans="1:11" ht="15.75" customHeight="1" x14ac:dyDescent="0.45">
      <c r="A92" s="22"/>
      <c r="B92" s="22"/>
      <c r="C92" s="22"/>
      <c r="D92" s="22"/>
      <c r="E92" s="45"/>
      <c r="F92" s="45"/>
      <c r="G92" s="45"/>
      <c r="H92" s="45"/>
      <c r="I92" s="45"/>
      <c r="J92" s="45"/>
      <c r="K92" s="45"/>
    </row>
    <row r="93" spans="1:11" ht="15.75" customHeight="1" x14ac:dyDescent="0.45">
      <c r="A93" s="22"/>
      <c r="B93" s="22"/>
      <c r="C93" s="22"/>
      <c r="D93" s="22"/>
      <c r="E93" s="45"/>
      <c r="F93" s="45"/>
      <c r="G93" s="45"/>
      <c r="H93" s="45"/>
      <c r="I93" s="45"/>
      <c r="J93" s="45"/>
      <c r="K93" s="45"/>
    </row>
    <row r="94" spans="1:11" ht="15.75" customHeight="1" x14ac:dyDescent="0.45">
      <c r="A94" s="22"/>
      <c r="B94" s="22"/>
      <c r="C94" s="22"/>
      <c r="D94" s="22"/>
      <c r="E94" s="45"/>
      <c r="F94" s="45"/>
      <c r="G94" s="45"/>
      <c r="H94" s="45"/>
      <c r="I94" s="45"/>
      <c r="J94" s="45"/>
      <c r="K94" s="45"/>
    </row>
    <row r="95" spans="1:11" ht="15.75" customHeight="1" x14ac:dyDescent="0.45">
      <c r="A95" s="22"/>
      <c r="B95" s="22"/>
      <c r="C95" s="22"/>
      <c r="D95" s="22"/>
      <c r="E95" s="45"/>
      <c r="F95" s="45"/>
      <c r="G95" s="45"/>
      <c r="H95" s="45"/>
      <c r="I95" s="45"/>
      <c r="J95" s="45"/>
      <c r="K95" s="45"/>
    </row>
    <row r="96" spans="1:11" ht="15.75" customHeight="1" x14ac:dyDescent="0.45">
      <c r="A96" s="22"/>
      <c r="B96" s="22"/>
      <c r="C96" s="22"/>
      <c r="D96" s="22"/>
      <c r="E96" s="45"/>
      <c r="F96" s="45"/>
      <c r="G96" s="45"/>
      <c r="H96" s="45"/>
      <c r="I96" s="45"/>
      <c r="J96" s="45"/>
      <c r="K96" s="45"/>
    </row>
    <row r="97" spans="1:11" ht="15.75" customHeight="1" x14ac:dyDescent="0.45">
      <c r="A97" s="22"/>
      <c r="B97" s="22"/>
      <c r="C97" s="22"/>
      <c r="D97" s="22"/>
      <c r="E97" s="45"/>
      <c r="F97" s="45"/>
      <c r="G97" s="45"/>
      <c r="H97" s="45"/>
      <c r="I97" s="45"/>
      <c r="J97" s="45"/>
      <c r="K97" s="45"/>
    </row>
    <row r="98" spans="1:11" ht="15.75" customHeight="1" x14ac:dyDescent="0.45">
      <c r="A98" s="22"/>
      <c r="B98" s="22"/>
      <c r="C98" s="22"/>
      <c r="D98" s="22"/>
      <c r="E98" s="45"/>
      <c r="F98" s="45"/>
      <c r="G98" s="45"/>
      <c r="H98" s="45"/>
      <c r="I98" s="45"/>
      <c r="J98" s="45"/>
      <c r="K98" s="45"/>
    </row>
    <row r="99" spans="1:11" ht="15.75" customHeight="1" x14ac:dyDescent="0.45">
      <c r="A99" s="22"/>
      <c r="B99" s="22"/>
      <c r="C99" s="22"/>
      <c r="D99" s="22"/>
      <c r="E99" s="45"/>
      <c r="F99" s="45"/>
      <c r="G99" s="45"/>
      <c r="H99" s="45"/>
      <c r="I99" s="45"/>
      <c r="J99" s="45"/>
      <c r="K99" s="45"/>
    </row>
    <row r="100" spans="1:11" ht="15.75" customHeight="1" x14ac:dyDescent="0.45">
      <c r="A100" s="22"/>
      <c r="B100" s="22"/>
      <c r="C100" s="22"/>
      <c r="D100" s="22"/>
      <c r="E100" s="45"/>
      <c r="F100" s="45"/>
      <c r="G100" s="45"/>
      <c r="H100" s="45"/>
      <c r="I100" s="45"/>
      <c r="J100" s="45"/>
      <c r="K100" s="45"/>
    </row>
    <row r="101" spans="1:11" ht="15.75" customHeight="1" x14ac:dyDescent="0.45">
      <c r="A101" s="22"/>
      <c r="B101" s="22"/>
      <c r="C101" s="22"/>
      <c r="D101" s="22"/>
      <c r="E101" s="45"/>
      <c r="F101" s="45"/>
      <c r="G101" s="45"/>
      <c r="H101" s="45"/>
      <c r="I101" s="45"/>
      <c r="J101" s="45"/>
      <c r="K101" s="45"/>
    </row>
    <row r="102" spans="1:11" ht="15.75" customHeight="1" x14ac:dyDescent="0.45">
      <c r="A102" s="22"/>
      <c r="B102" s="22"/>
      <c r="C102" s="22"/>
      <c r="D102" s="22"/>
      <c r="E102" s="45"/>
      <c r="F102" s="45"/>
      <c r="G102" s="45"/>
      <c r="H102" s="45"/>
      <c r="I102" s="45"/>
      <c r="J102" s="45"/>
      <c r="K102" s="45"/>
    </row>
    <row r="103" spans="1:11" ht="15.75" customHeight="1" x14ac:dyDescent="0.45">
      <c r="A103" s="22"/>
      <c r="B103" s="22"/>
      <c r="C103" s="22"/>
      <c r="D103" s="22"/>
      <c r="E103" s="45"/>
      <c r="F103" s="45"/>
      <c r="G103" s="45"/>
      <c r="H103" s="45"/>
      <c r="I103" s="45"/>
      <c r="J103" s="45"/>
      <c r="K103" s="45"/>
    </row>
    <row r="104" spans="1:11" ht="15.75" customHeight="1" x14ac:dyDescent="0.45">
      <c r="A104" s="22"/>
      <c r="B104" s="22"/>
      <c r="C104" s="22"/>
      <c r="D104" s="22"/>
      <c r="E104" s="45"/>
      <c r="F104" s="45"/>
      <c r="G104" s="45"/>
      <c r="H104" s="45"/>
      <c r="I104" s="45"/>
      <c r="J104" s="45"/>
      <c r="K104" s="45"/>
    </row>
    <row r="105" spans="1:11" ht="15.75" customHeight="1" x14ac:dyDescent="0.45">
      <c r="A105" s="22"/>
      <c r="B105" s="22"/>
      <c r="C105" s="22"/>
      <c r="D105" s="22"/>
      <c r="E105" s="45"/>
      <c r="F105" s="45"/>
      <c r="G105" s="45"/>
      <c r="H105" s="45"/>
      <c r="I105" s="45"/>
      <c r="J105" s="45"/>
      <c r="K105" s="45"/>
    </row>
    <row r="106" spans="1:11" ht="15.75" customHeight="1" x14ac:dyDescent="0.45">
      <c r="A106" s="22"/>
      <c r="B106" s="22"/>
      <c r="C106" s="22"/>
      <c r="D106" s="22"/>
      <c r="E106" s="45"/>
      <c r="F106" s="45"/>
      <c r="G106" s="45"/>
      <c r="H106" s="45"/>
      <c r="I106" s="45"/>
      <c r="J106" s="45"/>
      <c r="K106" s="45"/>
    </row>
    <row r="107" spans="1:11" ht="15.75" customHeight="1" x14ac:dyDescent="0.45">
      <c r="A107" s="22"/>
      <c r="B107" s="22"/>
      <c r="C107" s="22"/>
      <c r="D107" s="22"/>
      <c r="E107" s="45"/>
      <c r="F107" s="45"/>
      <c r="G107" s="45"/>
      <c r="H107" s="45"/>
      <c r="I107" s="45"/>
      <c r="J107" s="45"/>
      <c r="K107" s="45"/>
    </row>
    <row r="108" spans="1:11" ht="15.75" customHeight="1" x14ac:dyDescent="0.45">
      <c r="A108" s="22"/>
      <c r="B108" s="22"/>
      <c r="C108" s="22"/>
      <c r="D108" s="22"/>
      <c r="E108" s="45"/>
      <c r="F108" s="45"/>
      <c r="G108" s="45"/>
      <c r="H108" s="45"/>
      <c r="I108" s="45"/>
      <c r="J108" s="45"/>
      <c r="K108" s="45"/>
    </row>
    <row r="109" spans="1:11" ht="15.75" customHeight="1" x14ac:dyDescent="0.45">
      <c r="A109" s="22"/>
      <c r="B109" s="22"/>
      <c r="C109" s="22"/>
      <c r="D109" s="22"/>
      <c r="E109" s="45"/>
      <c r="F109" s="45"/>
      <c r="G109" s="45"/>
      <c r="H109" s="45"/>
      <c r="I109" s="45"/>
      <c r="J109" s="45"/>
      <c r="K109" s="45"/>
    </row>
    <row r="110" spans="1:11" ht="15.75" customHeight="1" x14ac:dyDescent="0.45">
      <c r="A110" s="22"/>
      <c r="B110" s="22"/>
      <c r="C110" s="22"/>
      <c r="D110" s="22"/>
      <c r="E110" s="45"/>
      <c r="F110" s="45"/>
      <c r="G110" s="45"/>
      <c r="H110" s="45"/>
      <c r="I110" s="45"/>
      <c r="J110" s="45"/>
      <c r="K110" s="45"/>
    </row>
    <row r="111" spans="1:11" ht="15.75" customHeight="1" x14ac:dyDescent="0.45">
      <c r="A111" s="22"/>
      <c r="B111" s="22"/>
      <c r="C111" s="22"/>
      <c r="D111" s="22"/>
      <c r="E111" s="45"/>
      <c r="F111" s="45"/>
      <c r="G111" s="45"/>
      <c r="H111" s="45"/>
      <c r="I111" s="45"/>
      <c r="J111" s="45"/>
      <c r="K111" s="45"/>
    </row>
    <row r="112" spans="1:11" ht="15.75" customHeight="1" x14ac:dyDescent="0.45">
      <c r="A112" s="22"/>
      <c r="B112" s="22"/>
      <c r="C112" s="22"/>
      <c r="D112" s="22"/>
      <c r="E112" s="45"/>
      <c r="F112" s="45"/>
      <c r="G112" s="45"/>
      <c r="H112" s="45"/>
      <c r="I112" s="45"/>
      <c r="J112" s="45"/>
      <c r="K112" s="45"/>
    </row>
    <row r="113" spans="1:11" ht="15.75" customHeight="1" x14ac:dyDescent="0.45">
      <c r="A113" s="22"/>
      <c r="B113" s="22"/>
      <c r="C113" s="22"/>
      <c r="D113" s="22"/>
      <c r="E113" s="45"/>
      <c r="F113" s="45"/>
      <c r="G113" s="45"/>
      <c r="H113" s="45"/>
      <c r="I113" s="45"/>
      <c r="J113" s="45"/>
      <c r="K113" s="45"/>
    </row>
    <row r="114" spans="1:11" ht="15.75" customHeight="1" x14ac:dyDescent="0.45">
      <c r="A114" s="22"/>
      <c r="B114" s="22"/>
      <c r="C114" s="22"/>
      <c r="D114" s="22"/>
      <c r="E114" s="45"/>
      <c r="F114" s="45"/>
      <c r="G114" s="45"/>
      <c r="H114" s="45"/>
      <c r="I114" s="45"/>
      <c r="J114" s="45"/>
      <c r="K114" s="45"/>
    </row>
    <row r="115" spans="1:11" ht="15.75" customHeight="1" x14ac:dyDescent="0.45">
      <c r="A115" s="22"/>
      <c r="B115" s="22"/>
      <c r="C115" s="22"/>
      <c r="D115" s="22"/>
      <c r="E115" s="45"/>
      <c r="F115" s="45"/>
      <c r="G115" s="45"/>
      <c r="H115" s="45"/>
      <c r="I115" s="45"/>
      <c r="J115" s="45"/>
      <c r="K115" s="45"/>
    </row>
    <row r="116" spans="1:11" ht="15.75" customHeight="1" x14ac:dyDescent="0.45">
      <c r="A116" s="22"/>
      <c r="B116" s="22"/>
      <c r="C116" s="22"/>
      <c r="D116" s="22"/>
      <c r="E116" s="45"/>
      <c r="F116" s="45"/>
      <c r="G116" s="45"/>
      <c r="H116" s="45"/>
      <c r="I116" s="45"/>
      <c r="J116" s="45"/>
      <c r="K116" s="45"/>
    </row>
    <row r="117" spans="1:11" ht="15.75" customHeight="1" x14ac:dyDescent="0.45">
      <c r="A117" s="22"/>
      <c r="B117" s="22"/>
      <c r="C117" s="22"/>
      <c r="D117" s="22"/>
      <c r="E117" s="45"/>
      <c r="F117" s="45"/>
      <c r="G117" s="45"/>
      <c r="H117" s="45"/>
      <c r="I117" s="45"/>
      <c r="J117" s="45"/>
      <c r="K117" s="45"/>
    </row>
    <row r="118" spans="1:11" ht="15.75" customHeight="1" x14ac:dyDescent="0.45">
      <c r="A118" s="22"/>
      <c r="B118" s="22"/>
      <c r="C118" s="22"/>
      <c r="D118" s="22"/>
      <c r="E118" s="45"/>
      <c r="F118" s="45"/>
      <c r="G118" s="45"/>
      <c r="H118" s="45"/>
      <c r="I118" s="45"/>
      <c r="J118" s="45"/>
      <c r="K118" s="45"/>
    </row>
    <row r="119" spans="1:11" ht="15.75" customHeight="1" x14ac:dyDescent="0.45">
      <c r="A119" s="22"/>
      <c r="B119" s="22"/>
      <c r="C119" s="22"/>
      <c r="D119" s="22"/>
      <c r="E119" s="45"/>
      <c r="F119" s="45"/>
      <c r="G119" s="45"/>
      <c r="H119" s="45"/>
      <c r="I119" s="45"/>
      <c r="J119" s="45"/>
      <c r="K119" s="45"/>
    </row>
    <row r="120" spans="1:11" ht="15.75" customHeight="1" x14ac:dyDescent="0.45">
      <c r="A120" s="22"/>
      <c r="B120" s="22"/>
      <c r="C120" s="22"/>
      <c r="D120" s="22"/>
      <c r="E120" s="45"/>
      <c r="F120" s="45"/>
      <c r="G120" s="45"/>
      <c r="H120" s="45"/>
      <c r="I120" s="45"/>
      <c r="J120" s="45"/>
      <c r="K120" s="45"/>
    </row>
    <row r="121" spans="1:11" ht="15.75" customHeight="1" x14ac:dyDescent="0.45">
      <c r="A121" s="22"/>
      <c r="B121" s="22"/>
      <c r="C121" s="22"/>
      <c r="D121" s="22"/>
      <c r="E121" s="45"/>
      <c r="F121" s="45"/>
      <c r="G121" s="45"/>
      <c r="H121" s="45"/>
      <c r="I121" s="45"/>
      <c r="J121" s="45"/>
      <c r="K121" s="45"/>
    </row>
    <row r="122" spans="1:11" ht="15.75" customHeight="1" x14ac:dyDescent="0.45">
      <c r="A122" s="22"/>
      <c r="B122" s="22"/>
      <c r="C122" s="22"/>
      <c r="D122" s="22"/>
      <c r="E122" s="45"/>
      <c r="F122" s="45"/>
      <c r="G122" s="45"/>
      <c r="H122" s="45"/>
      <c r="I122" s="45"/>
      <c r="J122" s="45"/>
      <c r="K122" s="45"/>
    </row>
    <row r="123" spans="1:11" ht="15.75" customHeight="1" x14ac:dyDescent="0.45">
      <c r="A123" s="22"/>
      <c r="B123" s="22"/>
      <c r="C123" s="22"/>
      <c r="D123" s="22"/>
      <c r="E123" s="45"/>
      <c r="F123" s="45"/>
      <c r="G123" s="45"/>
      <c r="H123" s="45"/>
      <c r="I123" s="45"/>
      <c r="J123" s="45"/>
      <c r="K123" s="45"/>
    </row>
    <row r="124" spans="1:11" ht="15.75" customHeight="1" x14ac:dyDescent="0.45">
      <c r="A124" s="22"/>
      <c r="B124" s="22"/>
      <c r="C124" s="22"/>
      <c r="D124" s="22"/>
      <c r="E124" s="45"/>
      <c r="F124" s="45"/>
      <c r="G124" s="45"/>
      <c r="H124" s="45"/>
      <c r="I124" s="45"/>
      <c r="J124" s="45"/>
      <c r="K124" s="45"/>
    </row>
    <row r="125" spans="1:11" ht="15.75" customHeight="1" x14ac:dyDescent="0.45">
      <c r="A125" s="22"/>
      <c r="B125" s="22"/>
      <c r="C125" s="22"/>
      <c r="D125" s="22"/>
      <c r="E125" s="45"/>
      <c r="F125" s="45"/>
      <c r="G125" s="45"/>
      <c r="H125" s="45"/>
      <c r="I125" s="45"/>
      <c r="J125" s="45"/>
      <c r="K125" s="45"/>
    </row>
    <row r="126" spans="1:11" ht="15.75" customHeight="1" x14ac:dyDescent="0.45">
      <c r="A126" s="22"/>
      <c r="B126" s="22"/>
      <c r="C126" s="22"/>
      <c r="D126" s="22"/>
      <c r="E126" s="45"/>
      <c r="F126" s="45"/>
      <c r="G126" s="45"/>
      <c r="H126" s="45"/>
      <c r="I126" s="45"/>
      <c r="J126" s="45"/>
      <c r="K126" s="45"/>
    </row>
    <row r="127" spans="1:11" ht="15.75" customHeight="1" x14ac:dyDescent="0.45">
      <c r="A127" s="22"/>
      <c r="B127" s="22"/>
      <c r="C127" s="22"/>
      <c r="D127" s="22"/>
      <c r="E127" s="45"/>
      <c r="F127" s="45"/>
      <c r="G127" s="45"/>
      <c r="H127" s="45"/>
      <c r="I127" s="45"/>
      <c r="J127" s="45"/>
      <c r="K127" s="45"/>
    </row>
    <row r="128" spans="1:11" ht="15.75" customHeight="1" x14ac:dyDescent="0.45">
      <c r="A128" s="22"/>
      <c r="B128" s="22"/>
      <c r="C128" s="22"/>
      <c r="D128" s="22"/>
      <c r="E128" s="45"/>
      <c r="F128" s="45"/>
      <c r="G128" s="45"/>
      <c r="H128" s="45"/>
      <c r="I128" s="45"/>
      <c r="J128" s="45"/>
      <c r="K128" s="45"/>
    </row>
    <row r="129" spans="1:11" ht="15.75" customHeight="1" x14ac:dyDescent="0.45">
      <c r="A129" s="22"/>
      <c r="B129" s="22"/>
      <c r="C129" s="22"/>
      <c r="D129" s="22"/>
      <c r="E129" s="45"/>
      <c r="F129" s="45"/>
      <c r="G129" s="45"/>
      <c r="H129" s="45"/>
      <c r="I129" s="45"/>
      <c r="J129" s="45"/>
      <c r="K129" s="45"/>
    </row>
    <row r="130" spans="1:11" ht="15.75" customHeight="1" x14ac:dyDescent="0.45">
      <c r="A130" s="22"/>
      <c r="B130" s="22"/>
      <c r="C130" s="22"/>
      <c r="D130" s="22"/>
      <c r="E130" s="45"/>
      <c r="F130" s="45"/>
      <c r="G130" s="45"/>
      <c r="H130" s="45"/>
      <c r="I130" s="45"/>
      <c r="J130" s="45"/>
      <c r="K130" s="45"/>
    </row>
    <row r="131" spans="1:11" ht="15.75" customHeight="1" x14ac:dyDescent="0.45">
      <c r="A131" s="22"/>
      <c r="B131" s="22"/>
      <c r="C131" s="22"/>
      <c r="D131" s="22"/>
      <c r="E131" s="45"/>
      <c r="F131" s="45"/>
      <c r="G131" s="45"/>
      <c r="H131" s="45"/>
      <c r="I131" s="45"/>
      <c r="J131" s="45"/>
      <c r="K131" s="45"/>
    </row>
    <row r="132" spans="1:11" ht="15.75" customHeight="1" x14ac:dyDescent="0.45">
      <c r="A132" s="22"/>
      <c r="B132" s="22"/>
      <c r="C132" s="22"/>
      <c r="D132" s="22"/>
      <c r="E132" s="45"/>
      <c r="F132" s="45"/>
      <c r="G132" s="45"/>
      <c r="H132" s="45"/>
      <c r="I132" s="45"/>
      <c r="J132" s="45"/>
      <c r="K132" s="45"/>
    </row>
    <row r="133" spans="1:11" ht="15.75" customHeight="1" x14ac:dyDescent="0.45">
      <c r="A133" s="22"/>
      <c r="B133" s="22"/>
      <c r="C133" s="22"/>
      <c r="D133" s="22"/>
      <c r="E133" s="45"/>
      <c r="F133" s="45"/>
      <c r="G133" s="45"/>
      <c r="H133" s="45"/>
      <c r="I133" s="45"/>
      <c r="J133" s="45"/>
      <c r="K133" s="45"/>
    </row>
    <row r="134" spans="1:11" ht="15.75" customHeight="1" x14ac:dyDescent="0.45">
      <c r="A134" s="22"/>
      <c r="B134" s="22"/>
      <c r="C134" s="22"/>
      <c r="D134" s="22"/>
      <c r="E134" s="45"/>
      <c r="F134" s="45"/>
      <c r="G134" s="45"/>
      <c r="H134" s="45"/>
      <c r="I134" s="45"/>
      <c r="J134" s="45"/>
      <c r="K134" s="45"/>
    </row>
    <row r="135" spans="1:11" ht="15.75" customHeight="1" x14ac:dyDescent="0.45">
      <c r="A135" s="22"/>
      <c r="B135" s="22"/>
      <c r="C135" s="22"/>
      <c r="D135" s="22"/>
      <c r="E135" s="45"/>
      <c r="F135" s="45"/>
      <c r="G135" s="45"/>
      <c r="H135" s="45"/>
      <c r="I135" s="45"/>
      <c r="J135" s="45"/>
      <c r="K135" s="45"/>
    </row>
    <row r="136" spans="1:11" ht="15.75" customHeight="1" x14ac:dyDescent="0.45">
      <c r="A136" s="22"/>
      <c r="B136" s="22"/>
      <c r="C136" s="22"/>
      <c r="D136" s="22"/>
      <c r="E136" s="45"/>
      <c r="F136" s="45"/>
      <c r="G136" s="45"/>
      <c r="H136" s="45"/>
      <c r="I136" s="45"/>
      <c r="J136" s="45"/>
      <c r="K136" s="45"/>
    </row>
    <row r="137" spans="1:11" ht="15.75" customHeight="1" x14ac:dyDescent="0.45">
      <c r="A137" s="22"/>
      <c r="B137" s="22"/>
      <c r="C137" s="22"/>
      <c r="D137" s="22"/>
      <c r="E137" s="45"/>
      <c r="F137" s="45"/>
      <c r="G137" s="45"/>
      <c r="H137" s="45"/>
      <c r="I137" s="45"/>
      <c r="J137" s="45"/>
      <c r="K137" s="45"/>
    </row>
    <row r="138" spans="1:11" ht="15.75" customHeight="1" x14ac:dyDescent="0.45">
      <c r="A138" s="22"/>
      <c r="B138" s="22"/>
      <c r="C138" s="22"/>
      <c r="D138" s="22"/>
      <c r="E138" s="45"/>
      <c r="F138" s="45"/>
      <c r="G138" s="45"/>
      <c r="H138" s="45"/>
      <c r="I138" s="45"/>
      <c r="J138" s="45"/>
      <c r="K138" s="45"/>
    </row>
    <row r="139" spans="1:11" ht="15.75" customHeight="1" x14ac:dyDescent="0.45">
      <c r="A139" s="22"/>
      <c r="B139" s="22"/>
      <c r="C139" s="22"/>
      <c r="D139" s="22"/>
      <c r="E139" s="45"/>
      <c r="F139" s="45"/>
      <c r="G139" s="45"/>
      <c r="H139" s="45"/>
      <c r="I139" s="45"/>
      <c r="J139" s="45"/>
      <c r="K139" s="45"/>
    </row>
    <row r="140" spans="1:11" ht="15.75" customHeight="1" x14ac:dyDescent="0.45">
      <c r="A140" s="22"/>
      <c r="B140" s="22"/>
      <c r="C140" s="22"/>
      <c r="D140" s="22"/>
      <c r="E140" s="45"/>
      <c r="F140" s="45"/>
      <c r="G140" s="45"/>
      <c r="H140" s="45"/>
      <c r="I140" s="45"/>
      <c r="J140" s="45"/>
      <c r="K140" s="45"/>
    </row>
    <row r="141" spans="1:11" ht="15.75" customHeight="1" x14ac:dyDescent="0.45">
      <c r="A141" s="22"/>
      <c r="B141" s="22"/>
      <c r="C141" s="22"/>
      <c r="D141" s="22"/>
      <c r="E141" s="45"/>
      <c r="F141" s="45"/>
      <c r="G141" s="45"/>
      <c r="H141" s="45"/>
      <c r="I141" s="45"/>
      <c r="J141" s="45"/>
      <c r="K141" s="45"/>
    </row>
    <row r="142" spans="1:11" ht="15.75" customHeight="1" x14ac:dyDescent="0.45">
      <c r="A142" s="22"/>
      <c r="B142" s="22"/>
      <c r="C142" s="22"/>
      <c r="D142" s="22"/>
      <c r="E142" s="45"/>
      <c r="F142" s="45"/>
      <c r="G142" s="45"/>
      <c r="H142" s="45"/>
      <c r="I142" s="45"/>
      <c r="J142" s="45"/>
      <c r="K142" s="45"/>
    </row>
    <row r="143" spans="1:11" ht="15.75" customHeight="1" x14ac:dyDescent="0.45">
      <c r="A143" s="22"/>
      <c r="B143" s="22"/>
      <c r="C143" s="22"/>
      <c r="D143" s="22"/>
      <c r="E143" s="45"/>
      <c r="F143" s="45"/>
      <c r="G143" s="45"/>
      <c r="H143" s="45"/>
      <c r="I143" s="45"/>
      <c r="J143" s="45"/>
      <c r="K143" s="45"/>
    </row>
    <row r="144" spans="1:11" ht="15.75" customHeight="1" x14ac:dyDescent="0.45">
      <c r="A144" s="22"/>
      <c r="B144" s="22"/>
      <c r="C144" s="22"/>
      <c r="D144" s="22"/>
      <c r="E144" s="45"/>
      <c r="F144" s="45"/>
      <c r="G144" s="45"/>
      <c r="H144" s="45"/>
      <c r="I144" s="45"/>
      <c r="J144" s="45"/>
      <c r="K144" s="45"/>
    </row>
    <row r="145" spans="1:11" ht="15.75" customHeight="1" x14ac:dyDescent="0.45">
      <c r="A145" s="22"/>
      <c r="B145" s="22"/>
      <c r="C145" s="22"/>
      <c r="D145" s="22"/>
      <c r="E145" s="45"/>
      <c r="F145" s="45"/>
      <c r="G145" s="45"/>
      <c r="H145" s="45"/>
      <c r="I145" s="45"/>
      <c r="J145" s="45"/>
      <c r="K145" s="45"/>
    </row>
    <row r="146" spans="1:11" ht="15.75" customHeight="1" x14ac:dyDescent="0.45">
      <c r="A146" s="22"/>
      <c r="B146" s="22"/>
      <c r="C146" s="22"/>
      <c r="D146" s="22"/>
      <c r="E146" s="45"/>
      <c r="F146" s="45"/>
      <c r="G146" s="45"/>
      <c r="H146" s="45"/>
      <c r="I146" s="45"/>
      <c r="J146" s="45"/>
      <c r="K146" s="45"/>
    </row>
    <row r="147" spans="1:11" ht="15.75" customHeight="1" x14ac:dyDescent="0.45">
      <c r="A147" s="22"/>
      <c r="B147" s="22"/>
      <c r="C147" s="22"/>
      <c r="D147" s="22"/>
      <c r="E147" s="45"/>
      <c r="F147" s="45"/>
      <c r="G147" s="45"/>
      <c r="H147" s="45"/>
      <c r="I147" s="45"/>
      <c r="J147" s="45"/>
      <c r="K147" s="45"/>
    </row>
    <row r="148" spans="1:11" ht="15.75" customHeight="1" x14ac:dyDescent="0.45">
      <c r="A148" s="22"/>
      <c r="B148" s="22"/>
      <c r="C148" s="22"/>
      <c r="D148" s="22"/>
      <c r="E148" s="45"/>
      <c r="F148" s="45"/>
      <c r="G148" s="45"/>
      <c r="H148" s="45"/>
      <c r="I148" s="45"/>
      <c r="J148" s="45"/>
      <c r="K148" s="45"/>
    </row>
    <row r="149" spans="1:11" ht="15.75" customHeight="1" x14ac:dyDescent="0.45">
      <c r="A149" s="22"/>
      <c r="B149" s="22"/>
      <c r="C149" s="22"/>
      <c r="D149" s="22"/>
      <c r="E149" s="45"/>
      <c r="F149" s="45"/>
      <c r="G149" s="45"/>
      <c r="H149" s="45"/>
      <c r="I149" s="45"/>
      <c r="J149" s="45"/>
      <c r="K149" s="45"/>
    </row>
    <row r="150" spans="1:11" ht="15.75" customHeight="1" x14ac:dyDescent="0.45">
      <c r="A150" s="22"/>
      <c r="B150" s="22"/>
      <c r="C150" s="22"/>
      <c r="D150" s="22"/>
      <c r="E150" s="45"/>
      <c r="F150" s="45"/>
      <c r="G150" s="45"/>
      <c r="H150" s="45"/>
      <c r="I150" s="45"/>
      <c r="J150" s="45"/>
      <c r="K150" s="45"/>
    </row>
    <row r="151" spans="1:11" ht="15.75" customHeight="1" x14ac:dyDescent="0.45">
      <c r="A151" s="22"/>
      <c r="B151" s="22"/>
      <c r="C151" s="22"/>
      <c r="D151" s="22"/>
      <c r="E151" s="45"/>
      <c r="F151" s="45"/>
      <c r="G151" s="45"/>
      <c r="H151" s="45"/>
      <c r="I151" s="45"/>
      <c r="J151" s="45"/>
      <c r="K151" s="45"/>
    </row>
    <row r="152" spans="1:11" ht="15.75" customHeight="1" x14ac:dyDescent="0.45">
      <c r="A152" s="22"/>
      <c r="B152" s="22"/>
      <c r="C152" s="22"/>
      <c r="D152" s="22"/>
      <c r="E152" s="45"/>
      <c r="F152" s="45"/>
      <c r="G152" s="45"/>
      <c r="H152" s="45"/>
      <c r="I152" s="45"/>
      <c r="J152" s="45"/>
      <c r="K152" s="45"/>
    </row>
    <row r="153" spans="1:11" ht="15.75" customHeight="1" x14ac:dyDescent="0.45">
      <c r="A153" s="22"/>
      <c r="B153" s="22"/>
      <c r="C153" s="22"/>
      <c r="D153" s="22"/>
      <c r="E153" s="45"/>
      <c r="F153" s="45"/>
      <c r="G153" s="45"/>
      <c r="H153" s="45"/>
      <c r="I153" s="45"/>
      <c r="J153" s="45"/>
      <c r="K153" s="45"/>
    </row>
    <row r="154" spans="1:11" ht="15.75" customHeight="1" x14ac:dyDescent="0.45">
      <c r="A154" s="22"/>
      <c r="B154" s="22"/>
      <c r="C154" s="22"/>
      <c r="D154" s="22"/>
      <c r="E154" s="45"/>
      <c r="F154" s="45"/>
      <c r="G154" s="45"/>
      <c r="H154" s="45"/>
      <c r="I154" s="45"/>
      <c r="J154" s="45"/>
      <c r="K154" s="45"/>
    </row>
    <row r="155" spans="1:11" ht="15.75" customHeight="1" x14ac:dyDescent="0.45">
      <c r="A155" s="22"/>
      <c r="B155" s="22"/>
      <c r="C155" s="22"/>
      <c r="D155" s="22"/>
      <c r="E155" s="45"/>
      <c r="F155" s="45"/>
      <c r="G155" s="45"/>
      <c r="H155" s="45"/>
      <c r="I155" s="45"/>
      <c r="J155" s="45"/>
      <c r="K155" s="45"/>
    </row>
    <row r="156" spans="1:11" ht="15.75" customHeight="1" x14ac:dyDescent="0.45">
      <c r="A156" s="22"/>
      <c r="B156" s="22"/>
      <c r="C156" s="22"/>
      <c r="D156" s="22"/>
      <c r="E156" s="45"/>
      <c r="F156" s="45"/>
      <c r="G156" s="45"/>
      <c r="H156" s="45"/>
      <c r="I156" s="45"/>
      <c r="J156" s="45"/>
      <c r="K156" s="45"/>
    </row>
    <row r="157" spans="1:11" ht="15.75" customHeight="1" x14ac:dyDescent="0.45">
      <c r="A157" s="22"/>
      <c r="B157" s="22"/>
      <c r="C157" s="22"/>
      <c r="D157" s="22"/>
      <c r="E157" s="45"/>
      <c r="F157" s="45"/>
      <c r="G157" s="45"/>
      <c r="H157" s="45"/>
      <c r="I157" s="45"/>
      <c r="J157" s="45"/>
      <c r="K157" s="45"/>
    </row>
    <row r="158" spans="1:11" ht="15.75" customHeight="1" x14ac:dyDescent="0.45">
      <c r="A158" s="22"/>
      <c r="B158" s="22"/>
      <c r="C158" s="22"/>
      <c r="D158" s="22"/>
      <c r="E158" s="45"/>
      <c r="F158" s="45"/>
      <c r="G158" s="45"/>
      <c r="H158" s="45"/>
      <c r="I158" s="45"/>
      <c r="J158" s="45"/>
      <c r="K158" s="45"/>
    </row>
    <row r="159" spans="1:11" ht="15.75" customHeight="1" x14ac:dyDescent="0.45">
      <c r="A159" s="22"/>
      <c r="B159" s="22"/>
      <c r="C159" s="22"/>
      <c r="D159" s="22"/>
      <c r="E159" s="45"/>
      <c r="F159" s="45"/>
      <c r="G159" s="45"/>
      <c r="H159" s="45"/>
      <c r="I159" s="45"/>
      <c r="J159" s="45"/>
      <c r="K159" s="45"/>
    </row>
    <row r="160" spans="1:11" ht="15.75" customHeight="1" x14ac:dyDescent="0.45">
      <c r="A160" s="22"/>
      <c r="B160" s="22"/>
      <c r="C160" s="22"/>
      <c r="D160" s="22"/>
      <c r="E160" s="45"/>
      <c r="F160" s="45"/>
      <c r="G160" s="45"/>
      <c r="H160" s="45"/>
      <c r="I160" s="45"/>
      <c r="J160" s="45"/>
      <c r="K160" s="45"/>
    </row>
    <row r="161" spans="1:11" ht="15.75" customHeight="1" x14ac:dyDescent="0.45">
      <c r="A161" s="22"/>
      <c r="B161" s="22"/>
      <c r="C161" s="22"/>
      <c r="D161" s="22"/>
      <c r="E161" s="45"/>
      <c r="F161" s="45"/>
      <c r="G161" s="45"/>
      <c r="H161" s="45"/>
      <c r="I161" s="45"/>
      <c r="J161" s="45"/>
      <c r="K161" s="45"/>
    </row>
    <row r="162" spans="1:11" ht="15.75" customHeight="1" x14ac:dyDescent="0.45">
      <c r="A162" s="22"/>
      <c r="B162" s="22"/>
      <c r="C162" s="22"/>
      <c r="D162" s="22"/>
      <c r="E162" s="45"/>
      <c r="F162" s="45"/>
      <c r="G162" s="45"/>
      <c r="H162" s="45"/>
      <c r="I162" s="45"/>
      <c r="J162" s="45"/>
      <c r="K162" s="45"/>
    </row>
    <row r="163" spans="1:11" ht="15.75" customHeight="1" x14ac:dyDescent="0.45">
      <c r="A163" s="22"/>
      <c r="B163" s="22"/>
      <c r="C163" s="22"/>
      <c r="D163" s="22"/>
      <c r="E163" s="45"/>
      <c r="F163" s="45"/>
      <c r="G163" s="45"/>
      <c r="H163" s="45"/>
      <c r="I163" s="45"/>
      <c r="J163" s="45"/>
      <c r="K163" s="45"/>
    </row>
    <row r="164" spans="1:11" ht="15.75" customHeight="1" x14ac:dyDescent="0.45">
      <c r="A164" s="22"/>
      <c r="B164" s="22"/>
      <c r="C164" s="22"/>
      <c r="D164" s="22"/>
      <c r="E164" s="45"/>
      <c r="F164" s="45"/>
      <c r="G164" s="45"/>
      <c r="H164" s="45"/>
      <c r="I164" s="45"/>
      <c r="J164" s="45"/>
      <c r="K164" s="45"/>
    </row>
    <row r="165" spans="1:11" ht="15.75" customHeight="1" x14ac:dyDescent="0.45">
      <c r="A165" s="22"/>
      <c r="B165" s="22"/>
      <c r="C165" s="22"/>
      <c r="D165" s="22"/>
      <c r="E165" s="45"/>
      <c r="F165" s="45"/>
      <c r="G165" s="45"/>
      <c r="H165" s="45"/>
      <c r="I165" s="45"/>
      <c r="J165" s="45"/>
      <c r="K165" s="45"/>
    </row>
    <row r="166" spans="1:11" ht="15.75" customHeight="1" x14ac:dyDescent="0.45">
      <c r="A166" s="22"/>
      <c r="B166" s="22"/>
      <c r="C166" s="22"/>
      <c r="D166" s="22"/>
      <c r="E166" s="45"/>
      <c r="F166" s="45"/>
      <c r="G166" s="45"/>
      <c r="H166" s="45"/>
      <c r="I166" s="45"/>
      <c r="J166" s="45"/>
      <c r="K166" s="45"/>
    </row>
    <row r="167" spans="1:11" ht="15.75" customHeight="1" x14ac:dyDescent="0.45">
      <c r="A167" s="22"/>
      <c r="B167" s="22"/>
      <c r="C167" s="22"/>
      <c r="D167" s="22"/>
      <c r="E167" s="45"/>
      <c r="F167" s="45"/>
      <c r="G167" s="45"/>
      <c r="H167" s="45"/>
      <c r="I167" s="45"/>
      <c r="J167" s="45"/>
      <c r="K167" s="45"/>
    </row>
    <row r="168" spans="1:11" ht="15.75" customHeight="1" x14ac:dyDescent="0.45">
      <c r="A168" s="22"/>
      <c r="B168" s="22"/>
      <c r="C168" s="22"/>
      <c r="D168" s="22"/>
      <c r="E168" s="45"/>
      <c r="F168" s="45"/>
      <c r="G168" s="45"/>
      <c r="H168" s="45"/>
      <c r="I168" s="45"/>
      <c r="J168" s="45"/>
      <c r="K168" s="45"/>
    </row>
    <row r="169" spans="1:11" ht="15.75" customHeight="1" x14ac:dyDescent="0.45">
      <c r="A169" s="22"/>
      <c r="B169" s="22"/>
      <c r="C169" s="22"/>
      <c r="D169" s="22"/>
      <c r="E169" s="45"/>
      <c r="F169" s="45"/>
      <c r="G169" s="45"/>
      <c r="H169" s="45"/>
      <c r="I169" s="45"/>
      <c r="J169" s="45"/>
      <c r="K169" s="45"/>
    </row>
    <row r="170" spans="1:11" ht="15.75" customHeight="1" x14ac:dyDescent="0.45">
      <c r="A170" s="22"/>
      <c r="B170" s="22"/>
      <c r="C170" s="22"/>
      <c r="D170" s="22"/>
      <c r="E170" s="45"/>
      <c r="F170" s="45"/>
      <c r="G170" s="45"/>
      <c r="H170" s="45"/>
      <c r="I170" s="45"/>
      <c r="J170" s="45"/>
      <c r="K170" s="45"/>
    </row>
    <row r="171" spans="1:11" ht="15.75" customHeight="1" x14ac:dyDescent="0.45">
      <c r="A171" s="22"/>
      <c r="B171" s="22"/>
      <c r="C171" s="22"/>
      <c r="D171" s="22"/>
      <c r="E171" s="45"/>
      <c r="F171" s="45"/>
      <c r="G171" s="45"/>
      <c r="H171" s="45"/>
      <c r="I171" s="45"/>
      <c r="J171" s="45"/>
      <c r="K171" s="45"/>
    </row>
    <row r="172" spans="1:11" ht="15.75" customHeight="1" x14ac:dyDescent="0.45">
      <c r="A172" s="22"/>
      <c r="B172" s="22"/>
      <c r="C172" s="22"/>
      <c r="D172" s="22"/>
      <c r="E172" s="45"/>
      <c r="F172" s="45"/>
      <c r="G172" s="45"/>
      <c r="H172" s="45"/>
      <c r="I172" s="45"/>
      <c r="J172" s="45"/>
      <c r="K172" s="45"/>
    </row>
    <row r="173" spans="1:11" ht="15.75" customHeight="1" x14ac:dyDescent="0.45">
      <c r="A173" s="22"/>
      <c r="B173" s="22"/>
      <c r="C173" s="22"/>
      <c r="D173" s="22"/>
      <c r="E173" s="45"/>
      <c r="F173" s="45"/>
      <c r="G173" s="45"/>
      <c r="H173" s="45"/>
      <c r="I173" s="45"/>
      <c r="J173" s="45"/>
      <c r="K173" s="45"/>
    </row>
    <row r="174" spans="1:11" ht="15.75" customHeight="1" x14ac:dyDescent="0.45">
      <c r="A174" s="22"/>
      <c r="B174" s="22"/>
      <c r="C174" s="22"/>
      <c r="D174" s="22"/>
      <c r="E174" s="45"/>
      <c r="F174" s="45"/>
      <c r="G174" s="45"/>
      <c r="H174" s="45"/>
      <c r="I174" s="45"/>
      <c r="J174" s="45"/>
      <c r="K174" s="45"/>
    </row>
    <row r="175" spans="1:11" ht="15.75" customHeight="1" x14ac:dyDescent="0.45">
      <c r="A175" s="22"/>
      <c r="B175" s="22"/>
      <c r="C175" s="22"/>
      <c r="D175" s="22"/>
      <c r="E175" s="45"/>
      <c r="F175" s="45"/>
      <c r="G175" s="45"/>
      <c r="H175" s="45"/>
      <c r="I175" s="45"/>
      <c r="J175" s="45"/>
      <c r="K175" s="45"/>
    </row>
    <row r="176" spans="1:11" ht="15.75" customHeight="1" x14ac:dyDescent="0.45">
      <c r="A176" s="22"/>
      <c r="B176" s="22"/>
      <c r="C176" s="22"/>
      <c r="D176" s="22"/>
      <c r="E176" s="45"/>
      <c r="F176" s="45"/>
      <c r="G176" s="45"/>
      <c r="H176" s="45"/>
      <c r="I176" s="45"/>
      <c r="J176" s="45"/>
      <c r="K176" s="45"/>
    </row>
    <row r="177" spans="1:11" ht="15.75" customHeight="1" x14ac:dyDescent="0.45">
      <c r="A177" s="22"/>
      <c r="B177" s="22"/>
      <c r="C177" s="22"/>
      <c r="D177" s="22"/>
      <c r="E177" s="45"/>
      <c r="F177" s="45"/>
      <c r="G177" s="45"/>
      <c r="H177" s="45"/>
      <c r="I177" s="45"/>
      <c r="J177" s="45"/>
      <c r="K177" s="45"/>
    </row>
    <row r="178" spans="1:11" ht="15.75" customHeight="1" x14ac:dyDescent="0.45">
      <c r="A178" s="22"/>
      <c r="B178" s="22"/>
      <c r="C178" s="22"/>
      <c r="D178" s="22"/>
      <c r="E178" s="45"/>
      <c r="F178" s="45"/>
      <c r="G178" s="45"/>
      <c r="H178" s="45"/>
      <c r="I178" s="45"/>
      <c r="J178" s="45"/>
      <c r="K178" s="45"/>
    </row>
    <row r="179" spans="1:11" ht="15.75" customHeight="1" x14ac:dyDescent="0.45">
      <c r="A179" s="22"/>
      <c r="B179" s="22"/>
      <c r="C179" s="22"/>
      <c r="D179" s="22"/>
      <c r="E179" s="45"/>
      <c r="F179" s="45"/>
      <c r="G179" s="45"/>
      <c r="H179" s="45"/>
      <c r="I179" s="45"/>
      <c r="J179" s="45"/>
      <c r="K179" s="45"/>
    </row>
    <row r="180" spans="1:11" ht="15.75" customHeight="1" x14ac:dyDescent="0.45">
      <c r="A180" s="22"/>
      <c r="B180" s="22"/>
      <c r="C180" s="22"/>
      <c r="D180" s="22"/>
      <c r="E180" s="45"/>
      <c r="F180" s="45"/>
      <c r="G180" s="45"/>
      <c r="H180" s="45"/>
      <c r="I180" s="45"/>
      <c r="J180" s="45"/>
      <c r="K180" s="45"/>
    </row>
    <row r="181" spans="1:11" ht="15.75" customHeight="1" x14ac:dyDescent="0.45">
      <c r="A181" s="22"/>
      <c r="B181" s="22"/>
      <c r="C181" s="22"/>
      <c r="D181" s="22"/>
      <c r="E181" s="45"/>
      <c r="F181" s="45"/>
      <c r="G181" s="45"/>
      <c r="H181" s="45"/>
      <c r="I181" s="45"/>
      <c r="J181" s="45"/>
      <c r="K181" s="45"/>
    </row>
    <row r="182" spans="1:11" ht="15.75" customHeight="1" x14ac:dyDescent="0.45">
      <c r="A182" s="22"/>
      <c r="B182" s="22"/>
      <c r="C182" s="22"/>
      <c r="D182" s="22"/>
      <c r="E182" s="45"/>
      <c r="F182" s="45"/>
      <c r="G182" s="45"/>
      <c r="H182" s="45"/>
      <c r="I182" s="45"/>
      <c r="J182" s="45"/>
      <c r="K182" s="45"/>
    </row>
    <row r="183" spans="1:11" ht="15.75" customHeight="1" x14ac:dyDescent="0.45">
      <c r="A183" s="22"/>
      <c r="B183" s="22"/>
      <c r="C183" s="22"/>
      <c r="D183" s="22"/>
      <c r="E183" s="45"/>
      <c r="F183" s="45"/>
      <c r="G183" s="45"/>
      <c r="H183" s="45"/>
      <c r="I183" s="45"/>
      <c r="J183" s="45"/>
      <c r="K183" s="45"/>
    </row>
    <row r="184" spans="1:11" ht="15.75" customHeight="1" x14ac:dyDescent="0.45">
      <c r="A184" s="22"/>
      <c r="B184" s="22"/>
      <c r="C184" s="22"/>
      <c r="D184" s="22"/>
      <c r="E184" s="45"/>
      <c r="F184" s="45"/>
      <c r="G184" s="45"/>
      <c r="H184" s="45"/>
      <c r="I184" s="45"/>
      <c r="J184" s="45"/>
      <c r="K184" s="45"/>
    </row>
    <row r="185" spans="1:11" ht="15.75" customHeight="1" x14ac:dyDescent="0.45">
      <c r="A185" s="22"/>
      <c r="B185" s="22"/>
      <c r="C185" s="22"/>
      <c r="D185" s="22"/>
      <c r="E185" s="45"/>
      <c r="F185" s="45"/>
      <c r="G185" s="45"/>
      <c r="H185" s="45"/>
      <c r="I185" s="45"/>
      <c r="J185" s="45"/>
      <c r="K185" s="45"/>
    </row>
    <row r="186" spans="1:11" ht="15.75" customHeight="1" x14ac:dyDescent="0.45">
      <c r="A186" s="22"/>
      <c r="B186" s="22"/>
      <c r="C186" s="22"/>
      <c r="D186" s="22"/>
      <c r="E186" s="45"/>
      <c r="F186" s="45"/>
      <c r="G186" s="45"/>
      <c r="H186" s="45"/>
      <c r="I186" s="45"/>
      <c r="J186" s="45"/>
      <c r="K186" s="45"/>
    </row>
    <row r="187" spans="1:11" ht="15.75" customHeight="1" x14ac:dyDescent="0.45">
      <c r="A187" s="22"/>
      <c r="B187" s="22"/>
      <c r="C187" s="22"/>
      <c r="D187" s="22"/>
      <c r="E187" s="45"/>
      <c r="F187" s="45"/>
      <c r="G187" s="45"/>
      <c r="H187" s="45"/>
      <c r="I187" s="45"/>
      <c r="J187" s="45"/>
      <c r="K187" s="45"/>
    </row>
    <row r="188" spans="1:11" ht="15.75" customHeight="1" x14ac:dyDescent="0.45">
      <c r="A188" s="22"/>
      <c r="B188" s="22"/>
      <c r="C188" s="22"/>
      <c r="D188" s="22"/>
      <c r="E188" s="45"/>
      <c r="F188" s="45"/>
      <c r="G188" s="45"/>
      <c r="H188" s="45"/>
      <c r="I188" s="45"/>
      <c r="J188" s="45"/>
      <c r="K188" s="45"/>
    </row>
    <row r="189" spans="1:11" ht="15.75" customHeight="1" x14ac:dyDescent="0.45">
      <c r="A189" s="22"/>
      <c r="B189" s="22"/>
      <c r="C189" s="22"/>
      <c r="D189" s="22"/>
      <c r="E189" s="45"/>
      <c r="F189" s="45"/>
      <c r="G189" s="45"/>
      <c r="H189" s="45"/>
      <c r="I189" s="45"/>
      <c r="J189" s="45"/>
      <c r="K189" s="45"/>
    </row>
    <row r="190" spans="1:11" ht="15.75" customHeight="1" x14ac:dyDescent="0.45">
      <c r="A190" s="22"/>
      <c r="B190" s="22"/>
      <c r="C190" s="22"/>
      <c r="D190" s="22"/>
      <c r="E190" s="45"/>
      <c r="F190" s="45"/>
      <c r="G190" s="45"/>
      <c r="H190" s="45"/>
      <c r="I190" s="45"/>
      <c r="J190" s="45"/>
      <c r="K190" s="45"/>
    </row>
    <row r="191" spans="1:11" ht="15.75" customHeight="1" x14ac:dyDescent="0.45">
      <c r="A191" s="22"/>
      <c r="B191" s="22"/>
      <c r="C191" s="22"/>
      <c r="D191" s="22"/>
      <c r="E191" s="45"/>
      <c r="F191" s="45"/>
      <c r="G191" s="45"/>
      <c r="H191" s="45"/>
      <c r="I191" s="45"/>
      <c r="J191" s="45"/>
      <c r="K191" s="45"/>
    </row>
    <row r="192" spans="1:11" ht="15.75" customHeight="1" x14ac:dyDescent="0.45">
      <c r="A192" s="22"/>
      <c r="B192" s="22"/>
      <c r="C192" s="22"/>
      <c r="D192" s="22"/>
      <c r="E192" s="45"/>
      <c r="F192" s="45"/>
      <c r="G192" s="45"/>
      <c r="H192" s="45"/>
      <c r="I192" s="45"/>
      <c r="J192" s="45"/>
      <c r="K192" s="45"/>
    </row>
    <row r="193" spans="1:11" ht="15.75" customHeight="1" x14ac:dyDescent="0.45">
      <c r="A193" s="22"/>
      <c r="B193" s="22"/>
      <c r="C193" s="22"/>
      <c r="D193" s="22"/>
      <c r="E193" s="45"/>
      <c r="F193" s="45"/>
      <c r="G193" s="45"/>
      <c r="H193" s="45"/>
      <c r="I193" s="45"/>
      <c r="J193" s="45"/>
      <c r="K193" s="45"/>
    </row>
    <row r="194" spans="1:11" ht="15.75" customHeight="1" x14ac:dyDescent="0.45">
      <c r="A194" s="22"/>
      <c r="B194" s="22"/>
      <c r="C194" s="22"/>
      <c r="D194" s="22"/>
      <c r="E194" s="45"/>
      <c r="F194" s="45"/>
      <c r="G194" s="45"/>
      <c r="H194" s="45"/>
      <c r="I194" s="45"/>
      <c r="J194" s="45"/>
      <c r="K194" s="45"/>
    </row>
    <row r="195" spans="1:11" ht="15.75" customHeight="1" x14ac:dyDescent="0.45">
      <c r="A195" s="22"/>
      <c r="B195" s="22"/>
      <c r="C195" s="22"/>
      <c r="D195" s="22"/>
      <c r="E195" s="45"/>
      <c r="F195" s="45"/>
      <c r="G195" s="45"/>
      <c r="H195" s="45"/>
      <c r="I195" s="45"/>
      <c r="J195" s="45"/>
      <c r="K195" s="45"/>
    </row>
    <row r="196" spans="1:11" ht="15.75" customHeight="1" x14ac:dyDescent="0.45">
      <c r="A196" s="22"/>
      <c r="B196" s="22"/>
      <c r="C196" s="22"/>
      <c r="D196" s="22"/>
      <c r="E196" s="45"/>
      <c r="F196" s="45"/>
      <c r="G196" s="45"/>
      <c r="H196" s="45"/>
      <c r="I196" s="45"/>
      <c r="J196" s="45"/>
      <c r="K196" s="45"/>
    </row>
    <row r="197" spans="1:11" ht="15.75" customHeight="1" x14ac:dyDescent="0.45">
      <c r="A197" s="22"/>
      <c r="B197" s="22"/>
      <c r="C197" s="22"/>
      <c r="D197" s="22"/>
      <c r="E197" s="45"/>
      <c r="F197" s="45"/>
      <c r="G197" s="45"/>
      <c r="H197" s="45"/>
      <c r="I197" s="45"/>
      <c r="J197" s="45"/>
      <c r="K197" s="45"/>
    </row>
    <row r="198" spans="1:11" ht="15.75" customHeight="1" x14ac:dyDescent="0.45">
      <c r="A198" s="22"/>
      <c r="B198" s="22"/>
      <c r="C198" s="22"/>
      <c r="D198" s="22"/>
      <c r="E198" s="45"/>
      <c r="F198" s="45"/>
      <c r="G198" s="45"/>
      <c r="H198" s="45"/>
      <c r="I198" s="45"/>
      <c r="J198" s="45"/>
      <c r="K198" s="45"/>
    </row>
    <row r="199" spans="1:11" ht="15.75" customHeight="1" x14ac:dyDescent="0.45">
      <c r="A199" s="22"/>
      <c r="B199" s="22"/>
      <c r="C199" s="22"/>
      <c r="D199" s="22"/>
      <c r="E199" s="45"/>
      <c r="F199" s="45"/>
      <c r="G199" s="45"/>
      <c r="H199" s="45"/>
      <c r="I199" s="45"/>
      <c r="J199" s="45"/>
      <c r="K199" s="45"/>
    </row>
    <row r="200" spans="1:11" ht="15.75" customHeight="1" x14ac:dyDescent="0.45">
      <c r="A200" s="22"/>
      <c r="B200" s="22"/>
      <c r="C200" s="22"/>
      <c r="D200" s="22"/>
      <c r="E200" s="45"/>
      <c r="F200" s="45"/>
      <c r="G200" s="45"/>
      <c r="H200" s="45"/>
      <c r="I200" s="45"/>
      <c r="J200" s="45"/>
      <c r="K200" s="45"/>
    </row>
    <row r="201" spans="1:11" ht="15.75" customHeight="1" x14ac:dyDescent="0.45">
      <c r="A201" s="22"/>
      <c r="B201" s="22"/>
      <c r="C201" s="22"/>
      <c r="D201" s="22"/>
      <c r="E201" s="45"/>
      <c r="F201" s="45"/>
      <c r="G201" s="45"/>
      <c r="H201" s="45"/>
      <c r="I201" s="45"/>
      <c r="J201" s="45"/>
      <c r="K201" s="45"/>
    </row>
    <row r="202" spans="1:11" ht="15.75" customHeight="1" x14ac:dyDescent="0.45">
      <c r="A202" s="22"/>
      <c r="B202" s="22"/>
      <c r="C202" s="22"/>
      <c r="D202" s="22"/>
      <c r="E202" s="45"/>
      <c r="F202" s="45"/>
      <c r="G202" s="45"/>
      <c r="H202" s="45"/>
      <c r="I202" s="45"/>
      <c r="J202" s="45"/>
      <c r="K202" s="45"/>
    </row>
    <row r="203" spans="1:11" ht="15.75" customHeight="1" x14ac:dyDescent="0.45">
      <c r="A203" s="22"/>
      <c r="B203" s="22"/>
      <c r="C203" s="22"/>
      <c r="D203" s="22"/>
      <c r="E203" s="45"/>
      <c r="F203" s="45"/>
      <c r="G203" s="45"/>
      <c r="H203" s="45"/>
      <c r="I203" s="45"/>
      <c r="J203" s="45"/>
      <c r="K203" s="45"/>
    </row>
    <row r="204" spans="1:11" ht="15.75" customHeight="1" x14ac:dyDescent="0.45">
      <c r="A204" s="22"/>
      <c r="B204" s="22"/>
      <c r="C204" s="22"/>
      <c r="D204" s="22"/>
      <c r="E204" s="45"/>
      <c r="F204" s="45"/>
      <c r="G204" s="45"/>
      <c r="H204" s="45"/>
      <c r="I204" s="45"/>
      <c r="J204" s="45"/>
      <c r="K204" s="45"/>
    </row>
    <row r="205" spans="1:11" ht="15.75" customHeight="1" x14ac:dyDescent="0.45">
      <c r="A205" s="22"/>
      <c r="B205" s="22"/>
      <c r="C205" s="22"/>
      <c r="D205" s="22"/>
      <c r="E205" s="45"/>
      <c r="F205" s="45"/>
      <c r="G205" s="45"/>
      <c r="H205" s="45"/>
      <c r="I205" s="45"/>
      <c r="J205" s="45"/>
      <c r="K205" s="45"/>
    </row>
    <row r="206" spans="1:11" ht="15.75" customHeight="1" x14ac:dyDescent="0.45">
      <c r="A206" s="22"/>
      <c r="B206" s="22"/>
      <c r="C206" s="22"/>
      <c r="D206" s="22"/>
      <c r="E206" s="45"/>
      <c r="F206" s="45"/>
      <c r="G206" s="45"/>
      <c r="H206" s="45"/>
      <c r="I206" s="45"/>
      <c r="J206" s="45"/>
      <c r="K206" s="45"/>
    </row>
    <row r="207" spans="1:11" ht="15.75" customHeight="1" x14ac:dyDescent="0.45">
      <c r="A207" s="22"/>
      <c r="B207" s="22"/>
      <c r="C207" s="22"/>
      <c r="D207" s="22"/>
      <c r="E207" s="45"/>
      <c r="F207" s="45"/>
      <c r="G207" s="45"/>
      <c r="H207" s="45"/>
      <c r="I207" s="45"/>
      <c r="J207" s="45"/>
      <c r="K207" s="45"/>
    </row>
    <row r="208" spans="1:11" ht="15.75" customHeight="1" x14ac:dyDescent="0.45">
      <c r="A208" s="22"/>
      <c r="B208" s="22"/>
      <c r="C208" s="22"/>
      <c r="D208" s="22"/>
      <c r="E208" s="45"/>
      <c r="F208" s="45"/>
      <c r="G208" s="45"/>
      <c r="H208" s="45"/>
      <c r="I208" s="45"/>
      <c r="J208" s="45"/>
      <c r="K208" s="45"/>
    </row>
    <row r="209" spans="1:11" ht="15.75" customHeight="1" x14ac:dyDescent="0.45">
      <c r="A209" s="22"/>
      <c r="B209" s="22"/>
      <c r="C209" s="22"/>
      <c r="D209" s="22"/>
      <c r="E209" s="45"/>
      <c r="F209" s="45"/>
      <c r="G209" s="45"/>
      <c r="H209" s="45"/>
      <c r="I209" s="45"/>
      <c r="J209" s="45"/>
      <c r="K209" s="45"/>
    </row>
    <row r="210" spans="1:11" ht="15.75" customHeight="1" x14ac:dyDescent="0.45">
      <c r="A210" s="22"/>
      <c r="B210" s="22"/>
      <c r="C210" s="22"/>
      <c r="D210" s="22"/>
      <c r="E210" s="45"/>
      <c r="F210" s="45"/>
      <c r="G210" s="45"/>
      <c r="H210" s="45"/>
      <c r="I210" s="45"/>
      <c r="J210" s="45"/>
      <c r="K210" s="45"/>
    </row>
    <row r="211" spans="1:11" ht="15.75" customHeight="1" x14ac:dyDescent="0.45">
      <c r="A211" s="22"/>
      <c r="B211" s="22"/>
      <c r="C211" s="22"/>
      <c r="D211" s="22"/>
      <c r="E211" s="45"/>
      <c r="F211" s="45"/>
      <c r="G211" s="45"/>
      <c r="H211" s="45"/>
      <c r="I211" s="45"/>
      <c r="J211" s="45"/>
      <c r="K211" s="45"/>
    </row>
    <row r="212" spans="1:11" ht="15.75" customHeight="1" x14ac:dyDescent="0.45">
      <c r="A212" s="22"/>
      <c r="B212" s="22"/>
      <c r="C212" s="22"/>
      <c r="D212" s="22"/>
      <c r="E212" s="45"/>
      <c r="F212" s="45"/>
      <c r="G212" s="45"/>
      <c r="H212" s="45"/>
      <c r="I212" s="45"/>
      <c r="J212" s="45"/>
      <c r="K212" s="45"/>
    </row>
    <row r="213" spans="1:11" ht="15.75" customHeight="1" x14ac:dyDescent="0.45">
      <c r="A213" s="22"/>
      <c r="B213" s="22"/>
      <c r="C213" s="22"/>
      <c r="D213" s="22"/>
      <c r="E213" s="45"/>
      <c r="F213" s="45"/>
      <c r="G213" s="45"/>
      <c r="H213" s="45"/>
      <c r="I213" s="45"/>
      <c r="J213" s="45"/>
      <c r="K213" s="45"/>
    </row>
    <row r="214" spans="1:11" ht="15.75" customHeight="1" x14ac:dyDescent="0.45">
      <c r="A214" s="22"/>
      <c r="B214" s="22"/>
      <c r="C214" s="22"/>
      <c r="D214" s="22"/>
      <c r="E214" s="45"/>
      <c r="F214" s="45"/>
      <c r="G214" s="45"/>
      <c r="H214" s="45"/>
      <c r="I214" s="45"/>
      <c r="J214" s="45"/>
      <c r="K214" s="45"/>
    </row>
    <row r="215" spans="1:11" ht="15.75" customHeight="1" x14ac:dyDescent="0.45">
      <c r="A215" s="22"/>
      <c r="B215" s="22"/>
      <c r="C215" s="22"/>
      <c r="D215" s="22"/>
      <c r="E215" s="45"/>
      <c r="F215" s="45"/>
      <c r="G215" s="45"/>
      <c r="H215" s="45"/>
      <c r="I215" s="45"/>
      <c r="J215" s="45"/>
      <c r="K215" s="45"/>
    </row>
    <row r="216" spans="1:11" ht="15.75" customHeight="1" x14ac:dyDescent="0.45">
      <c r="A216" s="22"/>
      <c r="B216" s="22"/>
      <c r="C216" s="22"/>
      <c r="D216" s="22"/>
      <c r="E216" s="45"/>
      <c r="F216" s="45"/>
      <c r="G216" s="45"/>
      <c r="H216" s="45"/>
      <c r="I216" s="45"/>
      <c r="J216" s="45"/>
      <c r="K216" s="45"/>
    </row>
    <row r="217" spans="1:11" ht="15.75" customHeight="1" x14ac:dyDescent="0.45">
      <c r="A217" s="22"/>
      <c r="B217" s="22"/>
      <c r="C217" s="22"/>
      <c r="D217" s="22"/>
      <c r="E217" s="45"/>
      <c r="F217" s="45"/>
      <c r="G217" s="45"/>
      <c r="H217" s="45"/>
      <c r="I217" s="45"/>
      <c r="J217" s="45"/>
      <c r="K217" s="45"/>
    </row>
    <row r="218" spans="1:11" ht="15.75" customHeight="1" x14ac:dyDescent="0.45">
      <c r="A218" s="22"/>
      <c r="B218" s="22"/>
      <c r="C218" s="22"/>
      <c r="D218" s="22"/>
      <c r="E218" s="45"/>
      <c r="F218" s="45"/>
      <c r="G218" s="45"/>
      <c r="H218" s="45"/>
      <c r="I218" s="45"/>
      <c r="J218" s="45"/>
      <c r="K218" s="45"/>
    </row>
    <row r="219" spans="1:11" ht="15.75" customHeight="1" x14ac:dyDescent="0.45">
      <c r="A219" s="22"/>
      <c r="B219" s="22"/>
      <c r="C219" s="22"/>
      <c r="D219" s="22"/>
      <c r="E219" s="45"/>
      <c r="F219" s="45"/>
      <c r="G219" s="45"/>
      <c r="H219" s="45"/>
      <c r="I219" s="45"/>
      <c r="J219" s="45"/>
      <c r="K219" s="45"/>
    </row>
    <row r="220" spans="1:11" ht="15.75" customHeight="1" x14ac:dyDescent="0.45">
      <c r="A220" s="22"/>
      <c r="B220" s="22"/>
      <c r="C220" s="22"/>
      <c r="D220" s="22"/>
      <c r="E220" s="45"/>
      <c r="F220" s="45"/>
      <c r="G220" s="45"/>
      <c r="H220" s="45"/>
      <c r="I220" s="45"/>
      <c r="J220" s="45"/>
      <c r="K220" s="45"/>
    </row>
    <row r="221" spans="1:11" ht="15.75" customHeight="1" x14ac:dyDescent="0.45">
      <c r="A221" s="22"/>
      <c r="B221" s="22"/>
      <c r="C221" s="22"/>
      <c r="D221" s="22"/>
      <c r="E221" s="45"/>
      <c r="F221" s="45"/>
      <c r="G221" s="45"/>
      <c r="H221" s="45"/>
      <c r="I221" s="45"/>
      <c r="J221" s="45"/>
      <c r="K221" s="45"/>
    </row>
    <row r="222" spans="1:11" ht="15.75" customHeight="1" x14ac:dyDescent="0.45">
      <c r="A222" s="22"/>
      <c r="B222" s="22"/>
      <c r="C222" s="22"/>
      <c r="D222" s="22"/>
      <c r="E222" s="45"/>
      <c r="F222" s="45"/>
      <c r="G222" s="45"/>
      <c r="H222" s="45"/>
      <c r="I222" s="45"/>
      <c r="J222" s="45"/>
      <c r="K222" s="45"/>
    </row>
    <row r="223" spans="1:11" ht="15.75" customHeight="1" x14ac:dyDescent="0.45">
      <c r="A223" s="22"/>
      <c r="B223" s="22"/>
      <c r="C223" s="22"/>
      <c r="D223" s="22"/>
      <c r="E223" s="45"/>
      <c r="F223" s="45"/>
      <c r="G223" s="45"/>
      <c r="H223" s="45"/>
      <c r="I223" s="45"/>
      <c r="J223" s="45"/>
      <c r="K223" s="45"/>
    </row>
    <row r="224" spans="1:11" ht="15.75" customHeight="1" x14ac:dyDescent="0.45">
      <c r="A224" s="22"/>
      <c r="B224" s="22"/>
      <c r="C224" s="22"/>
      <c r="D224" s="22"/>
      <c r="E224" s="45"/>
      <c r="F224" s="45"/>
      <c r="G224" s="45"/>
      <c r="H224" s="45"/>
      <c r="I224" s="45"/>
      <c r="J224" s="45"/>
      <c r="K224" s="45"/>
    </row>
    <row r="225" spans="1:11" ht="15.75" customHeight="1" x14ac:dyDescent="0.45">
      <c r="A225" s="22"/>
      <c r="B225" s="22"/>
      <c r="C225" s="22"/>
      <c r="D225" s="22"/>
      <c r="E225" s="45"/>
      <c r="F225" s="45"/>
      <c r="G225" s="45"/>
      <c r="H225" s="45"/>
      <c r="I225" s="45"/>
      <c r="J225" s="45"/>
      <c r="K225" s="45"/>
    </row>
    <row r="226" spans="1:11" ht="15.75" customHeight="1" x14ac:dyDescent="0.45">
      <c r="A226" s="22"/>
      <c r="B226" s="22"/>
      <c r="C226" s="22"/>
      <c r="D226" s="22"/>
      <c r="E226" s="45"/>
      <c r="F226" s="45"/>
      <c r="G226" s="45"/>
      <c r="H226" s="45"/>
      <c r="I226" s="45"/>
      <c r="J226" s="45"/>
      <c r="K226" s="45"/>
    </row>
    <row r="227" spans="1:11" ht="15.75" customHeight="1" x14ac:dyDescent="0.45">
      <c r="A227" s="22"/>
      <c r="B227" s="22"/>
      <c r="C227" s="22"/>
      <c r="D227" s="22"/>
      <c r="E227" s="45"/>
      <c r="F227" s="45"/>
      <c r="G227" s="45"/>
      <c r="H227" s="45"/>
      <c r="I227" s="45"/>
      <c r="J227" s="45"/>
      <c r="K227" s="45"/>
    </row>
    <row r="228" spans="1:11" ht="15.75" customHeight="1" x14ac:dyDescent="0.45">
      <c r="A228" s="22"/>
      <c r="B228" s="22"/>
      <c r="C228" s="22"/>
      <c r="D228" s="22"/>
      <c r="E228" s="45"/>
      <c r="F228" s="45"/>
      <c r="G228" s="45"/>
      <c r="H228" s="45"/>
      <c r="I228" s="45"/>
      <c r="J228" s="45"/>
      <c r="K228" s="45"/>
    </row>
    <row r="229" spans="1:11" ht="15.75" customHeight="1" x14ac:dyDescent="0.45">
      <c r="A229" s="22"/>
      <c r="B229" s="22"/>
      <c r="C229" s="22"/>
      <c r="D229" s="22"/>
      <c r="E229" s="45"/>
      <c r="F229" s="45"/>
      <c r="G229" s="45"/>
      <c r="H229" s="45"/>
      <c r="I229" s="45"/>
      <c r="J229" s="45"/>
      <c r="K229" s="45"/>
    </row>
    <row r="230" spans="1:11" ht="15.75" customHeight="1" x14ac:dyDescent="0.45">
      <c r="A230" s="22"/>
      <c r="B230" s="22"/>
      <c r="C230" s="22"/>
      <c r="D230" s="22"/>
      <c r="E230" s="45"/>
      <c r="F230" s="45"/>
      <c r="G230" s="45"/>
      <c r="H230" s="45"/>
      <c r="I230" s="45"/>
      <c r="J230" s="45"/>
      <c r="K230" s="45"/>
    </row>
    <row r="231" spans="1:11" ht="15.75" customHeight="1" x14ac:dyDescent="0.45">
      <c r="A231" s="22"/>
      <c r="B231" s="22"/>
      <c r="C231" s="22"/>
      <c r="D231" s="22"/>
      <c r="E231" s="45"/>
      <c r="F231" s="45"/>
      <c r="G231" s="45"/>
      <c r="H231" s="45"/>
      <c r="I231" s="45"/>
      <c r="J231" s="45"/>
      <c r="K231" s="45"/>
    </row>
    <row r="232" spans="1:11" ht="15.75" customHeight="1" x14ac:dyDescent="0.45">
      <c r="A232" s="22"/>
      <c r="B232" s="22"/>
      <c r="C232" s="22"/>
      <c r="D232" s="22"/>
      <c r="E232" s="45"/>
      <c r="F232" s="45"/>
      <c r="G232" s="45"/>
      <c r="H232" s="45"/>
      <c r="I232" s="45"/>
      <c r="J232" s="45"/>
      <c r="K232" s="45"/>
    </row>
    <row r="233" spans="1:11" ht="15.75" customHeight="1" x14ac:dyDescent="0.45">
      <c r="A233" s="22"/>
      <c r="B233" s="22"/>
      <c r="C233" s="22"/>
      <c r="D233" s="22"/>
      <c r="E233" s="45"/>
      <c r="F233" s="45"/>
      <c r="G233" s="45"/>
      <c r="H233" s="45"/>
      <c r="I233" s="45"/>
      <c r="J233" s="45"/>
      <c r="K233" s="45"/>
    </row>
    <row r="234" spans="1:11" ht="15.75" customHeight="1" x14ac:dyDescent="0.45">
      <c r="A234" s="22"/>
      <c r="B234" s="22"/>
      <c r="C234" s="22"/>
      <c r="D234" s="22"/>
      <c r="E234" s="45"/>
      <c r="F234" s="45"/>
      <c r="G234" s="45"/>
      <c r="H234" s="45"/>
      <c r="I234" s="45"/>
      <c r="J234" s="45"/>
      <c r="K234" s="45"/>
    </row>
    <row r="235" spans="1:11" ht="15.75" customHeight="1" x14ac:dyDescent="0.45">
      <c r="A235" s="22"/>
      <c r="B235" s="22"/>
      <c r="C235" s="22"/>
      <c r="D235" s="22"/>
      <c r="E235" s="45"/>
      <c r="F235" s="45"/>
      <c r="G235" s="45"/>
      <c r="H235" s="45"/>
      <c r="I235" s="45"/>
      <c r="J235" s="45"/>
      <c r="K235" s="45"/>
    </row>
    <row r="236" spans="1:11" ht="15.75" customHeight="1" x14ac:dyDescent="0.45">
      <c r="A236" s="22"/>
      <c r="B236" s="22"/>
      <c r="C236" s="22"/>
      <c r="D236" s="22"/>
      <c r="E236" s="45"/>
      <c r="F236" s="45"/>
      <c r="G236" s="45"/>
      <c r="H236" s="45"/>
      <c r="I236" s="45"/>
      <c r="J236" s="45"/>
      <c r="K236" s="45"/>
    </row>
    <row r="237" spans="1:11" ht="15.75" customHeight="1" x14ac:dyDescent="0.45">
      <c r="A237" s="22"/>
      <c r="B237" s="22"/>
      <c r="C237" s="22"/>
      <c r="D237" s="22"/>
      <c r="E237" s="45"/>
      <c r="F237" s="45"/>
      <c r="G237" s="45"/>
      <c r="H237" s="45"/>
      <c r="I237" s="45"/>
      <c r="J237" s="45"/>
      <c r="K237" s="45"/>
    </row>
    <row r="238" spans="1:11" ht="15.75" customHeight="1" x14ac:dyDescent="0.45">
      <c r="A238" s="22"/>
      <c r="B238" s="22"/>
      <c r="C238" s="22"/>
      <c r="D238" s="22"/>
      <c r="E238" s="45"/>
      <c r="F238" s="45"/>
      <c r="G238" s="45"/>
      <c r="H238" s="45"/>
      <c r="I238" s="45"/>
      <c r="J238" s="45"/>
      <c r="K238" s="45"/>
    </row>
    <row r="239" spans="1:11" ht="15.75" customHeight="1" x14ac:dyDescent="0.45">
      <c r="A239" s="22"/>
      <c r="B239" s="22"/>
      <c r="C239" s="22"/>
      <c r="D239" s="22"/>
      <c r="E239" s="45"/>
      <c r="F239" s="45"/>
      <c r="G239" s="45"/>
      <c r="H239" s="45"/>
      <c r="I239" s="45"/>
      <c r="J239" s="45"/>
      <c r="K239" s="45"/>
    </row>
    <row r="240" spans="1:11" ht="15.75" customHeight="1" x14ac:dyDescent="0.45">
      <c r="A240" s="22"/>
      <c r="B240" s="22"/>
      <c r="C240" s="22"/>
      <c r="D240" s="22"/>
      <c r="E240" s="45"/>
      <c r="F240" s="45"/>
      <c r="G240" s="45"/>
      <c r="H240" s="45"/>
      <c r="I240" s="45"/>
      <c r="J240" s="45"/>
      <c r="K240" s="45"/>
    </row>
    <row r="241" spans="1:11" ht="15.75" customHeight="1" x14ac:dyDescent="0.45">
      <c r="A241" s="22"/>
      <c r="B241" s="22"/>
      <c r="C241" s="22"/>
      <c r="D241" s="22"/>
      <c r="E241" s="45"/>
      <c r="F241" s="45"/>
      <c r="G241" s="45"/>
      <c r="H241" s="45"/>
      <c r="I241" s="45"/>
      <c r="J241" s="45"/>
      <c r="K241" s="45"/>
    </row>
    <row r="242" spans="1:11" ht="15.75" customHeight="1" x14ac:dyDescent="0.45">
      <c r="A242" s="22"/>
      <c r="B242" s="22"/>
      <c r="C242" s="22"/>
      <c r="D242" s="22"/>
      <c r="E242" s="45"/>
      <c r="F242" s="45"/>
      <c r="G242" s="45"/>
      <c r="H242" s="45"/>
      <c r="I242" s="45"/>
      <c r="J242" s="45"/>
      <c r="K242" s="45"/>
    </row>
    <row r="243" spans="1:11" ht="15.75" customHeight="1" x14ac:dyDescent="0.45">
      <c r="A243" s="22"/>
      <c r="B243" s="22"/>
      <c r="C243" s="22"/>
      <c r="D243" s="22"/>
      <c r="E243" s="45"/>
      <c r="F243" s="45"/>
      <c r="G243" s="45"/>
      <c r="H243" s="45"/>
      <c r="I243" s="45"/>
      <c r="J243" s="45"/>
      <c r="K243" s="45"/>
    </row>
    <row r="244" spans="1:11" ht="15.75" customHeight="1" x14ac:dyDescent="0.45">
      <c r="A244" s="22"/>
      <c r="B244" s="22"/>
      <c r="C244" s="22"/>
      <c r="D244" s="22"/>
      <c r="E244" s="45"/>
      <c r="F244" s="45"/>
      <c r="G244" s="45"/>
      <c r="H244" s="45"/>
      <c r="I244" s="45"/>
      <c r="J244" s="45"/>
      <c r="K244" s="45"/>
    </row>
    <row r="245" spans="1:11" ht="15.75" customHeight="1" x14ac:dyDescent="0.45">
      <c r="A245" s="22"/>
      <c r="B245" s="22"/>
      <c r="C245" s="22"/>
      <c r="D245" s="22"/>
      <c r="E245" s="45"/>
      <c r="F245" s="45"/>
      <c r="G245" s="45"/>
      <c r="H245" s="45"/>
      <c r="I245" s="45"/>
      <c r="J245" s="45"/>
      <c r="K245" s="45"/>
    </row>
    <row r="246" spans="1:11" ht="15.75" customHeight="1" x14ac:dyDescent="0.45">
      <c r="A246" s="22"/>
      <c r="B246" s="22"/>
      <c r="C246" s="22"/>
      <c r="D246" s="22"/>
      <c r="E246" s="45"/>
      <c r="F246" s="45"/>
      <c r="G246" s="45"/>
      <c r="H246" s="45"/>
      <c r="I246" s="45"/>
      <c r="J246" s="45"/>
      <c r="K246" s="45"/>
    </row>
    <row r="247" spans="1:11" ht="15.75" customHeight="1" x14ac:dyDescent="0.45">
      <c r="A247" s="22"/>
      <c r="B247" s="22"/>
      <c r="C247" s="22"/>
      <c r="D247" s="22"/>
      <c r="E247" s="45"/>
      <c r="F247" s="45"/>
      <c r="G247" s="45"/>
      <c r="H247" s="45"/>
      <c r="I247" s="45"/>
      <c r="J247" s="45"/>
      <c r="K247" s="45"/>
    </row>
    <row r="248" spans="1:11" ht="15.75" customHeight="1" x14ac:dyDescent="0.45">
      <c r="A248" s="22"/>
      <c r="B248" s="22"/>
      <c r="C248" s="22"/>
      <c r="D248" s="22"/>
      <c r="E248" s="45"/>
      <c r="F248" s="45"/>
      <c r="G248" s="45"/>
      <c r="H248" s="45"/>
      <c r="I248" s="45"/>
      <c r="J248" s="45"/>
      <c r="K248" s="45"/>
    </row>
    <row r="249" spans="1:11" ht="15.75" customHeight="1" x14ac:dyDescent="0.45">
      <c r="A249" s="22"/>
      <c r="B249" s="22"/>
      <c r="C249" s="22"/>
      <c r="D249" s="22"/>
      <c r="E249" s="45"/>
      <c r="F249" s="45"/>
      <c r="G249" s="45"/>
      <c r="H249" s="45"/>
      <c r="I249" s="45"/>
      <c r="J249" s="45"/>
      <c r="K249" s="45"/>
    </row>
    <row r="250" spans="1:11" ht="15.75" customHeight="1" x14ac:dyDescent="0.45">
      <c r="A250" s="22"/>
      <c r="B250" s="22"/>
      <c r="C250" s="22"/>
      <c r="D250" s="22"/>
      <c r="E250" s="45"/>
      <c r="F250" s="45"/>
      <c r="G250" s="45"/>
      <c r="H250" s="45"/>
      <c r="I250" s="45"/>
      <c r="J250" s="45"/>
      <c r="K250" s="45"/>
    </row>
    <row r="251" spans="1:11" ht="15.75" customHeight="1" x14ac:dyDescent="0.45">
      <c r="A251" s="22"/>
      <c r="B251" s="22"/>
      <c r="C251" s="22"/>
      <c r="D251" s="22"/>
      <c r="E251" s="45"/>
      <c r="F251" s="45"/>
      <c r="G251" s="45"/>
      <c r="H251" s="45"/>
      <c r="I251" s="45"/>
      <c r="J251" s="45"/>
      <c r="K251" s="45"/>
    </row>
    <row r="252" spans="1:11" ht="15.75" customHeight="1" x14ac:dyDescent="0.45">
      <c r="A252" s="22"/>
      <c r="B252" s="22"/>
      <c r="C252" s="22"/>
      <c r="D252" s="22"/>
      <c r="E252" s="45"/>
      <c r="F252" s="45"/>
      <c r="G252" s="45"/>
      <c r="H252" s="45"/>
      <c r="I252" s="45"/>
      <c r="J252" s="45"/>
      <c r="K252" s="45"/>
    </row>
    <row r="253" spans="1:11" ht="15.75" customHeight="1" x14ac:dyDescent="0.45">
      <c r="A253" s="22"/>
      <c r="B253" s="22"/>
      <c r="C253" s="22"/>
      <c r="D253" s="22"/>
      <c r="E253" s="45"/>
      <c r="F253" s="45"/>
      <c r="G253" s="45"/>
      <c r="H253" s="45"/>
      <c r="I253" s="45"/>
      <c r="J253" s="45"/>
      <c r="K253" s="45"/>
    </row>
    <row r="254" spans="1:11" ht="15.75" customHeight="1" x14ac:dyDescent="0.45">
      <c r="A254" s="22"/>
      <c r="B254" s="22"/>
      <c r="C254" s="22"/>
      <c r="D254" s="22"/>
      <c r="E254" s="45"/>
      <c r="F254" s="45"/>
      <c r="G254" s="45"/>
      <c r="H254" s="45"/>
      <c r="I254" s="45"/>
      <c r="J254" s="45"/>
      <c r="K254" s="45"/>
    </row>
    <row r="255" spans="1:11" ht="15.75" customHeight="1" x14ac:dyDescent="0.45">
      <c r="A255" s="22"/>
      <c r="B255" s="22"/>
      <c r="C255" s="22"/>
      <c r="D255" s="22"/>
      <c r="E255" s="45"/>
      <c r="F255" s="45"/>
      <c r="G255" s="45"/>
      <c r="H255" s="45"/>
      <c r="I255" s="45"/>
      <c r="J255" s="45"/>
      <c r="K255" s="45"/>
    </row>
    <row r="256" spans="1:11" ht="15.75" customHeight="1" x14ac:dyDescent="0.45">
      <c r="A256" s="22"/>
      <c r="B256" s="22"/>
      <c r="C256" s="22"/>
      <c r="D256" s="22"/>
      <c r="E256" s="45"/>
      <c r="F256" s="45"/>
      <c r="G256" s="45"/>
      <c r="H256" s="45"/>
      <c r="I256" s="45"/>
      <c r="J256" s="45"/>
      <c r="K256" s="45"/>
    </row>
    <row r="257" spans="1:11" ht="15.75" customHeight="1" x14ac:dyDescent="0.45">
      <c r="A257" s="22"/>
      <c r="B257" s="22"/>
      <c r="C257" s="22"/>
      <c r="D257" s="22"/>
      <c r="E257" s="45"/>
      <c r="F257" s="45"/>
      <c r="G257" s="45"/>
      <c r="H257" s="45"/>
      <c r="I257" s="45"/>
      <c r="J257" s="45"/>
      <c r="K257" s="45"/>
    </row>
    <row r="258" spans="1:11" ht="15.75" customHeight="1" x14ac:dyDescent="0.45">
      <c r="A258" s="22"/>
      <c r="B258" s="22"/>
      <c r="C258" s="22"/>
      <c r="D258" s="22"/>
      <c r="E258" s="45"/>
      <c r="F258" s="45"/>
      <c r="G258" s="45"/>
      <c r="H258" s="45"/>
      <c r="I258" s="45"/>
      <c r="J258" s="45"/>
      <c r="K258" s="45"/>
    </row>
    <row r="259" spans="1:11" ht="15.75" customHeight="1" x14ac:dyDescent="0.45">
      <c r="A259" s="22"/>
      <c r="B259" s="22"/>
      <c r="C259" s="22"/>
      <c r="D259" s="22"/>
      <c r="E259" s="45"/>
      <c r="F259" s="45"/>
      <c r="G259" s="45"/>
      <c r="H259" s="45"/>
      <c r="I259" s="45"/>
      <c r="J259" s="45"/>
      <c r="K259" s="45"/>
    </row>
    <row r="260" spans="1:11" ht="15.75" customHeight="1" x14ac:dyDescent="0.45">
      <c r="A260" s="22"/>
      <c r="B260" s="22"/>
      <c r="C260" s="22"/>
      <c r="D260" s="22"/>
      <c r="E260" s="45"/>
      <c r="F260" s="45"/>
      <c r="G260" s="45"/>
      <c r="H260" s="45"/>
      <c r="I260" s="45"/>
      <c r="J260" s="45"/>
      <c r="K260" s="45"/>
    </row>
    <row r="261" spans="1:11" ht="15.75" customHeight="1" x14ac:dyDescent="0.45">
      <c r="A261" s="22"/>
      <c r="B261" s="22"/>
      <c r="C261" s="22"/>
      <c r="D261" s="22"/>
      <c r="E261" s="45"/>
      <c r="F261" s="45"/>
      <c r="G261" s="45"/>
      <c r="H261" s="45"/>
      <c r="I261" s="45"/>
      <c r="J261" s="45"/>
      <c r="K261" s="45"/>
    </row>
    <row r="262" spans="1:11" ht="15.75" customHeight="1" x14ac:dyDescent="0.45">
      <c r="A262" s="22"/>
      <c r="B262" s="22"/>
      <c r="C262" s="22"/>
      <c r="D262" s="22"/>
      <c r="E262" s="45"/>
      <c r="F262" s="45"/>
      <c r="G262" s="45"/>
      <c r="H262" s="45"/>
      <c r="I262" s="45"/>
      <c r="J262" s="45"/>
      <c r="K262" s="45"/>
    </row>
    <row r="263" spans="1:11" ht="15.75" customHeight="1" x14ac:dyDescent="0.45">
      <c r="A263" s="22"/>
      <c r="B263" s="22"/>
      <c r="C263" s="22"/>
      <c r="D263" s="22"/>
      <c r="E263" s="45"/>
      <c r="F263" s="45"/>
      <c r="G263" s="45"/>
      <c r="H263" s="45"/>
      <c r="I263" s="45"/>
      <c r="J263" s="45"/>
      <c r="K263" s="45"/>
    </row>
    <row r="264" spans="1:11" ht="15.75" customHeight="1" x14ac:dyDescent="0.45">
      <c r="A264" s="22"/>
      <c r="B264" s="22"/>
      <c r="C264" s="22"/>
      <c r="D264" s="22"/>
      <c r="E264" s="45"/>
      <c r="F264" s="45"/>
      <c r="G264" s="45"/>
      <c r="H264" s="45"/>
      <c r="I264" s="45"/>
      <c r="J264" s="45"/>
      <c r="K264" s="45"/>
    </row>
    <row r="265" spans="1:11" ht="15.75" customHeight="1" x14ac:dyDescent="0.45">
      <c r="A265" s="22"/>
      <c r="B265" s="22"/>
      <c r="C265" s="22"/>
      <c r="D265" s="22"/>
      <c r="E265" s="45"/>
      <c r="F265" s="45"/>
      <c r="G265" s="45"/>
      <c r="H265" s="45"/>
      <c r="I265" s="45"/>
      <c r="J265" s="45"/>
      <c r="K265" s="45"/>
    </row>
    <row r="266" spans="1:11" ht="15.75" customHeight="1" x14ac:dyDescent="0.45">
      <c r="A266" s="22"/>
      <c r="B266" s="22"/>
      <c r="C266" s="22"/>
      <c r="D266" s="22"/>
      <c r="E266" s="45"/>
      <c r="F266" s="45"/>
      <c r="G266" s="45"/>
      <c r="H266" s="45"/>
      <c r="I266" s="45"/>
      <c r="J266" s="45"/>
      <c r="K266" s="45"/>
    </row>
    <row r="267" spans="1:11" ht="15.75" customHeight="1" x14ac:dyDescent="0.45">
      <c r="A267" s="22"/>
      <c r="B267" s="22"/>
      <c r="C267" s="22"/>
      <c r="D267" s="22"/>
      <c r="E267" s="45"/>
      <c r="F267" s="45"/>
      <c r="G267" s="45"/>
      <c r="H267" s="45"/>
      <c r="I267" s="45"/>
      <c r="J267" s="45"/>
      <c r="K267" s="45"/>
    </row>
    <row r="268" spans="1:11" ht="15.75" customHeight="1" x14ac:dyDescent="0.45">
      <c r="A268" s="22"/>
      <c r="B268" s="22"/>
      <c r="C268" s="22"/>
      <c r="D268" s="22"/>
      <c r="E268" s="45"/>
      <c r="F268" s="45"/>
      <c r="G268" s="45"/>
      <c r="H268" s="45"/>
      <c r="I268" s="45"/>
      <c r="J268" s="45"/>
      <c r="K268" s="45"/>
    </row>
    <row r="269" spans="1:11" ht="15.75" customHeight="1" x14ac:dyDescent="0.45">
      <c r="A269" s="22"/>
      <c r="B269" s="22"/>
      <c r="C269" s="22"/>
      <c r="D269" s="22"/>
      <c r="E269" s="45"/>
      <c r="F269" s="45"/>
      <c r="G269" s="45"/>
      <c r="H269" s="45"/>
      <c r="I269" s="45"/>
      <c r="J269" s="45"/>
      <c r="K269" s="45"/>
    </row>
    <row r="270" spans="1:11" ht="15.75" customHeight="1" x14ac:dyDescent="0.45">
      <c r="A270" s="22"/>
      <c r="B270" s="22"/>
      <c r="C270" s="22"/>
      <c r="D270" s="22"/>
      <c r="E270" s="45"/>
      <c r="F270" s="45"/>
      <c r="G270" s="45"/>
      <c r="H270" s="45"/>
      <c r="I270" s="45"/>
      <c r="J270" s="45"/>
      <c r="K270" s="45"/>
    </row>
    <row r="271" spans="1:11" ht="15.75" customHeight="1" x14ac:dyDescent="0.45">
      <c r="A271" s="22"/>
      <c r="B271" s="22"/>
      <c r="C271" s="22"/>
      <c r="D271" s="22"/>
      <c r="E271" s="45"/>
      <c r="F271" s="45"/>
      <c r="G271" s="45"/>
      <c r="H271" s="45"/>
      <c r="I271" s="45"/>
      <c r="J271" s="45"/>
      <c r="K271" s="45"/>
    </row>
    <row r="272" spans="1:11" ht="15.75" customHeight="1" x14ac:dyDescent="0.45">
      <c r="A272" s="22"/>
      <c r="B272" s="22"/>
      <c r="C272" s="22"/>
      <c r="D272" s="22"/>
      <c r="E272" s="45"/>
      <c r="F272" s="45"/>
      <c r="G272" s="45"/>
      <c r="H272" s="45"/>
      <c r="I272" s="45"/>
      <c r="J272" s="45"/>
      <c r="K272" s="45"/>
    </row>
    <row r="273" spans="1:11" ht="15.75" customHeight="1" x14ac:dyDescent="0.45">
      <c r="A273" s="22"/>
      <c r="B273" s="22"/>
      <c r="C273" s="22"/>
      <c r="D273" s="22"/>
      <c r="E273" s="45"/>
      <c r="F273" s="45"/>
      <c r="G273" s="45"/>
      <c r="H273" s="45"/>
      <c r="I273" s="45"/>
      <c r="J273" s="45"/>
      <c r="K273" s="45"/>
    </row>
    <row r="274" spans="1:11" ht="15.75" customHeight="1" x14ac:dyDescent="0.45">
      <c r="A274" s="22"/>
      <c r="B274" s="22"/>
      <c r="C274" s="22"/>
      <c r="D274" s="22"/>
      <c r="E274" s="45"/>
      <c r="F274" s="45"/>
      <c r="G274" s="45"/>
      <c r="H274" s="45"/>
      <c r="I274" s="45"/>
      <c r="J274" s="45"/>
      <c r="K274" s="45"/>
    </row>
    <row r="275" spans="1:11" ht="15.75" customHeight="1" x14ac:dyDescent="0.45">
      <c r="A275" s="22"/>
      <c r="B275" s="22"/>
      <c r="C275" s="22"/>
      <c r="D275" s="22"/>
      <c r="E275" s="45"/>
      <c r="F275" s="45"/>
      <c r="G275" s="45"/>
      <c r="H275" s="45"/>
      <c r="I275" s="45"/>
      <c r="J275" s="45"/>
      <c r="K275" s="45"/>
    </row>
    <row r="276" spans="1:11" ht="15.75" customHeight="1" x14ac:dyDescent="0.45">
      <c r="A276" s="22"/>
      <c r="B276" s="22"/>
      <c r="C276" s="22"/>
      <c r="D276" s="22"/>
      <c r="E276" s="45"/>
      <c r="F276" s="45"/>
      <c r="G276" s="45"/>
      <c r="H276" s="45"/>
      <c r="I276" s="45"/>
      <c r="J276" s="45"/>
      <c r="K276" s="45"/>
    </row>
    <row r="277" spans="1:11" ht="15.75" customHeight="1" x14ac:dyDescent="0.45">
      <c r="A277" s="22"/>
      <c r="B277" s="22"/>
      <c r="C277" s="22"/>
      <c r="D277" s="22"/>
      <c r="E277" s="45"/>
      <c r="F277" s="45"/>
      <c r="G277" s="45"/>
      <c r="H277" s="45"/>
      <c r="I277" s="45"/>
      <c r="J277" s="45"/>
      <c r="K277" s="45"/>
    </row>
    <row r="278" spans="1:11" ht="15.75" customHeight="1" x14ac:dyDescent="0.45">
      <c r="A278" s="22"/>
      <c r="B278" s="22"/>
      <c r="C278" s="22"/>
      <c r="D278" s="22"/>
      <c r="E278" s="45"/>
      <c r="F278" s="45"/>
      <c r="G278" s="45"/>
      <c r="H278" s="45"/>
      <c r="I278" s="45"/>
      <c r="J278" s="45"/>
      <c r="K278" s="45"/>
    </row>
    <row r="279" spans="1:11" ht="15.75" customHeight="1" x14ac:dyDescent="0.45">
      <c r="A279" s="22"/>
      <c r="B279" s="22"/>
      <c r="C279" s="22"/>
      <c r="D279" s="22"/>
      <c r="E279" s="45"/>
      <c r="F279" s="45"/>
      <c r="G279" s="45"/>
      <c r="H279" s="45"/>
      <c r="I279" s="45"/>
      <c r="J279" s="45"/>
      <c r="K279" s="45"/>
    </row>
    <row r="280" spans="1:11" ht="15.75" customHeight="1" x14ac:dyDescent="0.4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</row>
    <row r="281" spans="1:11" ht="15.75" customHeight="1" x14ac:dyDescent="0.4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</row>
    <row r="282" spans="1:11" ht="15.75" customHeight="1" x14ac:dyDescent="0.4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</row>
    <row r="283" spans="1:11" ht="15.75" customHeight="1" x14ac:dyDescent="0.4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</row>
    <row r="284" spans="1:11" ht="15.75" customHeight="1" x14ac:dyDescent="0.4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</row>
    <row r="285" spans="1:11" ht="15.75" customHeight="1" x14ac:dyDescent="0.4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</row>
    <row r="286" spans="1:11" ht="15.75" customHeight="1" x14ac:dyDescent="0.4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</row>
    <row r="287" spans="1:11" ht="15.75" customHeight="1" x14ac:dyDescent="0.4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</row>
    <row r="288" spans="1:11" ht="15.75" customHeight="1" x14ac:dyDescent="0.4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</row>
    <row r="289" spans="1:11" ht="15.75" customHeight="1" x14ac:dyDescent="0.4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</row>
    <row r="290" spans="1:11" ht="15.75" customHeight="1" x14ac:dyDescent="0.4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</row>
    <row r="291" spans="1:11" ht="15.75" customHeight="1" x14ac:dyDescent="0.4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</row>
    <row r="292" spans="1:11" ht="15.75" customHeight="1" x14ac:dyDescent="0.4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</row>
    <row r="293" spans="1:11" ht="15.75" customHeight="1" x14ac:dyDescent="0.4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</row>
    <row r="294" spans="1:11" ht="15.75" customHeight="1" x14ac:dyDescent="0.4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</row>
    <row r="295" spans="1:11" ht="15.75" customHeight="1" x14ac:dyDescent="0.4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</row>
    <row r="296" spans="1:11" ht="15.75" customHeight="1" x14ac:dyDescent="0.4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</row>
    <row r="297" spans="1:11" ht="15.75" customHeight="1" x14ac:dyDescent="0.4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</row>
    <row r="298" spans="1:11" ht="15.75" customHeight="1" x14ac:dyDescent="0.4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</row>
    <row r="299" spans="1:11" ht="15.75" customHeight="1" x14ac:dyDescent="0.4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</row>
    <row r="300" spans="1:11" ht="15.75" customHeight="1" x14ac:dyDescent="0.4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</row>
    <row r="301" spans="1:11" ht="15.75" customHeight="1" x14ac:dyDescent="0.4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</row>
    <row r="302" spans="1:11" ht="15.75" customHeight="1" x14ac:dyDescent="0.4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</row>
    <row r="303" spans="1:11" ht="15.75" customHeight="1" x14ac:dyDescent="0.4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</row>
    <row r="304" spans="1:11" ht="15.75" customHeight="1" x14ac:dyDescent="0.4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</row>
    <row r="305" spans="1:11" ht="15.75" customHeight="1" x14ac:dyDescent="0.4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</row>
    <row r="306" spans="1:11" ht="15.75" customHeight="1" x14ac:dyDescent="0.4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</row>
    <row r="307" spans="1:11" ht="15.75" customHeight="1" x14ac:dyDescent="0.4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</row>
    <row r="308" spans="1:11" ht="15.75" customHeight="1" x14ac:dyDescent="0.4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</row>
    <row r="309" spans="1:11" ht="15.75" customHeight="1" x14ac:dyDescent="0.4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</row>
    <row r="310" spans="1:11" ht="15.75" customHeight="1" x14ac:dyDescent="0.4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</row>
    <row r="311" spans="1:11" ht="15.75" customHeight="1" x14ac:dyDescent="0.4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</row>
    <row r="312" spans="1:11" ht="15.75" customHeight="1" x14ac:dyDescent="0.4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</row>
    <row r="313" spans="1:11" ht="15.75" customHeight="1" x14ac:dyDescent="0.4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</row>
    <row r="314" spans="1:11" ht="15.75" customHeight="1" x14ac:dyDescent="0.4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</row>
    <row r="315" spans="1:11" ht="15.75" customHeight="1" x14ac:dyDescent="0.4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</row>
    <row r="316" spans="1:11" ht="15.75" customHeight="1" x14ac:dyDescent="0.4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</row>
    <row r="317" spans="1:11" ht="15.75" customHeight="1" x14ac:dyDescent="0.4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</row>
    <row r="318" spans="1:11" ht="15.75" customHeight="1" x14ac:dyDescent="0.4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</row>
    <row r="319" spans="1:11" ht="15.75" customHeight="1" x14ac:dyDescent="0.4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</row>
    <row r="320" spans="1:11" ht="15.75" customHeight="1" x14ac:dyDescent="0.4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</row>
    <row r="321" spans="1:11" ht="15.75" customHeight="1" x14ac:dyDescent="0.4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</row>
    <row r="322" spans="1:11" ht="15.75" customHeight="1" x14ac:dyDescent="0.4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</row>
    <row r="323" spans="1:11" ht="15.75" customHeight="1" x14ac:dyDescent="0.4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</row>
    <row r="324" spans="1:11" ht="15.75" customHeight="1" x14ac:dyDescent="0.4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</row>
    <row r="325" spans="1:11" ht="15.75" customHeight="1" x14ac:dyDescent="0.4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</row>
    <row r="326" spans="1:11" ht="15.75" customHeight="1" x14ac:dyDescent="0.4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</row>
    <row r="327" spans="1:11" ht="15.75" customHeight="1" x14ac:dyDescent="0.4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</row>
    <row r="328" spans="1:11" ht="15.75" customHeight="1" x14ac:dyDescent="0.4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</row>
    <row r="329" spans="1:11" ht="15.75" customHeight="1" x14ac:dyDescent="0.4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</row>
    <row r="330" spans="1:11" ht="15.75" customHeight="1" x14ac:dyDescent="0.4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</row>
    <row r="331" spans="1:11" ht="15.75" customHeight="1" x14ac:dyDescent="0.4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</row>
    <row r="332" spans="1:11" ht="15.75" customHeight="1" x14ac:dyDescent="0.4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</row>
    <row r="333" spans="1:11" ht="15.75" customHeight="1" x14ac:dyDescent="0.4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</row>
    <row r="334" spans="1:11" ht="15.75" customHeight="1" x14ac:dyDescent="0.4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</row>
    <row r="335" spans="1:11" ht="15.75" customHeight="1" x14ac:dyDescent="0.4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</row>
    <row r="336" spans="1:11" ht="15.75" customHeight="1" x14ac:dyDescent="0.4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</row>
    <row r="337" spans="1:11" ht="15.75" customHeight="1" x14ac:dyDescent="0.4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</row>
    <row r="338" spans="1:11" ht="15.75" customHeight="1" x14ac:dyDescent="0.4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</row>
    <row r="339" spans="1:11" ht="15.75" customHeight="1" x14ac:dyDescent="0.4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1" ht="15.75" customHeight="1" x14ac:dyDescent="0.4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</row>
    <row r="341" spans="1:11" ht="15.75" customHeight="1" x14ac:dyDescent="0.4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</row>
    <row r="342" spans="1:11" ht="15.75" customHeight="1" x14ac:dyDescent="0.4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</row>
    <row r="343" spans="1:11" ht="15.75" customHeight="1" x14ac:dyDescent="0.4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</row>
    <row r="344" spans="1:11" ht="15.75" customHeight="1" x14ac:dyDescent="0.4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</row>
    <row r="345" spans="1:11" ht="15.75" customHeight="1" x14ac:dyDescent="0.4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</row>
    <row r="346" spans="1:11" ht="15.75" customHeight="1" x14ac:dyDescent="0.4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</row>
    <row r="347" spans="1:11" ht="15.75" customHeight="1" x14ac:dyDescent="0.4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</row>
    <row r="348" spans="1:11" ht="15.75" customHeight="1" x14ac:dyDescent="0.4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</row>
    <row r="349" spans="1:11" ht="15.75" customHeight="1" x14ac:dyDescent="0.4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</row>
    <row r="350" spans="1:11" ht="15.75" customHeight="1" x14ac:dyDescent="0.4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</row>
    <row r="351" spans="1:11" ht="15.75" customHeight="1" x14ac:dyDescent="0.4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</row>
    <row r="352" spans="1:11" ht="15.75" customHeight="1" x14ac:dyDescent="0.4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</row>
    <row r="353" spans="1:11" ht="15.75" customHeight="1" x14ac:dyDescent="0.4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</row>
    <row r="354" spans="1:11" ht="15.75" customHeight="1" x14ac:dyDescent="0.4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</row>
    <row r="355" spans="1:11" ht="15.75" customHeight="1" x14ac:dyDescent="0.4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</row>
    <row r="356" spans="1:11" ht="15.75" customHeight="1" x14ac:dyDescent="0.4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</row>
    <row r="357" spans="1:11" ht="15.75" customHeight="1" x14ac:dyDescent="0.4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</row>
    <row r="358" spans="1:11" ht="15.75" customHeight="1" x14ac:dyDescent="0.4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</row>
    <row r="359" spans="1:11" ht="15.75" customHeight="1" x14ac:dyDescent="0.4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</row>
    <row r="360" spans="1:11" ht="15.75" customHeight="1" x14ac:dyDescent="0.4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</row>
    <row r="361" spans="1:11" ht="15.75" customHeight="1" x14ac:dyDescent="0.4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</row>
    <row r="362" spans="1:11" ht="15.75" customHeight="1" x14ac:dyDescent="0.4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</row>
    <row r="363" spans="1:11" ht="15.75" customHeight="1" x14ac:dyDescent="0.4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</row>
    <row r="364" spans="1:11" ht="15.75" customHeight="1" x14ac:dyDescent="0.4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</row>
    <row r="365" spans="1:11" ht="15.75" customHeight="1" x14ac:dyDescent="0.4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</row>
    <row r="366" spans="1:11" ht="15.75" customHeight="1" x14ac:dyDescent="0.4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</row>
    <row r="367" spans="1:11" ht="15.75" customHeight="1" x14ac:dyDescent="0.4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1" ht="15.75" customHeight="1" x14ac:dyDescent="0.4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</row>
    <row r="369" spans="1:11" ht="15.75" customHeight="1" x14ac:dyDescent="0.4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</row>
    <row r="370" spans="1:11" ht="15.75" customHeight="1" x14ac:dyDescent="0.4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</row>
    <row r="371" spans="1:11" ht="15.75" customHeight="1" x14ac:dyDescent="0.4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</row>
    <row r="372" spans="1:11" ht="15.75" customHeight="1" x14ac:dyDescent="0.4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</row>
    <row r="373" spans="1:11" ht="15.75" customHeight="1" x14ac:dyDescent="0.4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</row>
    <row r="374" spans="1:11" ht="15.75" customHeight="1" x14ac:dyDescent="0.4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</row>
    <row r="375" spans="1:11" ht="15.75" customHeight="1" x14ac:dyDescent="0.4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</row>
    <row r="376" spans="1:11" ht="15.75" customHeight="1" x14ac:dyDescent="0.4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</row>
    <row r="377" spans="1:11" ht="15.75" customHeight="1" x14ac:dyDescent="0.4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</row>
    <row r="378" spans="1:11" ht="15.75" customHeight="1" x14ac:dyDescent="0.4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</row>
    <row r="379" spans="1:11" ht="15.75" customHeight="1" x14ac:dyDescent="0.4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</row>
    <row r="380" spans="1:11" ht="15.75" customHeight="1" x14ac:dyDescent="0.4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</row>
    <row r="381" spans="1:11" ht="15.75" customHeight="1" x14ac:dyDescent="0.4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</row>
    <row r="382" spans="1:11" ht="15.75" customHeight="1" x14ac:dyDescent="0.4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</row>
    <row r="383" spans="1:11" ht="15.75" customHeight="1" x14ac:dyDescent="0.4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</row>
    <row r="384" spans="1:11" ht="15.75" customHeight="1" x14ac:dyDescent="0.4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</row>
    <row r="385" spans="1:11" ht="15.75" customHeight="1" x14ac:dyDescent="0.4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</row>
    <row r="386" spans="1:11" ht="15.75" customHeight="1" x14ac:dyDescent="0.4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</row>
    <row r="387" spans="1:11" ht="15.75" customHeight="1" x14ac:dyDescent="0.4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</row>
    <row r="388" spans="1:11" ht="15.75" customHeight="1" x14ac:dyDescent="0.4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</row>
    <row r="389" spans="1:11" ht="15.75" customHeight="1" x14ac:dyDescent="0.4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</row>
    <row r="390" spans="1:11" ht="15.75" customHeight="1" x14ac:dyDescent="0.4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</row>
    <row r="391" spans="1:11" ht="15.75" customHeight="1" x14ac:dyDescent="0.4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</row>
    <row r="392" spans="1:11" ht="15.75" customHeight="1" x14ac:dyDescent="0.4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</row>
    <row r="393" spans="1:11" ht="15.75" customHeight="1" x14ac:dyDescent="0.4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</row>
    <row r="394" spans="1:11" ht="15.75" customHeight="1" x14ac:dyDescent="0.4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</row>
    <row r="395" spans="1:11" ht="15.75" customHeight="1" x14ac:dyDescent="0.4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1" ht="15.75" customHeight="1" x14ac:dyDescent="0.4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</row>
    <row r="397" spans="1:11" ht="15.75" customHeight="1" x14ac:dyDescent="0.4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</row>
    <row r="398" spans="1:11" ht="15.75" customHeight="1" x14ac:dyDescent="0.4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</row>
    <row r="399" spans="1:11" ht="15.75" customHeight="1" x14ac:dyDescent="0.4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</row>
    <row r="400" spans="1:11" ht="15.75" customHeight="1" x14ac:dyDescent="0.4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</row>
    <row r="401" spans="1:11" ht="15.75" customHeight="1" x14ac:dyDescent="0.4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</row>
    <row r="402" spans="1:11" ht="15.75" customHeight="1" x14ac:dyDescent="0.4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</row>
    <row r="403" spans="1:11" ht="15.75" customHeight="1" x14ac:dyDescent="0.4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</row>
    <row r="404" spans="1:11" ht="15.75" customHeight="1" x14ac:dyDescent="0.4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</row>
    <row r="405" spans="1:11" ht="15.75" customHeight="1" x14ac:dyDescent="0.4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</row>
    <row r="406" spans="1:11" ht="15.75" customHeight="1" x14ac:dyDescent="0.4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</row>
    <row r="407" spans="1:11" ht="15.75" customHeight="1" x14ac:dyDescent="0.4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</row>
    <row r="408" spans="1:11" ht="15.75" customHeight="1" x14ac:dyDescent="0.4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</row>
    <row r="409" spans="1:11" ht="15.75" customHeight="1" x14ac:dyDescent="0.4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</row>
    <row r="410" spans="1:11" ht="15.75" customHeight="1" x14ac:dyDescent="0.4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</row>
    <row r="411" spans="1:11" ht="15.75" customHeight="1" x14ac:dyDescent="0.4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</row>
    <row r="412" spans="1:11" ht="15.75" customHeight="1" x14ac:dyDescent="0.4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</row>
    <row r="413" spans="1:11" ht="15.75" customHeight="1" x14ac:dyDescent="0.4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</row>
    <row r="414" spans="1:11" ht="15.75" customHeight="1" x14ac:dyDescent="0.4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</row>
    <row r="415" spans="1:11" ht="15.75" customHeight="1" x14ac:dyDescent="0.4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</row>
    <row r="416" spans="1:11" ht="15.75" customHeight="1" x14ac:dyDescent="0.4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</row>
    <row r="417" spans="1:11" ht="15.75" customHeight="1" x14ac:dyDescent="0.4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</row>
    <row r="418" spans="1:11" ht="15.75" customHeight="1" x14ac:dyDescent="0.4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</row>
    <row r="419" spans="1:11" ht="15.75" customHeight="1" x14ac:dyDescent="0.4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</row>
    <row r="420" spans="1:11" ht="15.75" customHeight="1" x14ac:dyDescent="0.4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</row>
    <row r="421" spans="1:11" ht="15.75" customHeight="1" x14ac:dyDescent="0.4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</row>
    <row r="422" spans="1:11" ht="15.75" customHeight="1" x14ac:dyDescent="0.4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</row>
    <row r="423" spans="1:11" ht="15.75" customHeight="1" x14ac:dyDescent="0.4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</row>
    <row r="424" spans="1:11" ht="15.75" customHeight="1" x14ac:dyDescent="0.4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</row>
    <row r="425" spans="1:11" ht="15.75" customHeight="1" x14ac:dyDescent="0.4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</row>
    <row r="426" spans="1:11" ht="15.75" customHeight="1" x14ac:dyDescent="0.4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</row>
    <row r="427" spans="1:11" ht="15.75" customHeight="1" x14ac:dyDescent="0.4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</row>
    <row r="428" spans="1:11" ht="15.75" customHeight="1" x14ac:dyDescent="0.4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</row>
    <row r="429" spans="1:11" ht="15.75" customHeight="1" x14ac:dyDescent="0.4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</row>
    <row r="430" spans="1:11" ht="15.75" customHeight="1" x14ac:dyDescent="0.4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</row>
    <row r="431" spans="1:11" ht="15.75" customHeight="1" x14ac:dyDescent="0.4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</row>
    <row r="432" spans="1:11" ht="15.75" customHeight="1" x14ac:dyDescent="0.4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</row>
    <row r="433" spans="1:11" ht="15.75" customHeight="1" x14ac:dyDescent="0.4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</row>
    <row r="434" spans="1:11" ht="15.75" customHeight="1" x14ac:dyDescent="0.4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</row>
    <row r="435" spans="1:11" ht="15.75" customHeight="1" x14ac:dyDescent="0.4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</row>
    <row r="436" spans="1:11" ht="15.75" customHeight="1" x14ac:dyDescent="0.4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</row>
    <row r="437" spans="1:11" ht="15.75" customHeight="1" x14ac:dyDescent="0.4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</row>
    <row r="438" spans="1:11" ht="15.75" customHeight="1" x14ac:dyDescent="0.4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</row>
    <row r="439" spans="1:11" ht="15.75" customHeight="1" x14ac:dyDescent="0.4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</row>
    <row r="440" spans="1:11" ht="15.75" customHeight="1" x14ac:dyDescent="0.4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</row>
    <row r="441" spans="1:11" ht="15.75" customHeight="1" x14ac:dyDescent="0.4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</row>
    <row r="442" spans="1:11" ht="15.75" customHeight="1" x14ac:dyDescent="0.4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</row>
    <row r="443" spans="1:11" ht="15.75" customHeight="1" x14ac:dyDescent="0.4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</row>
    <row r="444" spans="1:11" ht="15.75" customHeight="1" x14ac:dyDescent="0.4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</row>
    <row r="445" spans="1:11" ht="15.75" customHeight="1" x14ac:dyDescent="0.4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</row>
    <row r="446" spans="1:11" ht="15.75" customHeight="1" x14ac:dyDescent="0.4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</row>
    <row r="447" spans="1:11" ht="15.75" customHeight="1" x14ac:dyDescent="0.4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</row>
    <row r="448" spans="1:11" ht="15.75" customHeight="1" x14ac:dyDescent="0.4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</row>
    <row r="449" spans="1:11" ht="15.75" customHeight="1" x14ac:dyDescent="0.4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</row>
    <row r="450" spans="1:11" ht="15.75" customHeight="1" x14ac:dyDescent="0.4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</row>
    <row r="451" spans="1:11" ht="15.75" customHeight="1" x14ac:dyDescent="0.4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</row>
    <row r="452" spans="1:11" ht="15.75" customHeight="1" x14ac:dyDescent="0.4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</row>
    <row r="453" spans="1:11" ht="15.75" customHeight="1" x14ac:dyDescent="0.4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</row>
    <row r="454" spans="1:11" ht="15.75" customHeight="1" x14ac:dyDescent="0.4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</row>
    <row r="455" spans="1:11" ht="15.75" customHeight="1" x14ac:dyDescent="0.4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</row>
    <row r="456" spans="1:11" ht="15.75" customHeight="1" x14ac:dyDescent="0.4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</row>
    <row r="457" spans="1:11" ht="15.75" customHeight="1" x14ac:dyDescent="0.4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</row>
    <row r="458" spans="1:11" ht="15.75" customHeight="1" x14ac:dyDescent="0.4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</row>
    <row r="459" spans="1:11" ht="15.75" customHeight="1" x14ac:dyDescent="0.4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</row>
    <row r="460" spans="1:11" ht="15.75" customHeight="1" x14ac:dyDescent="0.4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</row>
    <row r="461" spans="1:11" ht="15.75" customHeight="1" x14ac:dyDescent="0.4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</row>
    <row r="462" spans="1:11" ht="15.75" customHeight="1" x14ac:dyDescent="0.4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</row>
    <row r="463" spans="1:11" ht="15.75" customHeight="1" x14ac:dyDescent="0.4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</row>
    <row r="464" spans="1:11" ht="15.75" customHeight="1" x14ac:dyDescent="0.4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</row>
    <row r="465" spans="1:11" ht="15.75" customHeight="1" x14ac:dyDescent="0.4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</row>
    <row r="466" spans="1:11" ht="15.75" customHeight="1" x14ac:dyDescent="0.4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</row>
    <row r="467" spans="1:11" ht="15.75" customHeight="1" x14ac:dyDescent="0.4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</row>
    <row r="468" spans="1:11" ht="15.75" customHeight="1" x14ac:dyDescent="0.4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</row>
    <row r="469" spans="1:11" ht="15.75" customHeight="1" x14ac:dyDescent="0.4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</row>
    <row r="470" spans="1:11" ht="15.75" customHeight="1" x14ac:dyDescent="0.4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</row>
    <row r="471" spans="1:11" ht="15.75" customHeight="1" x14ac:dyDescent="0.4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</row>
    <row r="472" spans="1:11" ht="15.75" customHeight="1" x14ac:dyDescent="0.4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</row>
    <row r="473" spans="1:11" ht="15.75" customHeight="1" x14ac:dyDescent="0.4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</row>
    <row r="474" spans="1:11" ht="15.75" customHeight="1" x14ac:dyDescent="0.4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</row>
    <row r="475" spans="1:11" ht="15.75" customHeight="1" x14ac:dyDescent="0.4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</row>
    <row r="476" spans="1:11" ht="15.75" customHeight="1" x14ac:dyDescent="0.4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</row>
    <row r="477" spans="1:11" ht="15.75" customHeight="1" x14ac:dyDescent="0.4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</row>
    <row r="478" spans="1:11" ht="15.75" customHeight="1" x14ac:dyDescent="0.4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</row>
    <row r="479" spans="1:11" ht="15.75" customHeight="1" x14ac:dyDescent="0.4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1" ht="15.75" customHeight="1" x14ac:dyDescent="0.4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</row>
    <row r="481" spans="1:11" ht="15.75" customHeight="1" x14ac:dyDescent="0.4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</row>
    <row r="482" spans="1:11" ht="15.75" customHeight="1" x14ac:dyDescent="0.4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</row>
    <row r="483" spans="1:11" ht="15.75" customHeight="1" x14ac:dyDescent="0.4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</row>
    <row r="484" spans="1:11" ht="15.75" customHeight="1" x14ac:dyDescent="0.4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</row>
    <row r="485" spans="1:11" ht="15.75" customHeight="1" x14ac:dyDescent="0.4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</row>
    <row r="486" spans="1:11" ht="15.75" customHeight="1" x14ac:dyDescent="0.4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</row>
    <row r="487" spans="1:11" ht="15.75" customHeight="1" x14ac:dyDescent="0.4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</row>
    <row r="488" spans="1:11" ht="15.75" customHeight="1" x14ac:dyDescent="0.4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</row>
    <row r="489" spans="1:11" ht="15.75" customHeight="1" x14ac:dyDescent="0.4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</row>
    <row r="490" spans="1:11" ht="15.75" customHeight="1" x14ac:dyDescent="0.4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</row>
    <row r="491" spans="1:11" ht="15.75" customHeight="1" x14ac:dyDescent="0.4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</row>
    <row r="492" spans="1:11" ht="15.75" customHeight="1" x14ac:dyDescent="0.4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</row>
    <row r="493" spans="1:11" ht="15.75" customHeight="1" x14ac:dyDescent="0.4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</row>
    <row r="494" spans="1:11" ht="15.75" customHeight="1" x14ac:dyDescent="0.4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</row>
    <row r="495" spans="1:11" ht="15.75" customHeight="1" x14ac:dyDescent="0.4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</row>
    <row r="496" spans="1:11" ht="15.75" customHeight="1" x14ac:dyDescent="0.4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</row>
    <row r="497" spans="1:11" ht="15.75" customHeight="1" x14ac:dyDescent="0.4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</row>
    <row r="498" spans="1:11" ht="15.75" customHeight="1" x14ac:dyDescent="0.4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</row>
    <row r="499" spans="1:11" ht="15.75" customHeight="1" x14ac:dyDescent="0.4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</row>
    <row r="500" spans="1:11" ht="15.75" customHeight="1" x14ac:dyDescent="0.4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</row>
    <row r="501" spans="1:11" ht="15.75" customHeight="1" x14ac:dyDescent="0.4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</row>
    <row r="502" spans="1:11" ht="15.75" customHeight="1" x14ac:dyDescent="0.4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</row>
    <row r="503" spans="1:11" ht="15.75" customHeight="1" x14ac:dyDescent="0.4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</row>
    <row r="504" spans="1:11" ht="15.75" customHeight="1" x14ac:dyDescent="0.4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</row>
    <row r="505" spans="1:11" ht="15.75" customHeight="1" x14ac:dyDescent="0.4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</row>
    <row r="506" spans="1:11" ht="15.75" customHeight="1" x14ac:dyDescent="0.4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</row>
    <row r="507" spans="1:11" ht="15.75" customHeight="1" x14ac:dyDescent="0.4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</row>
    <row r="508" spans="1:11" ht="15.75" customHeight="1" x14ac:dyDescent="0.4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</row>
    <row r="509" spans="1:11" ht="15.75" customHeight="1" x14ac:dyDescent="0.4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</row>
    <row r="510" spans="1:11" ht="15.75" customHeight="1" x14ac:dyDescent="0.4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</row>
    <row r="511" spans="1:11" ht="15.75" customHeight="1" x14ac:dyDescent="0.4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</row>
    <row r="512" spans="1:11" ht="15.75" customHeight="1" x14ac:dyDescent="0.4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</row>
    <row r="513" spans="1:11" ht="15.75" customHeight="1" x14ac:dyDescent="0.4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</row>
    <row r="514" spans="1:11" ht="15.75" customHeight="1" x14ac:dyDescent="0.4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</row>
    <row r="515" spans="1:11" ht="15.75" customHeight="1" x14ac:dyDescent="0.4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</row>
    <row r="516" spans="1:11" ht="15.75" customHeight="1" x14ac:dyDescent="0.4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</row>
    <row r="517" spans="1:11" ht="15.75" customHeight="1" x14ac:dyDescent="0.4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</row>
    <row r="518" spans="1:11" ht="15.75" customHeight="1" x14ac:dyDescent="0.4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</row>
    <row r="519" spans="1:11" ht="15.75" customHeight="1" x14ac:dyDescent="0.4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</row>
    <row r="520" spans="1:11" ht="15.75" customHeight="1" x14ac:dyDescent="0.4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</row>
    <row r="521" spans="1:11" ht="15.75" customHeight="1" x14ac:dyDescent="0.4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</row>
    <row r="522" spans="1:11" ht="15.75" customHeight="1" x14ac:dyDescent="0.4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</row>
    <row r="523" spans="1:11" ht="15.75" customHeight="1" x14ac:dyDescent="0.4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</row>
    <row r="524" spans="1:11" ht="15.75" customHeight="1" x14ac:dyDescent="0.4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</row>
    <row r="525" spans="1:11" ht="15.75" customHeight="1" x14ac:dyDescent="0.4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</row>
    <row r="526" spans="1:11" ht="15.75" customHeight="1" x14ac:dyDescent="0.4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</row>
    <row r="527" spans="1:11" ht="15.75" customHeight="1" x14ac:dyDescent="0.4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</row>
    <row r="528" spans="1:11" ht="15.75" customHeight="1" x14ac:dyDescent="0.4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</row>
    <row r="529" spans="1:11" ht="15.75" customHeight="1" x14ac:dyDescent="0.4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</row>
    <row r="530" spans="1:11" ht="15.75" customHeight="1" x14ac:dyDescent="0.4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</row>
    <row r="531" spans="1:11" ht="15.75" customHeight="1" x14ac:dyDescent="0.4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</row>
    <row r="532" spans="1:11" ht="15.75" customHeight="1" x14ac:dyDescent="0.4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</row>
    <row r="533" spans="1:11" ht="15.75" customHeight="1" x14ac:dyDescent="0.4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</row>
    <row r="534" spans="1:11" ht="15.75" customHeight="1" x14ac:dyDescent="0.4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</row>
    <row r="535" spans="1:11" ht="15.75" customHeight="1" x14ac:dyDescent="0.4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</row>
    <row r="536" spans="1:11" ht="15.75" customHeight="1" x14ac:dyDescent="0.4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</row>
    <row r="537" spans="1:11" ht="15.75" customHeight="1" x14ac:dyDescent="0.4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</row>
    <row r="538" spans="1:11" ht="15.75" customHeight="1" x14ac:dyDescent="0.4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</row>
    <row r="539" spans="1:11" ht="15.75" customHeight="1" x14ac:dyDescent="0.4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</row>
    <row r="540" spans="1:11" ht="15.75" customHeight="1" x14ac:dyDescent="0.4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</row>
    <row r="541" spans="1:11" ht="15.75" customHeight="1" x14ac:dyDescent="0.4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</row>
    <row r="542" spans="1:11" ht="15.75" customHeight="1" x14ac:dyDescent="0.4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</row>
    <row r="543" spans="1:11" ht="15.75" customHeight="1" x14ac:dyDescent="0.4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</row>
    <row r="544" spans="1:11" ht="15.75" customHeight="1" x14ac:dyDescent="0.4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</row>
    <row r="545" spans="1:11" ht="15.75" customHeight="1" x14ac:dyDescent="0.4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</row>
    <row r="546" spans="1:11" ht="15.75" customHeight="1" x14ac:dyDescent="0.4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</row>
    <row r="547" spans="1:11" ht="15.75" customHeight="1" x14ac:dyDescent="0.4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</row>
    <row r="548" spans="1:11" ht="15.75" customHeight="1" x14ac:dyDescent="0.4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</row>
    <row r="549" spans="1:11" ht="15.75" customHeight="1" x14ac:dyDescent="0.4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</row>
    <row r="550" spans="1:11" ht="15.75" customHeight="1" x14ac:dyDescent="0.4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</row>
    <row r="551" spans="1:11" ht="15.75" customHeight="1" x14ac:dyDescent="0.4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</row>
    <row r="552" spans="1:11" ht="15.75" customHeight="1" x14ac:dyDescent="0.4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</row>
    <row r="553" spans="1:11" ht="15.75" customHeight="1" x14ac:dyDescent="0.4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</row>
    <row r="554" spans="1:11" ht="15.75" customHeight="1" x14ac:dyDescent="0.4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</row>
    <row r="555" spans="1:11" ht="15.75" customHeight="1" x14ac:dyDescent="0.4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</row>
    <row r="556" spans="1:11" ht="15.75" customHeight="1" x14ac:dyDescent="0.4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</row>
    <row r="557" spans="1:11" ht="15.75" customHeight="1" x14ac:dyDescent="0.4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</row>
    <row r="558" spans="1:11" ht="15.75" customHeight="1" x14ac:dyDescent="0.4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</row>
    <row r="559" spans="1:11" ht="15.75" customHeight="1" x14ac:dyDescent="0.4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</row>
    <row r="560" spans="1:11" ht="15.75" customHeight="1" x14ac:dyDescent="0.4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</row>
    <row r="561" spans="1:11" ht="15.75" customHeight="1" x14ac:dyDescent="0.4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</row>
    <row r="562" spans="1:11" ht="15.75" customHeight="1" x14ac:dyDescent="0.4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</row>
    <row r="563" spans="1:11" ht="15.75" customHeight="1" x14ac:dyDescent="0.4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</row>
    <row r="564" spans="1:11" ht="15.75" customHeight="1" x14ac:dyDescent="0.4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</row>
    <row r="565" spans="1:11" ht="15.75" customHeight="1" x14ac:dyDescent="0.4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</row>
    <row r="566" spans="1:11" ht="15.75" customHeight="1" x14ac:dyDescent="0.4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</row>
    <row r="567" spans="1:11" ht="15.75" customHeight="1" x14ac:dyDescent="0.4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</row>
    <row r="568" spans="1:11" ht="15.75" customHeight="1" x14ac:dyDescent="0.4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</row>
    <row r="569" spans="1:11" ht="15.75" customHeight="1" x14ac:dyDescent="0.4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</row>
    <row r="570" spans="1:11" ht="15.75" customHeight="1" x14ac:dyDescent="0.4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</row>
    <row r="571" spans="1:11" ht="15.75" customHeight="1" x14ac:dyDescent="0.4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</row>
    <row r="572" spans="1:11" ht="15.75" customHeight="1" x14ac:dyDescent="0.4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</row>
    <row r="573" spans="1:11" ht="15.75" customHeight="1" x14ac:dyDescent="0.4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</row>
    <row r="574" spans="1:11" ht="15.75" customHeight="1" x14ac:dyDescent="0.4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</row>
    <row r="575" spans="1:11" ht="15.75" customHeight="1" x14ac:dyDescent="0.4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</row>
    <row r="576" spans="1:11" ht="15.75" customHeight="1" x14ac:dyDescent="0.4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</row>
    <row r="577" spans="1:11" ht="15.75" customHeight="1" x14ac:dyDescent="0.4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</row>
    <row r="578" spans="1:11" ht="15.75" customHeight="1" x14ac:dyDescent="0.4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</row>
    <row r="579" spans="1:11" ht="15.75" customHeight="1" x14ac:dyDescent="0.4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</row>
    <row r="580" spans="1:11" ht="15.75" customHeight="1" x14ac:dyDescent="0.4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</row>
    <row r="581" spans="1:11" ht="15.75" customHeight="1" x14ac:dyDescent="0.4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</row>
    <row r="582" spans="1:11" ht="15.75" customHeight="1" x14ac:dyDescent="0.4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</row>
    <row r="583" spans="1:11" ht="15.75" customHeight="1" x14ac:dyDescent="0.4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</row>
    <row r="584" spans="1:11" ht="15.75" customHeight="1" x14ac:dyDescent="0.4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</row>
    <row r="585" spans="1:11" ht="15.75" customHeight="1" x14ac:dyDescent="0.4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</row>
    <row r="586" spans="1:11" ht="15.75" customHeight="1" x14ac:dyDescent="0.4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</row>
    <row r="587" spans="1:11" ht="15.75" customHeight="1" x14ac:dyDescent="0.4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</row>
    <row r="588" spans="1:11" ht="15.75" customHeight="1" x14ac:dyDescent="0.4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</row>
    <row r="589" spans="1:11" ht="15.75" customHeight="1" x14ac:dyDescent="0.4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</row>
    <row r="590" spans="1:11" ht="15.75" customHeight="1" x14ac:dyDescent="0.4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</row>
    <row r="591" spans="1:11" ht="15.75" customHeight="1" x14ac:dyDescent="0.4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</row>
    <row r="592" spans="1:11" ht="15.75" customHeight="1" x14ac:dyDescent="0.4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</row>
    <row r="593" spans="1:11" ht="15.75" customHeight="1" x14ac:dyDescent="0.4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</row>
    <row r="594" spans="1:11" ht="15.75" customHeight="1" x14ac:dyDescent="0.4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</row>
    <row r="595" spans="1:11" ht="15.75" customHeight="1" x14ac:dyDescent="0.4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</row>
    <row r="596" spans="1:11" ht="15.75" customHeight="1" x14ac:dyDescent="0.4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</row>
    <row r="597" spans="1:11" ht="15.75" customHeight="1" x14ac:dyDescent="0.4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</row>
    <row r="598" spans="1:11" ht="15.75" customHeight="1" x14ac:dyDescent="0.4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</row>
    <row r="599" spans="1:11" ht="15.75" customHeight="1" x14ac:dyDescent="0.4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</row>
    <row r="600" spans="1:11" ht="15.75" customHeight="1" x14ac:dyDescent="0.4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</row>
    <row r="601" spans="1:11" ht="15.75" customHeight="1" x14ac:dyDescent="0.4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</row>
    <row r="602" spans="1:11" ht="15.75" customHeight="1" x14ac:dyDescent="0.4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</row>
    <row r="603" spans="1:11" ht="15.75" customHeight="1" x14ac:dyDescent="0.4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</row>
    <row r="604" spans="1:11" ht="15.75" customHeight="1" x14ac:dyDescent="0.4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</row>
    <row r="605" spans="1:11" ht="15.75" customHeight="1" x14ac:dyDescent="0.4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</row>
    <row r="606" spans="1:11" ht="15.75" customHeight="1" x14ac:dyDescent="0.4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</row>
    <row r="607" spans="1:11" ht="15.75" customHeight="1" x14ac:dyDescent="0.4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</row>
    <row r="608" spans="1:11" ht="15.75" customHeight="1" x14ac:dyDescent="0.4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</row>
    <row r="609" spans="1:11" ht="15.75" customHeight="1" x14ac:dyDescent="0.4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</row>
    <row r="610" spans="1:11" ht="15.75" customHeight="1" x14ac:dyDescent="0.4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</row>
    <row r="611" spans="1:11" ht="15.75" customHeight="1" x14ac:dyDescent="0.4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</row>
    <row r="612" spans="1:11" ht="15.75" customHeight="1" x14ac:dyDescent="0.4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</row>
    <row r="613" spans="1:11" ht="15.75" customHeight="1" x14ac:dyDescent="0.4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</row>
    <row r="614" spans="1:11" ht="15.75" customHeight="1" x14ac:dyDescent="0.4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</row>
    <row r="615" spans="1:11" ht="15.75" customHeight="1" x14ac:dyDescent="0.4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</row>
    <row r="616" spans="1:11" ht="15.75" customHeight="1" x14ac:dyDescent="0.4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</row>
    <row r="617" spans="1:11" ht="15.75" customHeight="1" x14ac:dyDescent="0.4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</row>
    <row r="618" spans="1:11" ht="15.75" customHeight="1" x14ac:dyDescent="0.4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</row>
    <row r="619" spans="1:11" ht="15.75" customHeight="1" x14ac:dyDescent="0.4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</row>
    <row r="620" spans="1:11" ht="15.75" customHeight="1" x14ac:dyDescent="0.4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</row>
    <row r="621" spans="1:11" ht="15.75" customHeight="1" x14ac:dyDescent="0.4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</row>
    <row r="622" spans="1:11" ht="15.75" customHeight="1" x14ac:dyDescent="0.4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</row>
    <row r="623" spans="1:11" ht="15.75" customHeight="1" x14ac:dyDescent="0.4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</row>
    <row r="624" spans="1:11" ht="15.75" customHeight="1" x14ac:dyDescent="0.4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</row>
    <row r="625" spans="1:11" ht="15.75" customHeight="1" x14ac:dyDescent="0.4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</row>
    <row r="626" spans="1:11" ht="15.75" customHeight="1" x14ac:dyDescent="0.4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</row>
    <row r="627" spans="1:11" ht="15.75" customHeight="1" x14ac:dyDescent="0.4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</row>
    <row r="628" spans="1:11" ht="15.75" customHeight="1" x14ac:dyDescent="0.4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</row>
    <row r="629" spans="1:11" ht="15.75" customHeight="1" x14ac:dyDescent="0.4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</row>
    <row r="630" spans="1:11" ht="15.75" customHeight="1" x14ac:dyDescent="0.4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</row>
    <row r="631" spans="1:11" ht="15.75" customHeight="1" x14ac:dyDescent="0.4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</row>
    <row r="632" spans="1:11" ht="15.75" customHeight="1" x14ac:dyDescent="0.4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</row>
    <row r="633" spans="1:11" ht="15.75" customHeight="1" x14ac:dyDescent="0.4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</row>
    <row r="634" spans="1:11" ht="15.75" customHeight="1" x14ac:dyDescent="0.4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</row>
    <row r="635" spans="1:11" ht="15.75" customHeight="1" x14ac:dyDescent="0.4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</row>
    <row r="636" spans="1:11" ht="15.75" customHeight="1" x14ac:dyDescent="0.4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</row>
    <row r="637" spans="1:11" ht="15.75" customHeight="1" x14ac:dyDescent="0.4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</row>
    <row r="638" spans="1:11" ht="15.75" customHeight="1" x14ac:dyDescent="0.4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</row>
    <row r="639" spans="1:11" ht="15.75" customHeight="1" x14ac:dyDescent="0.4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</row>
    <row r="640" spans="1:11" ht="15.75" customHeight="1" x14ac:dyDescent="0.4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</row>
    <row r="641" spans="1:11" ht="15.75" customHeight="1" x14ac:dyDescent="0.4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</row>
    <row r="642" spans="1:11" ht="15.75" customHeight="1" x14ac:dyDescent="0.4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</row>
    <row r="643" spans="1:11" ht="15.75" customHeight="1" x14ac:dyDescent="0.4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</row>
    <row r="644" spans="1:11" ht="15.75" customHeight="1" x14ac:dyDescent="0.4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</row>
    <row r="645" spans="1:11" ht="15.75" customHeight="1" x14ac:dyDescent="0.4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</row>
    <row r="646" spans="1:11" ht="15.75" customHeight="1" x14ac:dyDescent="0.4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</row>
    <row r="647" spans="1:11" ht="15.75" customHeight="1" x14ac:dyDescent="0.4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</row>
    <row r="648" spans="1:11" ht="15.75" customHeight="1" x14ac:dyDescent="0.4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</row>
    <row r="649" spans="1:11" ht="15.75" customHeight="1" x14ac:dyDescent="0.4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</row>
    <row r="650" spans="1:11" ht="15.75" customHeight="1" x14ac:dyDescent="0.4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</row>
    <row r="651" spans="1:11" ht="15.75" customHeight="1" x14ac:dyDescent="0.4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</row>
    <row r="652" spans="1:11" ht="15.75" customHeight="1" x14ac:dyDescent="0.4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</row>
    <row r="653" spans="1:11" ht="15.75" customHeight="1" x14ac:dyDescent="0.4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</row>
    <row r="654" spans="1:11" ht="15.75" customHeight="1" x14ac:dyDescent="0.4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</row>
    <row r="655" spans="1:11" ht="15.75" customHeight="1" x14ac:dyDescent="0.4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</row>
    <row r="656" spans="1:11" ht="15.75" customHeight="1" x14ac:dyDescent="0.4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</row>
    <row r="657" spans="1:11" ht="15.75" customHeight="1" x14ac:dyDescent="0.4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</row>
    <row r="658" spans="1:11" ht="15.75" customHeight="1" x14ac:dyDescent="0.4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</row>
    <row r="659" spans="1:11" ht="15.75" customHeight="1" x14ac:dyDescent="0.4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</row>
    <row r="660" spans="1:11" ht="15.75" customHeight="1" x14ac:dyDescent="0.4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</row>
    <row r="661" spans="1:11" ht="15.75" customHeight="1" x14ac:dyDescent="0.4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</row>
    <row r="662" spans="1:11" ht="15.75" customHeight="1" x14ac:dyDescent="0.4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</row>
    <row r="663" spans="1:11" ht="15.75" customHeight="1" x14ac:dyDescent="0.4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</row>
    <row r="664" spans="1:11" ht="15.75" customHeight="1" x14ac:dyDescent="0.4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</row>
    <row r="665" spans="1:11" ht="15.75" customHeight="1" x14ac:dyDescent="0.4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</row>
    <row r="666" spans="1:11" ht="15.75" customHeight="1" x14ac:dyDescent="0.4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</row>
    <row r="667" spans="1:11" ht="15.75" customHeight="1" x14ac:dyDescent="0.4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</row>
    <row r="668" spans="1:11" ht="15.75" customHeight="1" x14ac:dyDescent="0.4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</row>
    <row r="669" spans="1:11" ht="15.75" customHeight="1" x14ac:dyDescent="0.4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</row>
    <row r="670" spans="1:11" ht="15.75" customHeight="1" x14ac:dyDescent="0.4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</row>
    <row r="671" spans="1:11" ht="15.75" customHeight="1" x14ac:dyDescent="0.4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</row>
    <row r="672" spans="1:11" ht="15.75" customHeight="1" x14ac:dyDescent="0.4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</row>
    <row r="673" spans="1:11" ht="15.75" customHeight="1" x14ac:dyDescent="0.4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</row>
    <row r="674" spans="1:11" ht="15.75" customHeight="1" x14ac:dyDescent="0.4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</row>
    <row r="675" spans="1:11" ht="15.75" customHeight="1" x14ac:dyDescent="0.4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</row>
    <row r="676" spans="1:11" ht="15.75" customHeight="1" x14ac:dyDescent="0.4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</row>
    <row r="677" spans="1:11" ht="15.75" customHeight="1" x14ac:dyDescent="0.4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</row>
    <row r="678" spans="1:11" ht="15.75" customHeight="1" x14ac:dyDescent="0.4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</row>
    <row r="679" spans="1:11" ht="15.75" customHeight="1" x14ac:dyDescent="0.4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</row>
    <row r="680" spans="1:11" ht="15.75" customHeight="1" x14ac:dyDescent="0.4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</row>
    <row r="681" spans="1:11" ht="15.75" customHeight="1" x14ac:dyDescent="0.4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</row>
    <row r="682" spans="1:11" ht="15.75" customHeight="1" x14ac:dyDescent="0.4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</row>
    <row r="683" spans="1:11" ht="15.75" customHeight="1" x14ac:dyDescent="0.4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</row>
    <row r="684" spans="1:11" ht="15.75" customHeight="1" x14ac:dyDescent="0.4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</row>
    <row r="685" spans="1:11" ht="15.75" customHeight="1" x14ac:dyDescent="0.4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</row>
    <row r="686" spans="1:11" ht="15.75" customHeight="1" x14ac:dyDescent="0.4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</row>
    <row r="687" spans="1:11" ht="15.75" customHeight="1" x14ac:dyDescent="0.4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</row>
    <row r="688" spans="1:11" ht="15.75" customHeight="1" x14ac:dyDescent="0.4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</row>
    <row r="689" spans="1:11" ht="15.75" customHeight="1" x14ac:dyDescent="0.4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</row>
    <row r="690" spans="1:11" ht="15.75" customHeight="1" x14ac:dyDescent="0.4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</row>
    <row r="691" spans="1:11" ht="15.75" customHeight="1" x14ac:dyDescent="0.4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</row>
    <row r="692" spans="1:11" ht="15.75" customHeight="1" x14ac:dyDescent="0.4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</row>
    <row r="693" spans="1:11" ht="15.75" customHeight="1" x14ac:dyDescent="0.4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</row>
    <row r="694" spans="1:11" ht="15.75" customHeight="1" x14ac:dyDescent="0.4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</row>
    <row r="695" spans="1:11" ht="15.75" customHeight="1" x14ac:dyDescent="0.4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</row>
    <row r="696" spans="1:11" ht="15.75" customHeight="1" x14ac:dyDescent="0.4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</row>
    <row r="697" spans="1:11" ht="15.75" customHeight="1" x14ac:dyDescent="0.4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</row>
    <row r="698" spans="1:11" ht="15.75" customHeight="1" x14ac:dyDescent="0.4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</row>
    <row r="699" spans="1:11" ht="15.75" customHeight="1" x14ac:dyDescent="0.4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</row>
    <row r="700" spans="1:11" ht="15.75" customHeight="1" x14ac:dyDescent="0.4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</row>
    <row r="701" spans="1:11" ht="15.75" customHeight="1" x14ac:dyDescent="0.4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</row>
    <row r="702" spans="1:11" ht="15.75" customHeight="1" x14ac:dyDescent="0.4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</row>
    <row r="703" spans="1:11" ht="15.75" customHeight="1" x14ac:dyDescent="0.4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</row>
    <row r="704" spans="1:11" ht="15.75" customHeight="1" x14ac:dyDescent="0.4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</row>
    <row r="705" spans="1:11" ht="15.75" customHeight="1" x14ac:dyDescent="0.4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</row>
    <row r="706" spans="1:11" ht="15.75" customHeight="1" x14ac:dyDescent="0.4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</row>
    <row r="707" spans="1:11" ht="15.75" customHeight="1" x14ac:dyDescent="0.4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</row>
    <row r="708" spans="1:11" ht="15.75" customHeight="1" x14ac:dyDescent="0.4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</row>
    <row r="709" spans="1:11" ht="15.75" customHeight="1" x14ac:dyDescent="0.4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</row>
    <row r="710" spans="1:11" ht="15.75" customHeight="1" x14ac:dyDescent="0.4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</row>
    <row r="711" spans="1:11" ht="15.75" customHeight="1" x14ac:dyDescent="0.4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</row>
    <row r="712" spans="1:11" ht="15.75" customHeight="1" x14ac:dyDescent="0.4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</row>
    <row r="713" spans="1:11" ht="15.75" customHeight="1" x14ac:dyDescent="0.4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</row>
    <row r="714" spans="1:11" ht="15.75" customHeight="1" x14ac:dyDescent="0.4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</row>
    <row r="715" spans="1:11" ht="15.75" customHeight="1" x14ac:dyDescent="0.4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</row>
    <row r="716" spans="1:11" ht="15.75" customHeight="1" x14ac:dyDescent="0.4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</row>
    <row r="717" spans="1:11" ht="15.75" customHeight="1" x14ac:dyDescent="0.4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</row>
    <row r="718" spans="1:11" ht="15.75" customHeight="1" x14ac:dyDescent="0.4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</row>
    <row r="719" spans="1:11" ht="15.75" customHeight="1" x14ac:dyDescent="0.4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</row>
    <row r="720" spans="1:11" ht="15.75" customHeight="1" x14ac:dyDescent="0.4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</row>
    <row r="721" spans="1:11" ht="15.75" customHeight="1" x14ac:dyDescent="0.4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</row>
    <row r="722" spans="1:11" ht="15.75" customHeight="1" x14ac:dyDescent="0.4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</row>
    <row r="723" spans="1:11" ht="15.75" customHeight="1" x14ac:dyDescent="0.4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</row>
    <row r="724" spans="1:11" ht="15.75" customHeight="1" x14ac:dyDescent="0.4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</row>
    <row r="725" spans="1:11" ht="15.75" customHeight="1" x14ac:dyDescent="0.4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</row>
    <row r="726" spans="1:11" ht="15.75" customHeight="1" x14ac:dyDescent="0.4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</row>
    <row r="727" spans="1:11" ht="15.75" customHeight="1" x14ac:dyDescent="0.4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</row>
    <row r="728" spans="1:11" ht="15.75" customHeight="1" x14ac:dyDescent="0.4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</row>
    <row r="729" spans="1:11" ht="15.75" customHeight="1" x14ac:dyDescent="0.4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</row>
    <row r="730" spans="1:11" ht="15.75" customHeight="1" x14ac:dyDescent="0.4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</row>
    <row r="731" spans="1:11" ht="15.75" customHeight="1" x14ac:dyDescent="0.4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</row>
    <row r="732" spans="1:11" ht="15.75" customHeight="1" x14ac:dyDescent="0.4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</row>
    <row r="733" spans="1:11" ht="15.75" customHeight="1" x14ac:dyDescent="0.4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</row>
    <row r="734" spans="1:11" ht="15.75" customHeight="1" x14ac:dyDescent="0.4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</row>
    <row r="735" spans="1:11" ht="15.75" customHeight="1" x14ac:dyDescent="0.4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</row>
    <row r="736" spans="1:11" ht="15.75" customHeight="1" x14ac:dyDescent="0.4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</row>
    <row r="737" spans="1:11" ht="15.75" customHeight="1" x14ac:dyDescent="0.4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</row>
    <row r="738" spans="1:11" ht="15.75" customHeight="1" x14ac:dyDescent="0.4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</row>
    <row r="739" spans="1:11" ht="15.75" customHeight="1" x14ac:dyDescent="0.4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</row>
    <row r="740" spans="1:11" ht="15.75" customHeight="1" x14ac:dyDescent="0.4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</row>
    <row r="741" spans="1:11" ht="15.75" customHeight="1" x14ac:dyDescent="0.4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</row>
    <row r="742" spans="1:11" ht="15.75" customHeight="1" x14ac:dyDescent="0.4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</row>
    <row r="743" spans="1:11" ht="15.75" customHeight="1" x14ac:dyDescent="0.4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</row>
    <row r="744" spans="1:11" ht="15.75" customHeight="1" x14ac:dyDescent="0.4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</row>
    <row r="745" spans="1:11" ht="15.75" customHeight="1" x14ac:dyDescent="0.4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</row>
    <row r="746" spans="1:11" ht="15.75" customHeight="1" x14ac:dyDescent="0.4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</row>
    <row r="747" spans="1:11" ht="15.75" customHeight="1" x14ac:dyDescent="0.4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</row>
    <row r="748" spans="1:11" ht="15.75" customHeight="1" x14ac:dyDescent="0.4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</row>
    <row r="749" spans="1:11" ht="15.75" customHeight="1" x14ac:dyDescent="0.4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</row>
    <row r="750" spans="1:11" ht="15.75" customHeight="1" x14ac:dyDescent="0.4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</row>
    <row r="751" spans="1:11" ht="15.75" customHeight="1" x14ac:dyDescent="0.4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</row>
    <row r="752" spans="1:11" ht="15.75" customHeight="1" x14ac:dyDescent="0.4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</row>
    <row r="753" spans="1:11" ht="15.75" customHeight="1" x14ac:dyDescent="0.4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</row>
    <row r="754" spans="1:11" ht="15.75" customHeight="1" x14ac:dyDescent="0.4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</row>
    <row r="755" spans="1:11" ht="15.75" customHeight="1" x14ac:dyDescent="0.4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</row>
    <row r="756" spans="1:11" ht="15.75" customHeight="1" x14ac:dyDescent="0.4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</row>
    <row r="757" spans="1:11" ht="15.75" customHeight="1" x14ac:dyDescent="0.4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</row>
    <row r="758" spans="1:11" ht="15.75" customHeight="1" x14ac:dyDescent="0.4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</row>
    <row r="759" spans="1:11" ht="15.75" customHeight="1" x14ac:dyDescent="0.4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</row>
    <row r="760" spans="1:11" ht="15.75" customHeight="1" x14ac:dyDescent="0.4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</row>
    <row r="761" spans="1:11" ht="15.75" customHeight="1" x14ac:dyDescent="0.4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</row>
    <row r="762" spans="1:11" ht="15.75" customHeight="1" x14ac:dyDescent="0.4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</row>
    <row r="763" spans="1:11" ht="15.75" customHeight="1" x14ac:dyDescent="0.4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</row>
    <row r="764" spans="1:11" ht="15.75" customHeight="1" x14ac:dyDescent="0.4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</row>
    <row r="765" spans="1:11" ht="15.75" customHeight="1" x14ac:dyDescent="0.4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</row>
    <row r="766" spans="1:11" ht="15.75" customHeight="1" x14ac:dyDescent="0.4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</row>
    <row r="767" spans="1:11" ht="15.75" customHeight="1" x14ac:dyDescent="0.4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</row>
    <row r="768" spans="1:11" ht="15.75" customHeight="1" x14ac:dyDescent="0.4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</row>
    <row r="769" spans="1:11" ht="15.75" customHeight="1" x14ac:dyDescent="0.4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</row>
    <row r="770" spans="1:11" ht="15.75" customHeight="1" x14ac:dyDescent="0.4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</row>
    <row r="771" spans="1:11" ht="15.75" customHeight="1" x14ac:dyDescent="0.4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</row>
    <row r="772" spans="1:11" ht="15.75" customHeight="1" x14ac:dyDescent="0.4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</row>
    <row r="773" spans="1:11" ht="15.75" customHeight="1" x14ac:dyDescent="0.4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</row>
    <row r="774" spans="1:11" ht="15.75" customHeight="1" x14ac:dyDescent="0.4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</row>
    <row r="775" spans="1:11" ht="15.75" customHeight="1" x14ac:dyDescent="0.4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</row>
    <row r="776" spans="1:11" ht="15.75" customHeight="1" x14ac:dyDescent="0.4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</row>
    <row r="777" spans="1:11" ht="15.75" customHeight="1" x14ac:dyDescent="0.4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</row>
    <row r="778" spans="1:11" ht="15.75" customHeight="1" x14ac:dyDescent="0.4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</row>
    <row r="779" spans="1:11" ht="15.75" customHeight="1" x14ac:dyDescent="0.4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</row>
    <row r="780" spans="1:11" ht="15.75" customHeight="1" x14ac:dyDescent="0.4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</row>
    <row r="781" spans="1:11" ht="15.75" customHeight="1" x14ac:dyDescent="0.4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</row>
    <row r="782" spans="1:11" ht="15.75" customHeight="1" x14ac:dyDescent="0.4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</row>
    <row r="783" spans="1:11" ht="15.75" customHeight="1" x14ac:dyDescent="0.4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</row>
    <row r="784" spans="1:11" ht="15.75" customHeight="1" x14ac:dyDescent="0.4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</row>
    <row r="785" spans="1:11" ht="15.75" customHeight="1" x14ac:dyDescent="0.4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</row>
    <row r="786" spans="1:11" ht="15.75" customHeight="1" x14ac:dyDescent="0.4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</row>
    <row r="787" spans="1:11" ht="15.75" customHeight="1" x14ac:dyDescent="0.4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</row>
    <row r="788" spans="1:11" ht="15.75" customHeight="1" x14ac:dyDescent="0.4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</row>
    <row r="789" spans="1:11" ht="15.75" customHeight="1" x14ac:dyDescent="0.4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</row>
    <row r="790" spans="1:11" ht="15.75" customHeight="1" x14ac:dyDescent="0.4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</row>
    <row r="791" spans="1:11" ht="15.75" customHeight="1" x14ac:dyDescent="0.4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</row>
    <row r="792" spans="1:11" ht="15.75" customHeight="1" x14ac:dyDescent="0.4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</row>
    <row r="793" spans="1:11" ht="15.75" customHeight="1" x14ac:dyDescent="0.4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</row>
    <row r="794" spans="1:11" ht="15.75" customHeight="1" x14ac:dyDescent="0.4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</row>
    <row r="795" spans="1:11" ht="15.75" customHeight="1" x14ac:dyDescent="0.4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</row>
    <row r="796" spans="1:11" ht="15.75" customHeight="1" x14ac:dyDescent="0.4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</row>
    <row r="797" spans="1:11" ht="15.75" customHeight="1" x14ac:dyDescent="0.4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</row>
    <row r="798" spans="1:11" ht="15.75" customHeight="1" x14ac:dyDescent="0.4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</row>
    <row r="799" spans="1:11" ht="15.75" customHeight="1" x14ac:dyDescent="0.4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</row>
    <row r="800" spans="1:11" ht="15.75" customHeight="1" x14ac:dyDescent="0.4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</row>
    <row r="801" spans="1:11" ht="15.75" customHeight="1" x14ac:dyDescent="0.4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</row>
    <row r="802" spans="1:11" ht="15.75" customHeight="1" x14ac:dyDescent="0.4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</row>
    <row r="803" spans="1:11" ht="15.75" customHeight="1" x14ac:dyDescent="0.4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</row>
    <row r="804" spans="1:11" ht="15.75" customHeight="1" x14ac:dyDescent="0.4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</row>
    <row r="805" spans="1:11" ht="15.75" customHeight="1" x14ac:dyDescent="0.4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</row>
    <row r="806" spans="1:11" ht="15.75" customHeight="1" x14ac:dyDescent="0.4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</row>
    <row r="807" spans="1:11" ht="15.75" customHeight="1" x14ac:dyDescent="0.4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</row>
    <row r="808" spans="1:11" ht="15.75" customHeight="1" x14ac:dyDescent="0.4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</row>
    <row r="809" spans="1:11" ht="15.75" customHeight="1" x14ac:dyDescent="0.4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</row>
    <row r="810" spans="1:11" ht="15.75" customHeight="1" x14ac:dyDescent="0.4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</row>
    <row r="811" spans="1:11" ht="15.75" customHeight="1" x14ac:dyDescent="0.4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</row>
    <row r="812" spans="1:11" ht="15.75" customHeight="1" x14ac:dyDescent="0.4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</row>
    <row r="813" spans="1:11" ht="15.75" customHeight="1" x14ac:dyDescent="0.4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</row>
    <row r="814" spans="1:11" ht="15.75" customHeight="1" x14ac:dyDescent="0.4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</row>
    <row r="815" spans="1:11" ht="15.75" customHeight="1" x14ac:dyDescent="0.4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</row>
    <row r="816" spans="1:11" ht="15.75" customHeight="1" x14ac:dyDescent="0.4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</row>
    <row r="817" spans="1:11" ht="15.75" customHeight="1" x14ac:dyDescent="0.4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</row>
    <row r="818" spans="1:11" ht="15.75" customHeight="1" x14ac:dyDescent="0.4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</row>
    <row r="819" spans="1:11" ht="15.75" customHeight="1" x14ac:dyDescent="0.4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</row>
    <row r="820" spans="1:11" ht="15.75" customHeight="1" x14ac:dyDescent="0.4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</row>
    <row r="821" spans="1:11" ht="15.75" customHeight="1" x14ac:dyDescent="0.4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</row>
    <row r="822" spans="1:11" ht="15.75" customHeight="1" x14ac:dyDescent="0.4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</row>
    <row r="823" spans="1:11" ht="15.75" customHeight="1" x14ac:dyDescent="0.4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</row>
    <row r="824" spans="1:11" ht="15.75" customHeight="1" x14ac:dyDescent="0.4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</row>
    <row r="825" spans="1:11" ht="15.75" customHeight="1" x14ac:dyDescent="0.4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</row>
    <row r="826" spans="1:11" ht="15.75" customHeight="1" x14ac:dyDescent="0.4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</row>
    <row r="827" spans="1:11" ht="15.75" customHeight="1" x14ac:dyDescent="0.4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</row>
    <row r="828" spans="1:11" ht="15.75" customHeight="1" x14ac:dyDescent="0.4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</row>
    <row r="829" spans="1:11" ht="15.75" customHeight="1" x14ac:dyDescent="0.4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</row>
    <row r="830" spans="1:11" ht="15.75" customHeight="1" x14ac:dyDescent="0.4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</row>
    <row r="831" spans="1:11" ht="15.75" customHeight="1" x14ac:dyDescent="0.4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</row>
    <row r="832" spans="1:11" ht="15.75" customHeight="1" x14ac:dyDescent="0.4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</row>
    <row r="833" spans="1:11" ht="15.75" customHeight="1" x14ac:dyDescent="0.4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</row>
    <row r="834" spans="1:11" ht="15.75" customHeight="1" x14ac:dyDescent="0.4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</row>
    <row r="835" spans="1:11" ht="15.75" customHeight="1" x14ac:dyDescent="0.4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</row>
    <row r="836" spans="1:11" ht="15.75" customHeight="1" x14ac:dyDescent="0.4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</row>
    <row r="837" spans="1:11" ht="15.75" customHeight="1" x14ac:dyDescent="0.4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</row>
    <row r="838" spans="1:11" ht="15.75" customHeight="1" x14ac:dyDescent="0.4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</row>
    <row r="839" spans="1:11" ht="15.75" customHeight="1" x14ac:dyDescent="0.4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</row>
    <row r="840" spans="1:11" ht="15.75" customHeight="1" x14ac:dyDescent="0.4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</row>
    <row r="841" spans="1:11" ht="15.75" customHeight="1" x14ac:dyDescent="0.4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</row>
    <row r="842" spans="1:11" ht="15.75" customHeight="1" x14ac:dyDescent="0.4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</row>
    <row r="843" spans="1:11" ht="15.75" customHeight="1" x14ac:dyDescent="0.4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</row>
    <row r="844" spans="1:11" ht="15.75" customHeight="1" x14ac:dyDescent="0.4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</row>
    <row r="845" spans="1:11" ht="15.75" customHeight="1" x14ac:dyDescent="0.4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</row>
    <row r="846" spans="1:11" ht="15.75" customHeight="1" x14ac:dyDescent="0.4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</row>
    <row r="847" spans="1:11" ht="15.75" customHeight="1" x14ac:dyDescent="0.4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</row>
    <row r="848" spans="1:11" ht="15.75" customHeight="1" x14ac:dyDescent="0.4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</row>
    <row r="849" spans="1:11" ht="15.75" customHeight="1" x14ac:dyDescent="0.4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</row>
    <row r="850" spans="1:11" ht="15.75" customHeight="1" x14ac:dyDescent="0.4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</row>
    <row r="851" spans="1:11" ht="15.75" customHeight="1" x14ac:dyDescent="0.4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</row>
    <row r="852" spans="1:11" ht="15.75" customHeight="1" x14ac:dyDescent="0.4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</row>
    <row r="853" spans="1:11" ht="15.75" customHeight="1" x14ac:dyDescent="0.4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</row>
    <row r="854" spans="1:11" ht="15.75" customHeight="1" x14ac:dyDescent="0.4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</row>
    <row r="855" spans="1:11" ht="15.75" customHeight="1" x14ac:dyDescent="0.4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</row>
    <row r="856" spans="1:11" ht="15.75" customHeight="1" x14ac:dyDescent="0.4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</row>
    <row r="857" spans="1:11" ht="15.75" customHeight="1" x14ac:dyDescent="0.4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</row>
    <row r="858" spans="1:11" ht="15.75" customHeight="1" x14ac:dyDescent="0.4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</row>
    <row r="859" spans="1:11" ht="15.75" customHeight="1" x14ac:dyDescent="0.4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</row>
    <row r="860" spans="1:11" ht="15.75" customHeight="1" x14ac:dyDescent="0.4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</row>
    <row r="861" spans="1:11" ht="15.75" customHeight="1" x14ac:dyDescent="0.4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</row>
    <row r="862" spans="1:11" ht="15.75" customHeight="1" x14ac:dyDescent="0.4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</row>
    <row r="863" spans="1:11" ht="15.75" customHeight="1" x14ac:dyDescent="0.4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</row>
    <row r="864" spans="1:11" ht="15.75" customHeight="1" x14ac:dyDescent="0.4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</row>
    <row r="865" spans="1:11" ht="15.75" customHeight="1" x14ac:dyDescent="0.4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</row>
    <row r="866" spans="1:11" ht="15.75" customHeight="1" x14ac:dyDescent="0.4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</row>
    <row r="867" spans="1:11" ht="15.75" customHeight="1" x14ac:dyDescent="0.4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</row>
    <row r="868" spans="1:11" ht="15.75" customHeight="1" x14ac:dyDescent="0.4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</row>
    <row r="869" spans="1:11" ht="15.75" customHeight="1" x14ac:dyDescent="0.4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</row>
    <row r="870" spans="1:11" ht="15.75" customHeight="1" x14ac:dyDescent="0.4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</row>
    <row r="871" spans="1:11" ht="15.75" customHeight="1" x14ac:dyDescent="0.4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</row>
    <row r="872" spans="1:11" ht="15.75" customHeight="1" x14ac:dyDescent="0.4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</row>
    <row r="873" spans="1:11" ht="15.75" customHeight="1" x14ac:dyDescent="0.4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</row>
    <row r="874" spans="1:11" ht="15.75" customHeight="1" x14ac:dyDescent="0.4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</row>
    <row r="875" spans="1:11" ht="15.75" customHeight="1" x14ac:dyDescent="0.4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</row>
    <row r="876" spans="1:11" ht="15.75" customHeight="1" x14ac:dyDescent="0.4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</row>
    <row r="877" spans="1:11" ht="15.75" customHeight="1" x14ac:dyDescent="0.4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</row>
    <row r="878" spans="1:11" ht="15.75" customHeight="1" x14ac:dyDescent="0.4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</row>
    <row r="879" spans="1:11" ht="15.75" customHeight="1" x14ac:dyDescent="0.4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</row>
    <row r="880" spans="1:11" ht="15.75" customHeight="1" x14ac:dyDescent="0.4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</row>
    <row r="881" spans="1:11" ht="15.75" customHeight="1" x14ac:dyDescent="0.4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</row>
    <row r="882" spans="1:11" ht="15.75" customHeight="1" x14ac:dyDescent="0.4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</row>
    <row r="883" spans="1:11" ht="15.75" customHeight="1" x14ac:dyDescent="0.4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</row>
    <row r="884" spans="1:11" ht="15.75" customHeight="1" x14ac:dyDescent="0.4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</row>
    <row r="885" spans="1:11" ht="15.75" customHeight="1" x14ac:dyDescent="0.4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</row>
    <row r="886" spans="1:11" ht="15.75" customHeight="1" x14ac:dyDescent="0.4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</row>
    <row r="887" spans="1:11" ht="15.75" customHeight="1" x14ac:dyDescent="0.4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</row>
    <row r="888" spans="1:11" ht="15.75" customHeight="1" x14ac:dyDescent="0.4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</row>
    <row r="889" spans="1:11" ht="15.75" customHeight="1" x14ac:dyDescent="0.4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</row>
    <row r="890" spans="1:11" ht="15.75" customHeight="1" x14ac:dyDescent="0.4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</row>
    <row r="891" spans="1:11" ht="15.75" customHeight="1" x14ac:dyDescent="0.4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</row>
    <row r="892" spans="1:11" ht="15.75" customHeight="1" x14ac:dyDescent="0.4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</row>
    <row r="893" spans="1:11" ht="15.75" customHeight="1" x14ac:dyDescent="0.4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</row>
    <row r="894" spans="1:11" ht="15.75" customHeight="1" x14ac:dyDescent="0.4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</row>
    <row r="895" spans="1:11" ht="15.75" customHeight="1" x14ac:dyDescent="0.4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</row>
    <row r="896" spans="1:11" ht="15.75" customHeight="1" x14ac:dyDescent="0.4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</row>
    <row r="897" spans="1:11" ht="15.75" customHeight="1" x14ac:dyDescent="0.4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</row>
    <row r="898" spans="1:11" ht="15.75" customHeight="1" x14ac:dyDescent="0.4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</row>
    <row r="899" spans="1:11" ht="15.75" customHeight="1" x14ac:dyDescent="0.4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</row>
    <row r="900" spans="1:11" ht="15.75" customHeight="1" x14ac:dyDescent="0.4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</row>
    <row r="901" spans="1:11" ht="15.75" customHeight="1" x14ac:dyDescent="0.4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</row>
    <row r="902" spans="1:11" ht="15.75" customHeight="1" x14ac:dyDescent="0.4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</row>
    <row r="903" spans="1:11" ht="15.75" customHeight="1" x14ac:dyDescent="0.4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</row>
    <row r="904" spans="1:11" ht="15.75" customHeight="1" x14ac:dyDescent="0.4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</row>
    <row r="905" spans="1:11" ht="15.75" customHeight="1" x14ac:dyDescent="0.4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</row>
    <row r="906" spans="1:11" ht="15.75" customHeight="1" x14ac:dyDescent="0.4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</row>
    <row r="907" spans="1:11" ht="15.75" customHeight="1" x14ac:dyDescent="0.4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</row>
    <row r="908" spans="1:11" ht="15.75" customHeight="1" x14ac:dyDescent="0.4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</row>
    <row r="909" spans="1:11" ht="15.75" customHeight="1" x14ac:dyDescent="0.4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</row>
    <row r="910" spans="1:11" ht="15.75" customHeight="1" x14ac:dyDescent="0.4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</row>
    <row r="911" spans="1:11" ht="15.75" customHeight="1" x14ac:dyDescent="0.4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</row>
    <row r="912" spans="1:11" ht="15.75" customHeight="1" x14ac:dyDescent="0.4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</row>
    <row r="913" spans="1:11" ht="15.75" customHeight="1" x14ac:dyDescent="0.4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</row>
    <row r="914" spans="1:11" ht="15.75" customHeight="1" x14ac:dyDescent="0.4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</row>
    <row r="915" spans="1:11" ht="15.75" customHeight="1" x14ac:dyDescent="0.4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</row>
    <row r="916" spans="1:11" ht="15.75" customHeight="1" x14ac:dyDescent="0.4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</row>
    <row r="917" spans="1:11" ht="15.75" customHeight="1" x14ac:dyDescent="0.4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</row>
    <row r="918" spans="1:11" ht="15.75" customHeight="1" x14ac:dyDescent="0.4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</row>
    <row r="919" spans="1:11" ht="15.75" customHeight="1" x14ac:dyDescent="0.4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</row>
    <row r="920" spans="1:11" ht="15.75" customHeight="1" x14ac:dyDescent="0.4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</row>
    <row r="921" spans="1:11" ht="15.75" customHeight="1" x14ac:dyDescent="0.4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</row>
    <row r="922" spans="1:11" ht="15.75" customHeight="1" x14ac:dyDescent="0.4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</row>
    <row r="923" spans="1:11" ht="15.75" customHeight="1" x14ac:dyDescent="0.4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</row>
    <row r="924" spans="1:11" ht="15.75" customHeight="1" x14ac:dyDescent="0.4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</row>
    <row r="925" spans="1:11" ht="15.75" customHeight="1" x14ac:dyDescent="0.4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</row>
    <row r="926" spans="1:11" ht="15.75" customHeight="1" x14ac:dyDescent="0.4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</row>
    <row r="927" spans="1:11" ht="15.75" customHeight="1" x14ac:dyDescent="0.4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</row>
    <row r="928" spans="1:11" ht="15.75" customHeight="1" x14ac:dyDescent="0.4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</row>
    <row r="929" spans="1:11" ht="15.75" customHeight="1" x14ac:dyDescent="0.4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</row>
    <row r="930" spans="1:11" ht="15.75" customHeight="1" x14ac:dyDescent="0.4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</row>
    <row r="931" spans="1:11" ht="15.75" customHeight="1" x14ac:dyDescent="0.4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</row>
    <row r="932" spans="1:11" ht="15.75" customHeight="1" x14ac:dyDescent="0.4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</row>
    <row r="933" spans="1:11" ht="15.75" customHeight="1" x14ac:dyDescent="0.4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</row>
    <row r="934" spans="1:11" ht="15.75" customHeight="1" x14ac:dyDescent="0.4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</row>
    <row r="935" spans="1:11" ht="15.75" customHeight="1" x14ac:dyDescent="0.4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</row>
    <row r="936" spans="1:11" ht="15.75" customHeight="1" x14ac:dyDescent="0.4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</row>
    <row r="937" spans="1:11" ht="15.75" customHeight="1" x14ac:dyDescent="0.4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</row>
    <row r="938" spans="1:11" ht="15.75" customHeight="1" x14ac:dyDescent="0.4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</row>
    <row r="939" spans="1:11" ht="15.75" customHeight="1" x14ac:dyDescent="0.4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</row>
    <row r="940" spans="1:11" ht="15.75" customHeight="1" x14ac:dyDescent="0.4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</row>
    <row r="941" spans="1:11" ht="15.75" customHeight="1" x14ac:dyDescent="0.4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</row>
    <row r="942" spans="1:11" ht="15.75" customHeight="1" x14ac:dyDescent="0.4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</row>
    <row r="943" spans="1:11" ht="15.75" customHeight="1" x14ac:dyDescent="0.4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</row>
    <row r="944" spans="1:11" ht="15.75" customHeight="1" x14ac:dyDescent="0.4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</row>
    <row r="945" spans="1:11" ht="15.75" customHeight="1" x14ac:dyDescent="0.4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</row>
    <row r="946" spans="1:11" ht="15.75" customHeight="1" x14ac:dyDescent="0.4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</row>
    <row r="947" spans="1:11" ht="15.75" customHeight="1" x14ac:dyDescent="0.4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</row>
    <row r="948" spans="1:11" ht="15.75" customHeight="1" x14ac:dyDescent="0.4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</row>
    <row r="949" spans="1:11" ht="15.75" customHeight="1" x14ac:dyDescent="0.4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</row>
    <row r="950" spans="1:11" ht="15.75" customHeight="1" x14ac:dyDescent="0.4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</row>
    <row r="951" spans="1:11" ht="15.75" customHeight="1" x14ac:dyDescent="0.4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</row>
    <row r="952" spans="1:11" ht="15.75" customHeight="1" x14ac:dyDescent="0.4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</row>
    <row r="953" spans="1:11" ht="15.75" customHeight="1" x14ac:dyDescent="0.4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</row>
    <row r="954" spans="1:11" ht="15.75" customHeight="1" x14ac:dyDescent="0.4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</row>
    <row r="955" spans="1:11" ht="15.75" customHeight="1" x14ac:dyDescent="0.4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</row>
    <row r="956" spans="1:11" ht="15.75" customHeight="1" x14ac:dyDescent="0.4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</row>
    <row r="957" spans="1:11" ht="15.75" customHeight="1" x14ac:dyDescent="0.4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</row>
    <row r="958" spans="1:11" ht="15.75" customHeight="1" x14ac:dyDescent="0.4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</row>
    <row r="959" spans="1:11" ht="15.75" customHeight="1" x14ac:dyDescent="0.4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</row>
    <row r="960" spans="1:11" ht="15.75" customHeight="1" x14ac:dyDescent="0.4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</row>
    <row r="961" spans="1:11" ht="15.75" customHeight="1" x14ac:dyDescent="0.4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</row>
    <row r="962" spans="1:11" ht="15.75" customHeight="1" x14ac:dyDescent="0.4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</row>
    <row r="963" spans="1:11" ht="15.75" customHeight="1" x14ac:dyDescent="0.4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</row>
    <row r="964" spans="1:11" ht="15.75" customHeight="1" x14ac:dyDescent="0.4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</row>
    <row r="965" spans="1:11" ht="15.75" customHeight="1" x14ac:dyDescent="0.4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</row>
    <row r="966" spans="1:11" ht="15.75" customHeight="1" x14ac:dyDescent="0.4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</row>
    <row r="967" spans="1:11" ht="15.75" customHeight="1" x14ac:dyDescent="0.4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</row>
    <row r="968" spans="1:11" ht="15.75" customHeight="1" x14ac:dyDescent="0.4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</row>
    <row r="969" spans="1:11" ht="15.75" customHeight="1" x14ac:dyDescent="0.4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</row>
    <row r="970" spans="1:11" ht="15.75" customHeight="1" x14ac:dyDescent="0.4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</row>
    <row r="971" spans="1:11" ht="15.75" customHeight="1" x14ac:dyDescent="0.4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</row>
    <row r="972" spans="1:11" ht="15.75" customHeight="1" x14ac:dyDescent="0.4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</row>
    <row r="973" spans="1:11" ht="15.75" customHeight="1" x14ac:dyDescent="0.4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</row>
    <row r="974" spans="1:11" ht="15.75" customHeight="1" x14ac:dyDescent="0.4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</row>
    <row r="975" spans="1:11" ht="15.75" customHeight="1" x14ac:dyDescent="0.4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</row>
    <row r="976" spans="1:11" ht="15.75" customHeight="1" x14ac:dyDescent="0.4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</row>
    <row r="977" spans="1:11" ht="15.75" customHeight="1" x14ac:dyDescent="0.4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</row>
    <row r="978" spans="1:11" ht="15.75" customHeight="1" x14ac:dyDescent="0.4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</row>
    <row r="979" spans="1:11" ht="15.75" customHeight="1" x14ac:dyDescent="0.4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</row>
    <row r="980" spans="1:11" ht="15.75" customHeight="1" x14ac:dyDescent="0.4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</row>
    <row r="981" spans="1:11" ht="15.75" customHeight="1" x14ac:dyDescent="0.4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</row>
    <row r="982" spans="1:11" ht="15.75" customHeight="1" x14ac:dyDescent="0.4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</row>
    <row r="983" spans="1:11" ht="15.75" customHeight="1" x14ac:dyDescent="0.4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</row>
    <row r="984" spans="1:11" ht="15.75" customHeight="1" x14ac:dyDescent="0.4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</row>
    <row r="985" spans="1:11" ht="15.75" customHeight="1" x14ac:dyDescent="0.4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</row>
    <row r="986" spans="1:11" ht="15.75" customHeight="1" x14ac:dyDescent="0.4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</row>
    <row r="987" spans="1:11" ht="15.75" customHeight="1" x14ac:dyDescent="0.4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</row>
    <row r="988" spans="1:11" ht="15.75" customHeight="1" x14ac:dyDescent="0.4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</row>
    <row r="989" spans="1:11" ht="15.75" customHeight="1" x14ac:dyDescent="0.4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</row>
    <row r="990" spans="1:11" ht="15.75" customHeight="1" x14ac:dyDescent="0.4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</row>
    <row r="991" spans="1:11" ht="15.75" customHeight="1" x14ac:dyDescent="0.4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</row>
    <row r="992" spans="1:11" ht="15.75" customHeight="1" x14ac:dyDescent="0.4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</row>
    <row r="993" spans="1:11" ht="15.75" customHeight="1" x14ac:dyDescent="0.4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</row>
    <row r="994" spans="1:11" ht="15.75" customHeight="1" x14ac:dyDescent="0.4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</row>
    <row r="995" spans="1:11" ht="15.75" customHeight="1" x14ac:dyDescent="0.4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</row>
    <row r="996" spans="1:11" ht="15.75" customHeight="1" x14ac:dyDescent="0.4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</row>
    <row r="997" spans="1:11" ht="15.75" customHeight="1" x14ac:dyDescent="0.4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</row>
    <row r="998" spans="1:11" ht="15.75" customHeight="1" x14ac:dyDescent="0.4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</row>
    <row r="999" spans="1:11" ht="15.75" customHeight="1" x14ac:dyDescent="0.4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</row>
    <row r="1000" spans="1:11" ht="15.75" customHeight="1" x14ac:dyDescent="0.4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</row>
  </sheetData>
  <conditionalFormatting sqref="G12:K12">
    <cfRule type="notContainsBlanks" dxfId="4" priority="1">
      <formula>LEN(TRIM(G12))&gt;0</formula>
    </cfRule>
  </conditionalFormatting>
  <conditionalFormatting sqref="G5:H6">
    <cfRule type="notContainsBlanks" dxfId="3" priority="2">
      <formula>LEN(TRIM(G5))&gt;0</formula>
    </cfRule>
  </conditionalFormatting>
  <conditionalFormatting sqref="I5:K6 G10:K10">
    <cfRule type="notContainsBlanks" dxfId="2" priority="3">
      <formula>LEN(TRIM(I5))&gt;0</formula>
    </cfRule>
  </conditionalFormatting>
  <conditionalFormatting sqref="D5:D8 D10:D11">
    <cfRule type="cellIs" dxfId="1" priority="4" operator="greaterThan">
      <formula>0</formula>
    </cfRule>
  </conditionalFormatting>
  <conditionalFormatting sqref="D4">
    <cfRule type="cellIs" dxfId="0" priority="5" operator="greaterThan">
      <formula>0</formula>
    </cfRule>
  </conditionalFormatting>
  <pageMargins left="0.7" right="0.7" top="0.75" bottom="0.75" header="0" footer="0"/>
  <pageSetup scale="85"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K1000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14.3984375" defaultRowHeight="15" customHeight="1" x14ac:dyDescent="0.45"/>
  <cols>
    <col min="1" max="1" width="41" customWidth="1"/>
    <col min="2" max="2" width="30.3984375" customWidth="1"/>
    <col min="3" max="3" width="40" customWidth="1"/>
    <col min="4" max="4" width="1.3984375" customWidth="1"/>
    <col min="5" max="5" width="12.53125" customWidth="1"/>
    <col min="6" max="6" width="9.1328125" customWidth="1"/>
    <col min="7" max="7" width="1.86328125" customWidth="1"/>
    <col min="8" max="10" width="12.1328125" hidden="1" customWidth="1"/>
    <col min="11" max="11" width="14.265625" hidden="1" customWidth="1"/>
    <col min="12" max="12" width="8.53125" hidden="1" customWidth="1"/>
    <col min="13" max="13" width="3.265625" hidden="1" customWidth="1"/>
    <col min="14" max="14" width="20" customWidth="1"/>
    <col min="15" max="15" width="2.73046875" customWidth="1"/>
    <col min="16" max="16" width="20" customWidth="1"/>
    <col min="17" max="17" width="2.73046875" customWidth="1"/>
    <col min="18" max="18" width="20" customWidth="1"/>
    <col min="19" max="19" width="9.265625" customWidth="1"/>
    <col min="20" max="20" width="4.86328125" customWidth="1"/>
    <col min="21" max="22" width="20" customWidth="1"/>
    <col min="23" max="23" width="6.73046875" customWidth="1"/>
    <col min="24" max="24" width="3" customWidth="1"/>
    <col min="25" max="25" width="10.73046875" hidden="1" customWidth="1"/>
    <col min="26" max="26" width="8.3984375" hidden="1" customWidth="1"/>
    <col min="27" max="27" width="8.53125" hidden="1" customWidth="1"/>
    <col min="28" max="28" width="1.73046875" hidden="1" customWidth="1"/>
    <col min="29" max="29" width="10" hidden="1" customWidth="1"/>
    <col min="30" max="30" width="7.73046875" hidden="1" customWidth="1"/>
    <col min="31" max="31" width="8.53125" hidden="1" customWidth="1"/>
    <col min="32" max="32" width="10.53125" hidden="1" customWidth="1"/>
    <col min="33" max="33" width="2.3984375" hidden="1" customWidth="1"/>
    <col min="34" max="34" width="10" hidden="1" customWidth="1"/>
    <col min="35" max="35" width="8.265625" hidden="1" customWidth="1"/>
    <col min="36" max="36" width="2" hidden="1" customWidth="1"/>
    <col min="37" max="37" width="12.3984375" hidden="1" customWidth="1"/>
    <col min="38" max="38" width="8.73046875" hidden="1" customWidth="1"/>
    <col min="39" max="39" width="1.86328125" hidden="1" customWidth="1"/>
    <col min="40" max="40" width="12.265625" hidden="1" customWidth="1"/>
    <col min="41" max="41" width="8.265625" hidden="1" customWidth="1"/>
    <col min="42" max="42" width="2" hidden="1" customWidth="1"/>
    <col min="43" max="43" width="11" hidden="1" customWidth="1"/>
    <col min="44" max="44" width="8" hidden="1" customWidth="1"/>
    <col min="45" max="45" width="1.86328125" hidden="1" customWidth="1"/>
    <col min="46" max="46" width="11.53125" hidden="1" customWidth="1"/>
    <col min="47" max="47" width="8.73046875" hidden="1" customWidth="1"/>
    <col min="48" max="48" width="0.1328125" customWidth="1"/>
    <col min="49" max="49" width="22.3984375" hidden="1" customWidth="1"/>
    <col min="50" max="50" width="9.53125" hidden="1" customWidth="1"/>
    <col min="51" max="51" width="3" hidden="1" customWidth="1"/>
    <col min="52" max="52" width="22.3984375" hidden="1" customWidth="1"/>
    <col min="53" max="53" width="10" hidden="1" customWidth="1"/>
    <col min="54" max="54" width="1.86328125" hidden="1" customWidth="1"/>
    <col min="55" max="55" width="24.53125" hidden="1" customWidth="1"/>
    <col min="56" max="56" width="9.53125" hidden="1" customWidth="1"/>
    <col min="57" max="57" width="1.86328125" hidden="1" customWidth="1"/>
    <col min="58" max="58" width="22.3984375" hidden="1" customWidth="1"/>
    <col min="59" max="59" width="10" hidden="1" customWidth="1"/>
    <col min="60" max="60" width="2.265625" hidden="1" customWidth="1"/>
    <col min="61" max="61" width="22.3984375" hidden="1" customWidth="1"/>
    <col min="62" max="62" width="9.53125" hidden="1" customWidth="1"/>
    <col min="63" max="63" width="22.3984375" hidden="1" customWidth="1"/>
    <col min="64" max="64" width="9.1328125" hidden="1" customWidth="1"/>
    <col min="65" max="65" width="2.86328125" hidden="1" customWidth="1"/>
    <col min="66" max="66" width="22.3984375" hidden="1" customWidth="1"/>
    <col min="67" max="67" width="9.1328125" hidden="1" customWidth="1"/>
    <col min="68" max="68" width="3.73046875" hidden="1" customWidth="1"/>
    <col min="69" max="69" width="2.53125" hidden="1" customWidth="1"/>
    <col min="70" max="70" width="15.73046875" hidden="1" customWidth="1"/>
    <col min="71" max="71" width="9.1328125" hidden="1" customWidth="1"/>
    <col min="72" max="72" width="2.3984375" hidden="1" customWidth="1"/>
    <col min="73" max="73" width="15.73046875" hidden="1" customWidth="1"/>
    <col min="74" max="74" width="9.1328125" hidden="1" customWidth="1"/>
    <col min="75" max="75" width="3.53125" hidden="1" customWidth="1"/>
    <col min="76" max="76" width="15.73046875" hidden="1" customWidth="1"/>
    <col min="77" max="77" width="9.1328125" hidden="1" customWidth="1"/>
    <col min="78" max="78" width="3.86328125" hidden="1" customWidth="1"/>
    <col min="79" max="79" width="15.73046875" hidden="1" customWidth="1"/>
    <col min="80" max="80" width="9.1328125" hidden="1" customWidth="1"/>
    <col min="81" max="81" width="2.73046875" hidden="1" customWidth="1"/>
    <col min="82" max="82" width="15.73046875" hidden="1" customWidth="1"/>
    <col min="83" max="83" width="9.1328125" hidden="1" customWidth="1"/>
    <col min="84" max="84" width="3.73046875" hidden="1" customWidth="1"/>
    <col min="85" max="85" width="15.73046875" hidden="1" customWidth="1"/>
    <col min="86" max="86" width="9.1328125" hidden="1" customWidth="1"/>
    <col min="87" max="87" width="2.3984375" hidden="1" customWidth="1"/>
    <col min="88" max="88" width="15.73046875" hidden="1" customWidth="1"/>
    <col min="89" max="89" width="9.1328125" hidden="1" customWidth="1"/>
  </cols>
  <sheetData>
    <row r="1" spans="1:89" ht="29.25" customHeight="1" x14ac:dyDescent="0.45">
      <c r="A1" s="1"/>
      <c r="B1" s="1"/>
      <c r="C1" s="2"/>
      <c r="D1" s="2"/>
      <c r="E1" s="3"/>
      <c r="F1" s="1"/>
      <c r="G1" s="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 t="s">
        <v>0</v>
      </c>
      <c r="V1" s="1"/>
      <c r="W1" s="1"/>
      <c r="X1" s="1"/>
      <c r="Y1" s="1" t="s">
        <v>1</v>
      </c>
      <c r="Z1" s="1"/>
      <c r="AA1" s="1"/>
      <c r="AB1" s="1"/>
      <c r="AC1" s="1" t="s">
        <v>2</v>
      </c>
      <c r="AD1" s="1"/>
      <c r="AE1" s="1"/>
      <c r="AF1" s="1"/>
      <c r="AG1" s="1"/>
      <c r="AH1" s="1" t="s">
        <v>3</v>
      </c>
      <c r="AI1" s="1"/>
      <c r="AJ1" s="1"/>
      <c r="AK1" s="1" t="s">
        <v>4</v>
      </c>
      <c r="AL1" s="1"/>
      <c r="AM1" s="1"/>
      <c r="AN1" s="1" t="s">
        <v>5</v>
      </c>
      <c r="AO1" s="1"/>
      <c r="AP1" s="1"/>
      <c r="AQ1" s="1" t="s">
        <v>6</v>
      </c>
      <c r="AR1" s="1"/>
      <c r="AS1" s="1"/>
      <c r="AT1" s="1" t="s">
        <v>7</v>
      </c>
      <c r="AU1" s="1"/>
      <c r="AV1" s="1"/>
      <c r="AW1" s="5" t="s">
        <v>8</v>
      </c>
      <c r="AX1" s="1"/>
      <c r="AY1" s="1"/>
      <c r="AZ1" s="1" t="s">
        <v>9</v>
      </c>
      <c r="BA1" s="1"/>
      <c r="BB1" s="1"/>
      <c r="BC1" s="1" t="s">
        <v>10</v>
      </c>
      <c r="BD1" s="1"/>
      <c r="BE1" s="1"/>
      <c r="BF1" s="1" t="s">
        <v>11</v>
      </c>
      <c r="BG1" s="1"/>
      <c r="BH1" s="1"/>
      <c r="BI1" s="1" t="s">
        <v>12</v>
      </c>
      <c r="BJ1" s="1"/>
      <c r="BK1" s="1" t="s">
        <v>13</v>
      </c>
      <c r="BL1" s="1"/>
      <c r="BM1" s="1"/>
      <c r="BN1" s="1" t="s">
        <v>14</v>
      </c>
      <c r="BO1" s="1"/>
      <c r="BP1" s="1"/>
      <c r="BQ1" s="1"/>
      <c r="BR1" s="5" t="s">
        <v>15</v>
      </c>
      <c r="BS1" s="1"/>
      <c r="BT1" s="1"/>
      <c r="BU1" s="1" t="s">
        <v>16</v>
      </c>
      <c r="BV1" s="1"/>
      <c r="BW1" s="1"/>
      <c r="BX1" s="1" t="s">
        <v>17</v>
      </c>
      <c r="BY1" s="1"/>
      <c r="BZ1" s="1"/>
      <c r="CA1" s="1" t="s">
        <v>18</v>
      </c>
      <c r="CB1" s="1"/>
      <c r="CC1" s="1"/>
      <c r="CD1" s="1" t="s">
        <v>19</v>
      </c>
      <c r="CE1" s="1"/>
      <c r="CF1" s="1"/>
      <c r="CG1" s="1" t="s">
        <v>20</v>
      </c>
      <c r="CH1" s="1"/>
      <c r="CI1" s="1"/>
      <c r="CJ1" s="1" t="s">
        <v>21</v>
      </c>
      <c r="CK1" s="1"/>
    </row>
    <row r="2" spans="1:89" ht="90" customHeight="1" x14ac:dyDescent="0.7">
      <c r="A2" s="6" t="s">
        <v>22</v>
      </c>
      <c r="B2" s="6" t="s">
        <v>23</v>
      </c>
      <c r="C2" s="7" t="s">
        <v>24</v>
      </c>
      <c r="D2" s="7"/>
      <c r="E2" s="3" t="s">
        <v>26</v>
      </c>
      <c r="F2" s="2" t="s">
        <v>28</v>
      </c>
      <c r="G2" s="7"/>
      <c r="H2" s="9" t="s">
        <v>30</v>
      </c>
      <c r="I2" s="9" t="s">
        <v>31</v>
      </c>
      <c r="J2" s="9" t="s">
        <v>32</v>
      </c>
      <c r="K2" s="2" t="s">
        <v>33</v>
      </c>
      <c r="L2" s="2" t="s">
        <v>34</v>
      </c>
      <c r="M2" s="2"/>
      <c r="N2" s="10" t="s">
        <v>35</v>
      </c>
      <c r="O2" s="11"/>
      <c r="P2" s="10" t="s">
        <v>36</v>
      </c>
      <c r="Q2" s="11"/>
      <c r="R2" s="10" t="s">
        <v>37</v>
      </c>
      <c r="S2" s="12" t="s">
        <v>38</v>
      </c>
      <c r="T2" s="13"/>
      <c r="U2" s="14" t="s">
        <v>39</v>
      </c>
      <c r="V2" s="15" t="s">
        <v>40</v>
      </c>
      <c r="W2" s="15"/>
      <c r="X2" s="11"/>
      <c r="Y2" s="17" t="s">
        <v>42</v>
      </c>
      <c r="Z2" s="18" t="s">
        <v>29</v>
      </c>
      <c r="AA2" s="19" t="s">
        <v>38</v>
      </c>
      <c r="AB2" s="11"/>
      <c r="AC2" s="20" t="s">
        <v>43</v>
      </c>
      <c r="AD2" s="18" t="s">
        <v>29</v>
      </c>
      <c r="AE2" s="19" t="s">
        <v>44</v>
      </c>
      <c r="AF2" s="19" t="s">
        <v>45</v>
      </c>
      <c r="AG2" s="18"/>
      <c r="AH2" s="21" t="s">
        <v>46</v>
      </c>
      <c r="AI2" s="18" t="s">
        <v>29</v>
      </c>
      <c r="AJ2" s="22"/>
      <c r="AK2" s="17" t="s">
        <v>47</v>
      </c>
      <c r="AL2" s="18" t="s">
        <v>29</v>
      </c>
      <c r="AM2" s="22"/>
      <c r="AN2" s="17" t="s">
        <v>48</v>
      </c>
      <c r="AO2" s="18" t="s">
        <v>29</v>
      </c>
      <c r="AP2" s="22"/>
      <c r="AQ2" s="17" t="s">
        <v>49</v>
      </c>
      <c r="AR2" s="18" t="s">
        <v>29</v>
      </c>
      <c r="AS2" s="22"/>
      <c r="AT2" s="17" t="s">
        <v>50</v>
      </c>
      <c r="AU2" s="18" t="s">
        <v>29</v>
      </c>
      <c r="AV2" s="22"/>
      <c r="AW2" s="23" t="s">
        <v>51</v>
      </c>
      <c r="AX2" s="18" t="s">
        <v>29</v>
      </c>
      <c r="AY2" s="18"/>
      <c r="AZ2" s="20" t="s">
        <v>51</v>
      </c>
      <c r="BA2" s="18" t="s">
        <v>29</v>
      </c>
      <c r="BB2" s="18"/>
      <c r="BC2" s="20" t="s">
        <v>51</v>
      </c>
      <c r="BD2" s="18" t="s">
        <v>29</v>
      </c>
      <c r="BE2" s="18"/>
      <c r="BF2" s="20" t="s">
        <v>51</v>
      </c>
      <c r="BG2" s="18" t="s">
        <v>29</v>
      </c>
      <c r="BH2" s="18"/>
      <c r="BI2" s="20" t="s">
        <v>51</v>
      </c>
      <c r="BJ2" s="18" t="s">
        <v>29</v>
      </c>
      <c r="BK2" s="20" t="s">
        <v>51</v>
      </c>
      <c r="BL2" s="18" t="s">
        <v>29</v>
      </c>
      <c r="BM2" s="18"/>
      <c r="BN2" s="23" t="s">
        <v>51</v>
      </c>
      <c r="BO2" s="18" t="s">
        <v>29</v>
      </c>
      <c r="BP2" s="18"/>
      <c r="BQ2" s="22"/>
      <c r="BR2" s="17" t="s">
        <v>52</v>
      </c>
      <c r="BS2" s="18" t="s">
        <v>29</v>
      </c>
      <c r="BT2" s="22"/>
      <c r="BU2" s="24" t="s">
        <v>52</v>
      </c>
      <c r="BV2" s="18" t="s">
        <v>29</v>
      </c>
      <c r="BW2" s="22"/>
      <c r="BX2" s="24" t="s">
        <v>52</v>
      </c>
      <c r="BY2" s="18" t="s">
        <v>29</v>
      </c>
      <c r="BZ2" s="22"/>
      <c r="CA2" s="24" t="s">
        <v>52</v>
      </c>
      <c r="CB2" s="18" t="s">
        <v>29</v>
      </c>
      <c r="CC2" s="22"/>
      <c r="CD2" s="24" t="s">
        <v>52</v>
      </c>
      <c r="CE2" s="18" t="s">
        <v>29</v>
      </c>
      <c r="CF2" s="22"/>
      <c r="CG2" s="24" t="s">
        <v>52</v>
      </c>
      <c r="CH2" s="18" t="s">
        <v>29</v>
      </c>
      <c r="CI2" s="22"/>
      <c r="CJ2" s="17" t="s">
        <v>52</v>
      </c>
      <c r="CK2" s="18" t="s">
        <v>29</v>
      </c>
    </row>
    <row r="3" spans="1:89" ht="14.25" x14ac:dyDescent="0.45">
      <c r="A3" s="25" t="s">
        <v>53</v>
      </c>
      <c r="B3" s="25"/>
      <c r="C3" s="26"/>
      <c r="D3" s="26"/>
      <c r="E3" s="27"/>
      <c r="F3" s="28"/>
      <c r="G3" s="26"/>
      <c r="H3" s="25"/>
      <c r="I3" s="25"/>
      <c r="J3" s="25"/>
      <c r="K3" s="29"/>
      <c r="L3" s="28"/>
      <c r="M3" s="28"/>
      <c r="N3" s="30">
        <v>0.03</v>
      </c>
      <c r="O3" s="31"/>
      <c r="P3" s="30">
        <v>6.5000000000000002E-2</v>
      </c>
      <c r="Q3" s="31"/>
      <c r="R3" s="30">
        <v>2.5000000000000001E-2</v>
      </c>
      <c r="S3" s="32"/>
      <c r="T3" s="33"/>
      <c r="U3" s="35">
        <v>0.03</v>
      </c>
      <c r="V3" s="35"/>
      <c r="W3" s="35"/>
      <c r="X3" s="37"/>
      <c r="Y3" s="28"/>
      <c r="Z3" s="28"/>
      <c r="AA3" s="28"/>
      <c r="AB3" s="37"/>
      <c r="AC3" s="28"/>
      <c r="AD3" s="28"/>
      <c r="AE3" s="28"/>
      <c r="AF3" s="28"/>
      <c r="AG3" s="28"/>
      <c r="AH3" s="38">
        <v>0.16550000000000001</v>
      </c>
      <c r="AI3" s="28"/>
      <c r="AJ3" s="37"/>
      <c r="AK3" s="39">
        <f>'Op4'!AC4</f>
        <v>615.59252777777783</v>
      </c>
      <c r="AL3" s="28"/>
      <c r="AM3" s="37"/>
      <c r="AN3" s="39">
        <f>'Op5'!AC4</f>
        <v>519.51683333333335</v>
      </c>
      <c r="AO3" s="28"/>
      <c r="AP3" s="37"/>
      <c r="AQ3" s="39">
        <f>'Op6'!AC4</f>
        <v>519.51683333333335</v>
      </c>
      <c r="AR3" s="28"/>
      <c r="AS3" s="37"/>
      <c r="AT3" s="39">
        <f>'Op7'!AC4</f>
        <v>519.51683333333335</v>
      </c>
      <c r="AU3" s="28"/>
      <c r="AV3" s="37"/>
      <c r="AW3" s="39">
        <f>'Op8'!$AC$4</f>
        <v>692.68911111111106</v>
      </c>
      <c r="AX3" s="28"/>
      <c r="AY3" s="28"/>
      <c r="AZ3" s="39">
        <v>855.50476936708367</v>
      </c>
      <c r="BA3" s="28"/>
      <c r="BB3" s="28"/>
      <c r="BC3" s="39">
        <v>513.30286162025016</v>
      </c>
      <c r="BD3" s="28"/>
      <c r="BE3" s="28"/>
      <c r="BF3" s="39">
        <v>855.50476936708367</v>
      </c>
      <c r="BG3" s="28"/>
      <c r="BH3" s="28"/>
      <c r="BI3" s="39">
        <v>855.50476936708367</v>
      </c>
      <c r="BJ3" s="28"/>
      <c r="BK3" s="39">
        <v>1707.187779474908</v>
      </c>
      <c r="BL3" s="28"/>
      <c r="BM3" s="28"/>
      <c r="BN3" s="39">
        <v>1714.8312979934267</v>
      </c>
      <c r="BO3" s="28"/>
      <c r="BP3" s="28"/>
      <c r="BQ3" s="37"/>
      <c r="BR3" s="39">
        <f>'Op9'!AC4</f>
        <v>694.21781481481491</v>
      </c>
      <c r="BS3" s="28"/>
      <c r="BT3" s="37"/>
      <c r="BU3" s="39">
        <v>855.50476936708367</v>
      </c>
      <c r="BV3" s="28"/>
      <c r="BW3" s="37"/>
      <c r="BX3" s="39">
        <v>513.30286162025016</v>
      </c>
      <c r="BY3" s="28"/>
      <c r="BZ3" s="37"/>
      <c r="CA3" s="39">
        <v>855.50476936708367</v>
      </c>
      <c r="CB3" s="28"/>
      <c r="CC3" s="37"/>
      <c r="CD3" s="39">
        <v>855.50476936708367</v>
      </c>
      <c r="CE3" s="28"/>
      <c r="CF3" s="37"/>
      <c r="CG3" s="39">
        <v>1707.187779474908</v>
      </c>
      <c r="CH3" s="28"/>
      <c r="CI3" s="37"/>
      <c r="CJ3" s="39">
        <v>1714.8312979934267</v>
      </c>
      <c r="CK3" s="28"/>
    </row>
    <row r="4" spans="1:89" ht="14.25" hidden="1" x14ac:dyDescent="0.45">
      <c r="A4" s="40" t="s">
        <v>55</v>
      </c>
      <c r="B4" s="40"/>
      <c r="C4" s="41"/>
      <c r="D4" s="41"/>
      <c r="E4" s="42"/>
      <c r="F4" s="18"/>
      <c r="G4" s="41"/>
      <c r="H4" s="40"/>
      <c r="I4" s="40"/>
      <c r="J4" s="40"/>
      <c r="K4" s="3"/>
      <c r="L4" s="18"/>
      <c r="M4" s="18"/>
      <c r="N4" s="43"/>
      <c r="O4" s="44"/>
      <c r="P4" s="43"/>
      <c r="Q4" s="44"/>
      <c r="R4" s="43"/>
      <c r="S4" s="45"/>
      <c r="T4" s="46"/>
      <c r="U4" s="47"/>
      <c r="V4" s="47"/>
      <c r="W4" s="47"/>
      <c r="X4" s="22"/>
      <c r="Y4" s="48">
        <v>1</v>
      </c>
      <c r="Z4" s="18"/>
      <c r="AA4" s="18"/>
      <c r="AB4" s="22"/>
      <c r="AC4" s="49">
        <v>0</v>
      </c>
      <c r="AD4" s="18"/>
      <c r="AE4" s="18"/>
      <c r="AF4" s="18"/>
      <c r="AG4" s="18"/>
      <c r="AH4" s="49">
        <v>0</v>
      </c>
      <c r="AI4" s="18"/>
      <c r="AJ4" s="22"/>
      <c r="AK4" s="49">
        <v>0</v>
      </c>
      <c r="AL4" s="18"/>
      <c r="AM4" s="22"/>
      <c r="AN4" s="49">
        <v>0</v>
      </c>
      <c r="AO4" s="18"/>
      <c r="AP4" s="22"/>
      <c r="AQ4" s="49">
        <v>0</v>
      </c>
      <c r="AR4" s="18"/>
      <c r="AS4" s="22"/>
      <c r="AT4" s="49">
        <v>0</v>
      </c>
      <c r="AU4" s="18"/>
      <c r="AV4" s="22"/>
      <c r="AW4" s="49">
        <v>0</v>
      </c>
      <c r="AX4" s="18"/>
      <c r="AY4" s="18"/>
      <c r="AZ4" s="49">
        <v>0</v>
      </c>
      <c r="BA4" s="18"/>
      <c r="BB4" s="18"/>
      <c r="BC4" s="49">
        <v>0</v>
      </c>
      <c r="BD4" s="18"/>
      <c r="BE4" s="18"/>
      <c r="BF4" s="49">
        <v>0</v>
      </c>
      <c r="BG4" s="18"/>
      <c r="BH4" s="18"/>
      <c r="BI4" s="49">
        <v>0</v>
      </c>
      <c r="BJ4" s="18"/>
      <c r="BK4" s="49">
        <v>0</v>
      </c>
      <c r="BL4" s="18"/>
      <c r="BM4" s="18"/>
      <c r="BN4" s="49">
        <v>0</v>
      </c>
      <c r="BO4" s="18"/>
      <c r="BP4" s="18"/>
      <c r="BQ4" s="22"/>
      <c r="BR4" s="50">
        <v>0.3</v>
      </c>
      <c r="BS4" s="18"/>
      <c r="BT4" s="22"/>
      <c r="BU4" s="50">
        <v>0.3</v>
      </c>
      <c r="BV4" s="18"/>
      <c r="BW4" s="22"/>
      <c r="BX4" s="50">
        <v>0.35</v>
      </c>
      <c r="BY4" s="18"/>
      <c r="BZ4" s="22"/>
      <c r="CA4" s="50">
        <v>0.35</v>
      </c>
      <c r="CB4" s="18"/>
      <c r="CC4" s="22"/>
      <c r="CD4" s="50">
        <v>0.25</v>
      </c>
      <c r="CE4" s="18"/>
      <c r="CF4" s="22"/>
      <c r="CG4" s="50">
        <v>0.5</v>
      </c>
      <c r="CH4" s="18"/>
      <c r="CI4" s="22"/>
      <c r="CJ4" s="50">
        <v>0.5</v>
      </c>
      <c r="CK4" s="18"/>
    </row>
    <row r="5" spans="1:89" ht="14.25" hidden="1" x14ac:dyDescent="0.45">
      <c r="A5" s="40" t="s">
        <v>56</v>
      </c>
      <c r="B5" s="40"/>
      <c r="C5" s="41"/>
      <c r="D5" s="41"/>
      <c r="E5" s="42"/>
      <c r="F5" s="18"/>
      <c r="G5" s="41"/>
      <c r="H5" s="40"/>
      <c r="I5" s="40"/>
      <c r="J5" s="40"/>
      <c r="K5" s="3"/>
      <c r="L5" s="18"/>
      <c r="M5" s="18"/>
      <c r="N5" s="43"/>
      <c r="O5" s="44"/>
      <c r="P5" s="43"/>
      <c r="Q5" s="44"/>
      <c r="R5" s="43"/>
      <c r="S5" s="45"/>
      <c r="T5" s="46"/>
      <c r="U5" s="22"/>
      <c r="V5" s="22"/>
      <c r="W5" s="22"/>
      <c r="X5" s="22"/>
      <c r="Y5" s="49">
        <v>0</v>
      </c>
      <c r="Z5" s="18"/>
      <c r="AA5" s="18"/>
      <c r="AB5" s="22"/>
      <c r="AC5" s="51">
        <v>1</v>
      </c>
      <c r="AD5" s="18"/>
      <c r="AE5" s="18"/>
      <c r="AF5" s="18"/>
      <c r="AG5" s="18"/>
      <c r="AH5" s="49">
        <v>0</v>
      </c>
      <c r="AI5" s="18"/>
      <c r="AJ5" s="52"/>
      <c r="AK5" s="49">
        <v>0.85</v>
      </c>
      <c r="AL5" s="18"/>
      <c r="AM5" s="52"/>
      <c r="AN5" s="50">
        <v>0.85</v>
      </c>
      <c r="AO5" s="18"/>
      <c r="AP5" s="52"/>
      <c r="AQ5" s="50">
        <v>0</v>
      </c>
      <c r="AR5" s="18"/>
      <c r="AS5" s="52"/>
      <c r="AT5" s="50">
        <v>0.85</v>
      </c>
      <c r="AU5" s="18"/>
      <c r="AV5" s="22"/>
      <c r="AW5" s="50">
        <v>0.3</v>
      </c>
      <c r="AX5" s="18"/>
      <c r="AY5" s="18"/>
      <c r="AZ5" s="50">
        <v>0.3</v>
      </c>
      <c r="BA5" s="18"/>
      <c r="BB5" s="18"/>
      <c r="BC5" s="50">
        <v>0.35</v>
      </c>
      <c r="BD5" s="18"/>
      <c r="BE5" s="18"/>
      <c r="BF5" s="50">
        <v>0.35</v>
      </c>
      <c r="BG5" s="18"/>
      <c r="BH5" s="18"/>
      <c r="BI5" s="50">
        <v>0.25</v>
      </c>
      <c r="BJ5" s="18"/>
      <c r="BK5" s="50">
        <v>0.5</v>
      </c>
      <c r="BL5" s="18"/>
      <c r="BM5" s="18"/>
      <c r="BN5" s="50">
        <v>0.5</v>
      </c>
      <c r="BO5" s="18"/>
      <c r="BP5" s="18"/>
      <c r="BQ5" s="22"/>
      <c r="BR5" s="50">
        <v>0</v>
      </c>
      <c r="BS5" s="18"/>
      <c r="BT5" s="22"/>
      <c r="BU5" s="50">
        <v>0</v>
      </c>
      <c r="BV5" s="18"/>
      <c r="BW5" s="22"/>
      <c r="BX5" s="50">
        <v>0</v>
      </c>
      <c r="BY5" s="18"/>
      <c r="BZ5" s="22"/>
      <c r="CA5" s="50">
        <v>0</v>
      </c>
      <c r="CB5" s="18"/>
      <c r="CC5" s="22"/>
      <c r="CD5" s="50">
        <v>0</v>
      </c>
      <c r="CE5" s="18"/>
      <c r="CF5" s="22"/>
      <c r="CG5" s="50">
        <v>0</v>
      </c>
      <c r="CH5" s="18"/>
      <c r="CI5" s="22"/>
      <c r="CJ5" s="50">
        <v>0</v>
      </c>
      <c r="CK5" s="18"/>
    </row>
    <row r="6" spans="1:89" ht="14.25" hidden="1" x14ac:dyDescent="0.45">
      <c r="A6" s="40" t="s">
        <v>57</v>
      </c>
      <c r="B6" s="40"/>
      <c r="C6" s="41"/>
      <c r="D6" s="41"/>
      <c r="E6" s="42"/>
      <c r="F6" s="18"/>
      <c r="G6" s="41"/>
      <c r="H6" s="40"/>
      <c r="I6" s="40"/>
      <c r="J6" s="40"/>
      <c r="K6" s="3"/>
      <c r="L6" s="18"/>
      <c r="M6" s="18"/>
      <c r="N6" s="43"/>
      <c r="O6" s="44"/>
      <c r="P6" s="43"/>
      <c r="Q6" s="44"/>
      <c r="R6" s="43"/>
      <c r="S6" s="45"/>
      <c r="T6" s="46"/>
      <c r="U6" s="22"/>
      <c r="V6" s="22"/>
      <c r="W6" s="22"/>
      <c r="X6" s="22"/>
      <c r="Y6" s="49">
        <v>0</v>
      </c>
      <c r="Z6" s="18"/>
      <c r="AA6" s="18"/>
      <c r="AB6" s="22"/>
      <c r="AC6" s="49">
        <v>0</v>
      </c>
      <c r="AD6" s="18"/>
      <c r="AE6" s="18"/>
      <c r="AF6" s="18"/>
      <c r="AG6" s="18"/>
      <c r="AH6" s="51">
        <v>1</v>
      </c>
      <c r="AI6" s="18"/>
      <c r="AJ6" s="52"/>
      <c r="AK6" s="48">
        <v>0</v>
      </c>
      <c r="AL6" s="18"/>
      <c r="AM6" s="52"/>
      <c r="AN6" s="50">
        <v>0</v>
      </c>
      <c r="AO6" s="18"/>
      <c r="AP6" s="52"/>
      <c r="AQ6" s="50">
        <v>0.85</v>
      </c>
      <c r="AR6" s="18"/>
      <c r="AS6" s="52"/>
      <c r="AT6" s="52">
        <v>0</v>
      </c>
      <c r="AU6" s="18"/>
      <c r="AV6" s="22"/>
      <c r="AW6" s="50">
        <v>0.2</v>
      </c>
      <c r="AX6" s="18"/>
      <c r="AY6" s="18"/>
      <c r="AZ6" s="50">
        <v>0.15</v>
      </c>
      <c r="BA6" s="18"/>
      <c r="BB6" s="18"/>
      <c r="BC6" s="50">
        <v>0.25</v>
      </c>
      <c r="BD6" s="18"/>
      <c r="BE6" s="18"/>
      <c r="BF6" s="50">
        <v>0.25</v>
      </c>
      <c r="BG6" s="18"/>
      <c r="BH6" s="18"/>
      <c r="BI6" s="50">
        <v>0.25</v>
      </c>
      <c r="BJ6" s="18"/>
      <c r="BK6" s="50">
        <v>0</v>
      </c>
      <c r="BL6" s="18"/>
      <c r="BM6" s="18"/>
      <c r="BN6" s="50">
        <v>0</v>
      </c>
      <c r="BO6" s="18"/>
      <c r="BP6" s="18"/>
      <c r="BQ6" s="22"/>
      <c r="BR6" s="50">
        <v>0.2</v>
      </c>
      <c r="BS6" s="18"/>
      <c r="BT6" s="22"/>
      <c r="BU6" s="50">
        <v>0.15</v>
      </c>
      <c r="BV6" s="18"/>
      <c r="BW6" s="22"/>
      <c r="BX6" s="50">
        <v>0.25</v>
      </c>
      <c r="BY6" s="18"/>
      <c r="BZ6" s="22"/>
      <c r="CA6" s="50">
        <v>0.25</v>
      </c>
      <c r="CB6" s="18"/>
      <c r="CC6" s="22"/>
      <c r="CD6" s="50">
        <v>0.25</v>
      </c>
      <c r="CE6" s="18"/>
      <c r="CF6" s="22"/>
      <c r="CG6" s="50">
        <v>0</v>
      </c>
      <c r="CH6" s="18"/>
      <c r="CI6" s="22"/>
      <c r="CJ6" s="50">
        <v>0</v>
      </c>
      <c r="CK6" s="18"/>
    </row>
    <row r="7" spans="1:89" ht="14.25" hidden="1" x14ac:dyDescent="0.45">
      <c r="A7" s="40" t="s">
        <v>58</v>
      </c>
      <c r="B7" s="40"/>
      <c r="C7" s="41"/>
      <c r="D7" s="41"/>
      <c r="E7" s="42"/>
      <c r="F7" s="18"/>
      <c r="G7" s="41"/>
      <c r="H7" s="40"/>
      <c r="I7" s="40"/>
      <c r="J7" s="40"/>
      <c r="K7" s="3"/>
      <c r="L7" s="18"/>
      <c r="M7" s="18"/>
      <c r="N7" s="43"/>
      <c r="O7" s="44"/>
      <c r="P7" s="43"/>
      <c r="Q7" s="44"/>
      <c r="R7" s="43"/>
      <c r="S7" s="45"/>
      <c r="T7" s="46"/>
      <c r="U7" s="53">
        <f>U22</f>
        <v>411.90392913206051</v>
      </c>
      <c r="V7" s="53"/>
      <c r="W7" s="53"/>
      <c r="X7" s="22"/>
      <c r="Y7" s="49">
        <v>0</v>
      </c>
      <c r="Z7" s="18"/>
      <c r="AA7" s="18"/>
      <c r="AB7" s="22"/>
      <c r="AC7" s="49">
        <v>0</v>
      </c>
      <c r="AD7" s="18"/>
      <c r="AE7" s="18"/>
      <c r="AF7" s="18"/>
      <c r="AG7" s="18"/>
      <c r="AH7" s="49">
        <v>0</v>
      </c>
      <c r="AI7" s="18"/>
      <c r="AJ7" s="52"/>
      <c r="AK7" s="49">
        <v>0.15</v>
      </c>
      <c r="AL7" s="18"/>
      <c r="AM7" s="52"/>
      <c r="AN7" s="50">
        <v>0.15</v>
      </c>
      <c r="AO7" s="18"/>
      <c r="AP7" s="52"/>
      <c r="AQ7" s="50">
        <v>0.15</v>
      </c>
      <c r="AR7" s="18"/>
      <c r="AS7" s="52"/>
      <c r="AT7" s="50">
        <v>0.15</v>
      </c>
      <c r="AU7" s="18"/>
      <c r="AV7" s="22"/>
      <c r="AW7" s="50">
        <v>0.2</v>
      </c>
      <c r="AX7" s="18"/>
      <c r="AY7" s="18"/>
      <c r="AZ7" s="50">
        <v>0.25</v>
      </c>
      <c r="BA7" s="18"/>
      <c r="BB7" s="18"/>
      <c r="BC7" s="50">
        <v>0.15</v>
      </c>
      <c r="BD7" s="18"/>
      <c r="BE7" s="18"/>
      <c r="BF7" s="50">
        <v>0.25</v>
      </c>
      <c r="BG7" s="18"/>
      <c r="BH7" s="18"/>
      <c r="BI7" s="50">
        <v>0.25</v>
      </c>
      <c r="BJ7" s="18"/>
      <c r="BK7" s="50">
        <v>0.5</v>
      </c>
      <c r="BL7" s="18"/>
      <c r="BM7" s="18"/>
      <c r="BN7" s="50">
        <v>0.5</v>
      </c>
      <c r="BO7" s="18"/>
      <c r="BP7" s="18"/>
      <c r="BQ7" s="22"/>
      <c r="BR7" s="50">
        <v>0.2</v>
      </c>
      <c r="BS7" s="18"/>
      <c r="BT7" s="22"/>
      <c r="BU7" s="50">
        <v>0.25</v>
      </c>
      <c r="BV7" s="18"/>
      <c r="BW7" s="22"/>
      <c r="BX7" s="50">
        <v>0.15</v>
      </c>
      <c r="BY7" s="18"/>
      <c r="BZ7" s="22"/>
      <c r="CA7" s="50">
        <v>0.25</v>
      </c>
      <c r="CB7" s="18"/>
      <c r="CC7" s="22"/>
      <c r="CD7" s="50">
        <v>0.25</v>
      </c>
      <c r="CE7" s="18"/>
      <c r="CF7" s="22"/>
      <c r="CG7" s="50">
        <v>0.5</v>
      </c>
      <c r="CH7" s="18"/>
      <c r="CI7" s="22"/>
      <c r="CJ7" s="50">
        <v>0.5</v>
      </c>
      <c r="CK7" s="18"/>
    </row>
    <row r="8" spans="1:89" ht="14.25" hidden="1" x14ac:dyDescent="0.45">
      <c r="A8" s="40" t="s">
        <v>59</v>
      </c>
      <c r="B8" s="40"/>
      <c r="C8" s="41"/>
      <c r="D8" s="41"/>
      <c r="E8" s="42"/>
      <c r="F8" s="18"/>
      <c r="G8" s="41"/>
      <c r="H8" s="40"/>
      <c r="I8" s="40"/>
      <c r="J8" s="40"/>
      <c r="K8" s="3"/>
      <c r="L8" s="18"/>
      <c r="M8" s="18"/>
      <c r="N8" s="43"/>
      <c r="O8" s="44"/>
      <c r="P8" s="43"/>
      <c r="Q8" s="44"/>
      <c r="R8" s="43"/>
      <c r="S8" s="45"/>
      <c r="T8" s="46"/>
      <c r="U8" s="22"/>
      <c r="V8" s="22"/>
      <c r="W8" s="22"/>
      <c r="X8" s="22"/>
      <c r="Y8" s="49">
        <v>0</v>
      </c>
      <c r="Z8" s="18"/>
      <c r="AA8" s="18"/>
      <c r="AB8" s="22"/>
      <c r="AC8" s="49">
        <v>0</v>
      </c>
      <c r="AD8" s="18"/>
      <c r="AE8" s="18"/>
      <c r="AF8" s="18"/>
      <c r="AG8" s="18"/>
      <c r="AH8" s="49">
        <v>0</v>
      </c>
      <c r="AI8" s="18"/>
      <c r="AJ8" s="52"/>
      <c r="AK8" s="49">
        <v>0</v>
      </c>
      <c r="AL8" s="18"/>
      <c r="AM8" s="52"/>
      <c r="AN8" s="50">
        <v>0</v>
      </c>
      <c r="AO8" s="18"/>
      <c r="AP8" s="52"/>
      <c r="AQ8" s="50">
        <v>0</v>
      </c>
      <c r="AR8" s="18"/>
      <c r="AS8" s="52"/>
      <c r="AT8" s="50">
        <v>0</v>
      </c>
      <c r="AU8" s="18"/>
      <c r="AV8" s="22"/>
      <c r="AW8" s="50">
        <v>0.3</v>
      </c>
      <c r="AX8" s="18"/>
      <c r="AY8" s="18"/>
      <c r="AZ8" s="50">
        <v>0.3</v>
      </c>
      <c r="BA8" s="18"/>
      <c r="BB8" s="18"/>
      <c r="BC8" s="50">
        <v>0.25</v>
      </c>
      <c r="BD8" s="18"/>
      <c r="BE8" s="18"/>
      <c r="BF8" s="50">
        <v>0.15</v>
      </c>
      <c r="BG8" s="18"/>
      <c r="BH8" s="18"/>
      <c r="BI8" s="50">
        <v>0.25</v>
      </c>
      <c r="BJ8" s="18"/>
      <c r="BK8" s="50">
        <v>0</v>
      </c>
      <c r="BL8" s="18"/>
      <c r="BM8" s="18"/>
      <c r="BN8" s="50">
        <v>0</v>
      </c>
      <c r="BO8" s="18"/>
      <c r="BP8" s="18"/>
      <c r="BQ8" s="22"/>
      <c r="BR8" s="50">
        <v>0.3</v>
      </c>
      <c r="BS8" s="18"/>
      <c r="BT8" s="22"/>
      <c r="BU8" s="50">
        <v>0.3</v>
      </c>
      <c r="BV8" s="18"/>
      <c r="BW8" s="22"/>
      <c r="BX8" s="50">
        <v>0.25</v>
      </c>
      <c r="BY8" s="18"/>
      <c r="BZ8" s="22"/>
      <c r="CA8" s="50">
        <v>0.15</v>
      </c>
      <c r="CB8" s="18"/>
      <c r="CC8" s="22"/>
      <c r="CD8" s="50">
        <v>0.25</v>
      </c>
      <c r="CE8" s="18"/>
      <c r="CF8" s="22"/>
      <c r="CG8" s="50">
        <v>0</v>
      </c>
      <c r="CH8" s="18"/>
      <c r="CI8" s="22"/>
      <c r="CJ8" s="50">
        <v>0</v>
      </c>
      <c r="CK8" s="18"/>
    </row>
    <row r="9" spans="1:89" ht="14.25" hidden="1" x14ac:dyDescent="0.45">
      <c r="A9" s="40"/>
      <c r="B9" s="40"/>
      <c r="C9" s="41"/>
      <c r="D9" s="41"/>
      <c r="E9" s="42"/>
      <c r="F9" s="18"/>
      <c r="G9" s="41"/>
      <c r="H9" s="40"/>
      <c r="I9" s="40"/>
      <c r="J9" s="40"/>
      <c r="K9" s="3"/>
      <c r="L9" s="18"/>
      <c r="M9" s="18"/>
      <c r="N9" s="43"/>
      <c r="O9" s="44"/>
      <c r="P9" s="43"/>
      <c r="Q9" s="44"/>
      <c r="R9" s="43"/>
      <c r="S9" s="45"/>
      <c r="T9" s="46"/>
      <c r="U9" s="22"/>
      <c r="V9" s="22"/>
      <c r="W9" s="22"/>
      <c r="X9" s="22"/>
      <c r="Y9" s="55">
        <f>SUM(Y4:Y8)</f>
        <v>1</v>
      </c>
      <c r="Z9" s="18"/>
      <c r="AA9" s="18"/>
      <c r="AB9" s="22"/>
      <c r="AC9" s="55">
        <f>SUM(AC4:AC8)</f>
        <v>1</v>
      </c>
      <c r="AD9" s="18"/>
      <c r="AE9" s="18"/>
      <c r="AF9" s="18"/>
      <c r="AG9" s="18"/>
      <c r="AH9" s="55">
        <f>SUM(AH4:AH8)</f>
        <v>1</v>
      </c>
      <c r="AI9" s="18"/>
      <c r="AJ9" s="52"/>
      <c r="AK9" s="55">
        <f>SUM(AK4:AK8)</f>
        <v>1</v>
      </c>
      <c r="AL9" s="18"/>
      <c r="AM9" s="52"/>
      <c r="AN9" s="55">
        <f>SUM(AN4:AN8)</f>
        <v>1</v>
      </c>
      <c r="AO9" s="18"/>
      <c r="AP9" s="52"/>
      <c r="AQ9" s="55">
        <f>SUM(AQ4:AQ8)</f>
        <v>1</v>
      </c>
      <c r="AR9" s="18"/>
      <c r="AS9" s="52"/>
      <c r="AT9" s="55">
        <f>SUM(AT4:AT8)</f>
        <v>1</v>
      </c>
      <c r="AU9" s="18"/>
      <c r="AV9" s="22"/>
      <c r="AW9" s="55">
        <f>SUM(AW4:AW8)</f>
        <v>1</v>
      </c>
      <c r="AX9" s="18"/>
      <c r="AY9" s="18"/>
      <c r="AZ9" s="55">
        <v>1</v>
      </c>
      <c r="BA9" s="18"/>
      <c r="BB9" s="18"/>
      <c r="BC9" s="55">
        <f>SUM(BC4:BC8)</f>
        <v>1</v>
      </c>
      <c r="BD9" s="18"/>
      <c r="BE9" s="18"/>
      <c r="BF9" s="55">
        <v>1</v>
      </c>
      <c r="BG9" s="18"/>
      <c r="BH9" s="18"/>
      <c r="BI9" s="55">
        <v>1</v>
      </c>
      <c r="BJ9" s="18"/>
      <c r="BK9" s="55">
        <v>1</v>
      </c>
      <c r="BL9" s="18"/>
      <c r="BM9" s="18"/>
      <c r="BN9" s="55">
        <v>1</v>
      </c>
      <c r="BO9" s="18"/>
      <c r="BP9" s="18"/>
      <c r="BQ9" s="22"/>
      <c r="BR9" s="55">
        <f>SUM(BR4:BR8)</f>
        <v>1</v>
      </c>
      <c r="BS9" s="18"/>
      <c r="BT9" s="22"/>
      <c r="BU9" s="55">
        <v>1</v>
      </c>
      <c r="BV9" s="18"/>
      <c r="BW9" s="22"/>
      <c r="BX9" s="55">
        <v>1</v>
      </c>
      <c r="BY9" s="18"/>
      <c r="BZ9" s="22"/>
      <c r="CA9" s="55">
        <v>1</v>
      </c>
      <c r="CB9" s="18"/>
      <c r="CC9" s="22"/>
      <c r="CD9" s="55">
        <v>1</v>
      </c>
      <c r="CE9" s="18"/>
      <c r="CF9" s="22"/>
      <c r="CG9" s="55">
        <v>1</v>
      </c>
      <c r="CH9" s="18"/>
      <c r="CI9" s="22"/>
      <c r="CJ9" s="55">
        <v>1</v>
      </c>
      <c r="CK9" s="18"/>
    </row>
    <row r="10" spans="1:89" ht="10.5" hidden="1" customHeight="1" x14ac:dyDescent="0.45">
      <c r="A10" s="40"/>
      <c r="B10" s="40"/>
      <c r="C10" s="41"/>
      <c r="D10" s="41"/>
      <c r="E10" s="42"/>
      <c r="F10" s="18"/>
      <c r="G10" s="41"/>
      <c r="H10" s="40"/>
      <c r="I10" s="40"/>
      <c r="J10" s="40"/>
      <c r="K10" s="3"/>
      <c r="L10" s="18"/>
      <c r="M10" s="18"/>
      <c r="N10" s="43"/>
      <c r="O10" s="44"/>
      <c r="P10" s="43"/>
      <c r="Q10" s="44"/>
      <c r="R10" s="43"/>
      <c r="S10" s="45"/>
      <c r="T10" s="46"/>
      <c r="U10" s="22"/>
      <c r="V10" s="22"/>
      <c r="W10" s="22"/>
      <c r="X10" s="22"/>
      <c r="Y10" s="49"/>
      <c r="Z10" s="18"/>
      <c r="AA10" s="18"/>
      <c r="AB10" s="22"/>
      <c r="AC10" s="49"/>
      <c r="AD10" s="18"/>
      <c r="AE10" s="18"/>
      <c r="AF10" s="18"/>
      <c r="AG10" s="18"/>
      <c r="AH10" s="49"/>
      <c r="AI10" s="18"/>
      <c r="AJ10" s="52"/>
      <c r="AK10" s="49"/>
      <c r="AL10" s="18"/>
      <c r="AM10" s="52"/>
      <c r="AN10" s="50"/>
      <c r="AO10" s="18"/>
      <c r="AP10" s="52"/>
      <c r="AQ10" s="50"/>
      <c r="AR10" s="18"/>
      <c r="AS10" s="52"/>
      <c r="AT10" s="50"/>
      <c r="AU10" s="18"/>
      <c r="AV10" s="22"/>
      <c r="AW10" s="50"/>
      <c r="AX10" s="18"/>
      <c r="AY10" s="18"/>
      <c r="AZ10" s="50"/>
      <c r="BA10" s="18"/>
      <c r="BB10" s="18"/>
      <c r="BC10" s="50"/>
      <c r="BD10" s="18"/>
      <c r="BE10" s="18"/>
      <c r="BF10" s="50"/>
      <c r="BG10" s="18"/>
      <c r="BH10" s="18"/>
      <c r="BI10" s="50"/>
      <c r="BJ10" s="18"/>
      <c r="BK10" s="50"/>
      <c r="BL10" s="18"/>
      <c r="BM10" s="18"/>
      <c r="BN10" s="50"/>
      <c r="BO10" s="18"/>
      <c r="BP10" s="18"/>
      <c r="BQ10" s="22"/>
      <c r="BR10" s="50"/>
      <c r="BS10" s="18"/>
      <c r="BT10" s="22"/>
      <c r="BU10" s="50"/>
      <c r="BV10" s="18"/>
      <c r="BW10" s="22"/>
      <c r="BX10" s="50"/>
      <c r="BY10" s="18"/>
      <c r="BZ10" s="22"/>
      <c r="CA10" s="50"/>
      <c r="CB10" s="18"/>
      <c r="CC10" s="22"/>
      <c r="CD10" s="50"/>
      <c r="CE10" s="18"/>
      <c r="CF10" s="22"/>
      <c r="CG10" s="50"/>
      <c r="CH10" s="18"/>
      <c r="CI10" s="22"/>
      <c r="CJ10" s="50"/>
      <c r="CK10" s="18"/>
    </row>
    <row r="11" spans="1:89" ht="14.25" hidden="1" x14ac:dyDescent="0.45">
      <c r="A11" s="40" t="s">
        <v>60</v>
      </c>
      <c r="B11" s="40"/>
      <c r="C11" s="41"/>
      <c r="D11" s="41"/>
      <c r="E11" s="42"/>
      <c r="F11" s="18"/>
      <c r="G11" s="41"/>
      <c r="H11" s="22"/>
      <c r="I11" s="22"/>
      <c r="J11" s="22"/>
      <c r="K11" s="3"/>
      <c r="L11" s="18"/>
      <c r="M11" s="18"/>
      <c r="N11" s="43"/>
      <c r="O11" s="44"/>
      <c r="P11" s="45"/>
      <c r="Q11" s="44"/>
      <c r="R11" s="45"/>
      <c r="S11" s="45"/>
      <c r="T11" s="46"/>
      <c r="U11" s="22"/>
      <c r="V11" s="22"/>
      <c r="W11" s="22"/>
      <c r="X11" s="22"/>
      <c r="Y11" s="49">
        <v>0</v>
      </c>
      <c r="Z11" s="18"/>
      <c r="AA11" s="22"/>
      <c r="AB11" s="22"/>
      <c r="AC11" s="49">
        <v>0</v>
      </c>
      <c r="AD11" s="18"/>
      <c r="AE11" s="49"/>
      <c r="AF11" s="18"/>
      <c r="AG11" s="18"/>
      <c r="AH11" s="49">
        <v>0</v>
      </c>
      <c r="AI11" s="18"/>
      <c r="AJ11" s="52"/>
      <c r="AK11" s="49">
        <v>0</v>
      </c>
      <c r="AL11" s="18"/>
      <c r="AM11" s="52"/>
      <c r="AN11" s="50">
        <v>1</v>
      </c>
      <c r="AO11" s="18"/>
      <c r="AP11" s="52"/>
      <c r="AQ11" s="50">
        <v>1</v>
      </c>
      <c r="AR11" s="18"/>
      <c r="AS11" s="52"/>
      <c r="AT11" s="50">
        <v>1</v>
      </c>
      <c r="AU11" s="18"/>
      <c r="AV11" s="22"/>
      <c r="AW11" s="50">
        <v>1</v>
      </c>
      <c r="AX11" s="18"/>
      <c r="AY11" s="18"/>
      <c r="AZ11" s="50">
        <v>1</v>
      </c>
      <c r="BA11" s="18"/>
      <c r="BB11" s="18"/>
      <c r="BC11" s="50">
        <v>1</v>
      </c>
      <c r="BD11" s="18"/>
      <c r="BE11" s="18"/>
      <c r="BF11" s="50">
        <v>1</v>
      </c>
      <c r="BG11" s="18"/>
      <c r="BH11" s="18"/>
      <c r="BI11" s="50">
        <v>1</v>
      </c>
      <c r="BJ11" s="18"/>
      <c r="BK11" s="50">
        <v>1</v>
      </c>
      <c r="BL11" s="18"/>
      <c r="BM11" s="18"/>
      <c r="BN11" s="50">
        <v>1</v>
      </c>
      <c r="BO11" s="18"/>
      <c r="BP11" s="18"/>
      <c r="BQ11" s="22"/>
      <c r="BR11" s="50">
        <v>1</v>
      </c>
      <c r="BS11" s="18"/>
      <c r="BT11" s="22"/>
      <c r="BU11" s="50">
        <v>1</v>
      </c>
      <c r="BV11" s="18"/>
      <c r="BW11" s="22"/>
      <c r="BX11" s="50">
        <v>1</v>
      </c>
      <c r="BY11" s="18"/>
      <c r="BZ11" s="22"/>
      <c r="CA11" s="50">
        <v>1</v>
      </c>
      <c r="CB11" s="18"/>
      <c r="CC11" s="22"/>
      <c r="CD11" s="50">
        <v>1</v>
      </c>
      <c r="CE11" s="18"/>
      <c r="CF11" s="22"/>
      <c r="CG11" s="50">
        <v>1</v>
      </c>
      <c r="CH11" s="18"/>
      <c r="CI11" s="22"/>
      <c r="CJ11" s="50">
        <v>1</v>
      </c>
      <c r="CK11" s="18"/>
    </row>
    <row r="12" spans="1:89" ht="14.25" hidden="1" x14ac:dyDescent="0.45">
      <c r="A12" s="40" t="s">
        <v>61</v>
      </c>
      <c r="B12" s="40"/>
      <c r="C12" s="41"/>
      <c r="D12" s="41"/>
      <c r="E12" s="42"/>
      <c r="F12" s="18"/>
      <c r="G12" s="41"/>
      <c r="H12" s="22"/>
      <c r="I12" s="22"/>
      <c r="J12" s="22"/>
      <c r="K12" s="3"/>
      <c r="L12" s="18"/>
      <c r="M12" s="18"/>
      <c r="N12" s="43"/>
      <c r="O12" s="44"/>
      <c r="P12" s="45"/>
      <c r="Q12" s="44"/>
      <c r="R12" s="45"/>
      <c r="S12" s="45"/>
      <c r="T12" s="46"/>
      <c r="U12" s="22"/>
      <c r="V12" s="22"/>
      <c r="W12" s="22"/>
      <c r="X12" s="22"/>
      <c r="Y12" s="56">
        <v>0</v>
      </c>
      <c r="Z12" s="18"/>
      <c r="AA12" s="22"/>
      <c r="AB12" s="22"/>
      <c r="AC12" s="56">
        <v>0</v>
      </c>
      <c r="AD12" s="18"/>
      <c r="AE12" s="56"/>
      <c r="AF12" s="18"/>
      <c r="AG12" s="18"/>
      <c r="AH12" s="56">
        <v>0</v>
      </c>
      <c r="AI12" s="18"/>
      <c r="AJ12" s="52"/>
      <c r="AK12" s="56">
        <v>0</v>
      </c>
      <c r="AL12" s="18"/>
      <c r="AM12" s="52"/>
      <c r="AN12" s="57">
        <v>0.25</v>
      </c>
      <c r="AO12" s="18"/>
      <c r="AP12" s="52"/>
      <c r="AQ12" s="57">
        <v>0.25</v>
      </c>
      <c r="AR12" s="18"/>
      <c r="AS12" s="52"/>
      <c r="AT12" s="57">
        <v>0.25</v>
      </c>
      <c r="AU12" s="18"/>
      <c r="AV12" s="22"/>
      <c r="AW12" s="57">
        <v>0.25</v>
      </c>
      <c r="AX12" s="18"/>
      <c r="AY12" s="18"/>
      <c r="AZ12" s="57">
        <v>0.25</v>
      </c>
      <c r="BA12" s="18"/>
      <c r="BB12" s="18"/>
      <c r="BC12" s="57">
        <v>0.25</v>
      </c>
      <c r="BD12" s="18"/>
      <c r="BE12" s="18"/>
      <c r="BF12" s="57">
        <v>0.25</v>
      </c>
      <c r="BG12" s="18"/>
      <c r="BH12" s="18"/>
      <c r="BI12" s="57">
        <v>0.25</v>
      </c>
      <c r="BJ12" s="18"/>
      <c r="BK12" s="57">
        <v>0</v>
      </c>
      <c r="BL12" s="18"/>
      <c r="BM12" s="18"/>
      <c r="BN12" s="57">
        <v>0.5</v>
      </c>
      <c r="BO12" s="18"/>
      <c r="BP12" s="18"/>
      <c r="BQ12" s="22"/>
      <c r="BR12" s="57">
        <v>0.25</v>
      </c>
      <c r="BS12" s="18"/>
      <c r="BT12" s="22"/>
      <c r="BU12" s="57">
        <v>0.25</v>
      </c>
      <c r="BV12" s="18"/>
      <c r="BW12" s="22"/>
      <c r="BX12" s="57">
        <v>0.25</v>
      </c>
      <c r="BY12" s="18"/>
      <c r="BZ12" s="22"/>
      <c r="CA12" s="57">
        <v>0.25</v>
      </c>
      <c r="CB12" s="18"/>
      <c r="CC12" s="22"/>
      <c r="CD12" s="57">
        <v>0.25</v>
      </c>
      <c r="CE12" s="18"/>
      <c r="CF12" s="22"/>
      <c r="CG12" s="57">
        <v>0</v>
      </c>
      <c r="CH12" s="18"/>
      <c r="CI12" s="22"/>
      <c r="CJ12" s="57">
        <v>0.5</v>
      </c>
      <c r="CK12" s="18"/>
    </row>
    <row r="13" spans="1:89" ht="15.75" x14ac:dyDescent="0.5">
      <c r="A13" s="58" t="s">
        <v>62</v>
      </c>
      <c r="B13" s="59" t="s">
        <v>63</v>
      </c>
      <c r="C13" s="60" t="s">
        <v>64</v>
      </c>
      <c r="D13" s="61"/>
      <c r="E13" s="62">
        <f>'Avg master'!H2</f>
        <v>535</v>
      </c>
      <c r="F13" s="66">
        <f t="shared" ref="F13:F66" si="0">+(E13/$E$69)</f>
        <v>1.9789576996250458E-3</v>
      </c>
      <c r="G13" s="61"/>
      <c r="H13" s="64">
        <v>302</v>
      </c>
      <c r="I13" s="64">
        <v>256</v>
      </c>
      <c r="J13" s="64">
        <v>201</v>
      </c>
      <c r="K13" s="65">
        <f t="shared" ref="K13:K66" si="1">AVERAGE(H13:J13)</f>
        <v>253</v>
      </c>
      <c r="L13" s="66">
        <f t="shared" ref="L13:L66" si="2">+(K13/$K$69)</f>
        <v>2.1727741946565215E-3</v>
      </c>
      <c r="M13" s="18"/>
      <c r="N13" s="67">
        <v>1227.1218120000001</v>
      </c>
      <c r="O13" s="22"/>
      <c r="P13" s="68">
        <v>1306.88472978</v>
      </c>
      <c r="Q13" s="22"/>
      <c r="R13" s="68">
        <v>1333.0224243756002</v>
      </c>
      <c r="S13" s="69">
        <f t="shared" ref="S13:S66" si="3">SUM(R13/$E13)</f>
        <v>2.4916306997674771</v>
      </c>
      <c r="T13" s="46"/>
      <c r="U13" s="68">
        <f t="shared" ref="U13:U66" si="4">SUM(R13*(1+$U$3))</f>
        <v>1373.0130971068681</v>
      </c>
      <c r="V13" s="68">
        <f t="shared" ref="V13:V66" si="5">SUM(U13-R13)</f>
        <v>39.990672731267978</v>
      </c>
      <c r="W13" s="71">
        <f t="shared" ref="W13:W66" si="6">SUM(U13-R13)/R13</f>
        <v>2.9999999999999978E-2</v>
      </c>
      <c r="X13" s="22"/>
      <c r="Y13" s="74">
        <f>'Options 1-3'!AQ4</f>
        <v>438.56336616389217</v>
      </c>
      <c r="Z13" s="75">
        <f t="shared" ref="Z13:Z66" si="7">SUM(Y13-$U13)</f>
        <v>-934.44973094297598</v>
      </c>
      <c r="AA13" s="69">
        <f t="shared" ref="AA13:AA66" si="8">SUM(Y13/$E13)</f>
        <v>0.81974460965213491</v>
      </c>
      <c r="AB13" s="22"/>
      <c r="AC13" s="76">
        <v>476.65512050199152</v>
      </c>
      <c r="AD13" s="75">
        <f t="shared" ref="AD13:AD66" si="9">SUM(AC13-$U13)</f>
        <v>-896.35797660487663</v>
      </c>
      <c r="AE13" s="69">
        <f t="shared" ref="AE13:AE66" si="10">SUM(AC13/$E13)</f>
        <v>0.89094415047101216</v>
      </c>
      <c r="AF13" s="69">
        <f t="shared" ref="AF13:AF66" si="11">SUM(AC13/$K13)</f>
        <v>1.8840123339999664</v>
      </c>
      <c r="AG13" s="77"/>
      <c r="AH13" s="76">
        <f>SUM('Options 1-3'!T4*Summary!$AH$3)</f>
        <v>733.16500000000008</v>
      </c>
      <c r="AI13" s="75">
        <f t="shared" ref="AI13:AI66" si="12">SUM(AH13-$U13)</f>
        <v>-639.84809710686807</v>
      </c>
      <c r="AJ13" s="22"/>
      <c r="AK13" s="74">
        <f>'Op4'!AQ4</f>
        <v>1024.8808567641315</v>
      </c>
      <c r="AL13" s="75">
        <f t="shared" ref="AL13:AL66" si="13">SUM(AK13-$U13)</f>
        <v>-348.13224034273662</v>
      </c>
      <c r="AM13" s="22"/>
      <c r="AN13" s="74">
        <f>'Op5'!AQ4</f>
        <v>834.97477306753774</v>
      </c>
      <c r="AO13" s="75">
        <f t="shared" ref="AO13:AO66" si="14">SUM(AN13-$U13)</f>
        <v>-538.0383240393304</v>
      </c>
      <c r="AP13" s="22"/>
      <c r="AQ13" s="74">
        <f>'Op6'!AQ4</f>
        <v>1021.3255182451923</v>
      </c>
      <c r="AR13" s="75">
        <f t="shared" ref="AR13:AR66" si="15">SUM(AQ13-$U13)</f>
        <v>-351.68757886167589</v>
      </c>
      <c r="AS13" s="22"/>
      <c r="AT13" s="74">
        <f>'Op7'!AQ4</f>
        <v>834.97477306753774</v>
      </c>
      <c r="AU13" s="75">
        <f t="shared" ref="AU13:AU66" si="16">SUM(AT13-$U13)</f>
        <v>-538.0383240393304</v>
      </c>
      <c r="AV13" s="22"/>
      <c r="AW13" s="74">
        <f>'Op8'!$AQ4</f>
        <v>960.03755965845301</v>
      </c>
      <c r="AX13" s="75">
        <f t="shared" ref="AX13:AX66" si="17">SUM(AW13-$U13)</f>
        <v>-412.97553744841514</v>
      </c>
      <c r="AY13" s="75"/>
      <c r="AZ13" s="74">
        <v>1101.9297590515546</v>
      </c>
      <c r="BA13" s="75">
        <v>-231.09266532404558</v>
      </c>
      <c r="BB13" s="75"/>
      <c r="BC13" s="75">
        <v>830.08554409956457</v>
      </c>
      <c r="BD13" s="75">
        <v>-502.93688027603559</v>
      </c>
      <c r="BE13" s="75"/>
      <c r="BF13" s="74">
        <v>1159.6739276339179</v>
      </c>
      <c r="BG13" s="75">
        <v>-173.34849674168231</v>
      </c>
      <c r="BH13" s="75"/>
      <c r="BI13" s="74">
        <v>1135.7935599654918</v>
      </c>
      <c r="BJ13" s="75">
        <v>-197.22886441010837</v>
      </c>
      <c r="BK13" s="74">
        <v>1953.6853105683838</v>
      </c>
      <c r="BL13" s="75">
        <v>620.66288619278362</v>
      </c>
      <c r="BM13" s="75"/>
      <c r="BN13" s="74">
        <v>1856.225641635747</v>
      </c>
      <c r="BO13" s="75">
        <v>523.20321726014686</v>
      </c>
      <c r="BP13" s="75"/>
      <c r="BQ13" s="22"/>
      <c r="BR13" s="74">
        <f>'Op9'!AQ4</f>
        <v>898.32375483076987</v>
      </c>
      <c r="BS13" s="75">
        <f t="shared" ref="BS13:BS66" si="18">SUM(BR13-$U13)</f>
        <v>-474.68934227609827</v>
      </c>
      <c r="BT13" s="22"/>
      <c r="BU13" s="74">
        <v>1090.3663480057187</v>
      </c>
      <c r="BV13" s="75">
        <v>-242.65607636988148</v>
      </c>
      <c r="BW13" s="22"/>
      <c r="BX13" s="74">
        <v>816.59489787942266</v>
      </c>
      <c r="BY13" s="75">
        <v>-516.42752649617751</v>
      </c>
      <c r="BZ13" s="22"/>
      <c r="CA13" s="74">
        <v>1146.1832814137761</v>
      </c>
      <c r="CB13" s="75">
        <v>-186.83914296182411</v>
      </c>
      <c r="CC13" s="22"/>
      <c r="CD13" s="74">
        <v>1126.1573840939618</v>
      </c>
      <c r="CE13" s="75">
        <v>-206.86504028163836</v>
      </c>
      <c r="CF13" s="22"/>
      <c r="CG13" s="74">
        <v>1934.4554912038702</v>
      </c>
      <c r="CH13" s="75">
        <v>601.43306682827006</v>
      </c>
      <c r="CI13" s="22"/>
      <c r="CJ13" s="74">
        <v>1836.9107575141409</v>
      </c>
      <c r="CK13" s="75">
        <v>503.8883331385407</v>
      </c>
    </row>
    <row r="14" spans="1:89" ht="15.75" x14ac:dyDescent="0.5">
      <c r="A14" s="78" t="s">
        <v>65</v>
      </c>
      <c r="B14" s="59" t="s">
        <v>66</v>
      </c>
      <c r="C14" s="60" t="s">
        <v>64</v>
      </c>
      <c r="D14" s="61"/>
      <c r="E14" s="62">
        <f>'Avg master'!H3</f>
        <v>611.66666666666663</v>
      </c>
      <c r="F14" s="66">
        <f t="shared" si="0"/>
        <v>2.2625466534653949E-3</v>
      </c>
      <c r="G14" s="61"/>
      <c r="H14" s="64">
        <v>414</v>
      </c>
      <c r="I14" s="64">
        <v>335</v>
      </c>
      <c r="J14" s="64">
        <v>161</v>
      </c>
      <c r="K14" s="65">
        <f t="shared" si="1"/>
        <v>303.33333333333331</v>
      </c>
      <c r="L14" s="66">
        <f t="shared" si="2"/>
        <v>2.6050388895091361E-3</v>
      </c>
      <c r="M14" s="18"/>
      <c r="N14" s="67"/>
      <c r="O14" s="22"/>
      <c r="P14" s="79">
        <v>1306.7549999999999</v>
      </c>
      <c r="Q14" s="22"/>
      <c r="R14" s="79">
        <v>1332.8900999999998</v>
      </c>
      <c r="S14" s="69">
        <f t="shared" si="3"/>
        <v>2.1791118801089917</v>
      </c>
      <c r="T14" s="46"/>
      <c r="U14" s="68">
        <f t="shared" si="4"/>
        <v>1372.8768029999999</v>
      </c>
      <c r="V14" s="68">
        <f t="shared" si="5"/>
        <v>39.986703000000034</v>
      </c>
      <c r="W14" s="71">
        <f t="shared" si="6"/>
        <v>3.000000000000003E-2</v>
      </c>
      <c r="X14" s="22"/>
      <c r="Y14" s="74">
        <f>'Options 1-3'!AQ5</f>
        <v>501.41045290388911</v>
      </c>
      <c r="Z14" s="75">
        <f t="shared" si="7"/>
        <v>-871.46635009611077</v>
      </c>
      <c r="AA14" s="69">
        <f t="shared" si="8"/>
        <v>0.8197446096521348</v>
      </c>
      <c r="AB14" s="22"/>
      <c r="AC14" s="76">
        <v>571.48374131332309</v>
      </c>
      <c r="AD14" s="75">
        <f t="shared" si="9"/>
        <v>-801.39306168667679</v>
      </c>
      <c r="AE14" s="69">
        <f t="shared" si="10"/>
        <v>0.9343058441089751</v>
      </c>
      <c r="AF14" s="69">
        <f t="shared" si="11"/>
        <v>1.8840123339999664</v>
      </c>
      <c r="AG14" s="77"/>
      <c r="AH14" s="76">
        <f>SUM('Options 1-3'!T5*Summary!$AH$3)</f>
        <v>1715.0765000000001</v>
      </c>
      <c r="AI14" s="75">
        <f t="shared" si="12"/>
        <v>342.19969700000024</v>
      </c>
      <c r="AJ14" s="22"/>
      <c r="AK14" s="74">
        <f>'Op4'!AQ5</f>
        <v>1106.3071251131951</v>
      </c>
      <c r="AL14" s="75">
        <f t="shared" si="13"/>
        <v>-266.56967788680481</v>
      </c>
      <c r="AM14" s="22"/>
      <c r="AN14" s="74">
        <f>'Op5'!AQ5</f>
        <v>873.31651183354552</v>
      </c>
      <c r="AO14" s="75">
        <f t="shared" si="14"/>
        <v>-499.56029116645436</v>
      </c>
      <c r="AP14" s="22"/>
      <c r="AQ14" s="74">
        <f>'Op6'!AQ5</f>
        <v>1703.1252777338659</v>
      </c>
      <c r="AR14" s="75">
        <f t="shared" si="15"/>
        <v>330.24847473386603</v>
      </c>
      <c r="AS14" s="22"/>
      <c r="AT14" s="74">
        <f>'Op7'!AQ5</f>
        <v>873.31651183354552</v>
      </c>
      <c r="AU14" s="75">
        <f t="shared" si="16"/>
        <v>-499.56029116645436</v>
      </c>
      <c r="AV14" s="22"/>
      <c r="AW14" s="74">
        <f>'Op8'!AQ5</f>
        <v>1198.9512911875577</v>
      </c>
      <c r="AX14" s="75">
        <f t="shared" si="17"/>
        <v>-173.92551181244221</v>
      </c>
      <c r="AY14" s="75"/>
      <c r="AZ14" s="74">
        <v>1298.9507806356744</v>
      </c>
      <c r="BA14" s="75">
        <v>-33.939319364325456</v>
      </c>
      <c r="BB14" s="75"/>
      <c r="BC14" s="75">
        <v>1102.0236081032872</v>
      </c>
      <c r="BD14" s="75">
        <v>-230.86649189671266</v>
      </c>
      <c r="BE14" s="75"/>
      <c r="BF14" s="74">
        <v>1405.7907604213678</v>
      </c>
      <c r="BG14" s="75">
        <v>72.900660421368002</v>
      </c>
      <c r="BH14" s="75"/>
      <c r="BI14" s="74">
        <v>1399.6471476936761</v>
      </c>
      <c r="BJ14" s="75">
        <v>66.757047693676213</v>
      </c>
      <c r="BK14" s="74">
        <v>2019.1442525934069</v>
      </c>
      <c r="BL14" s="75">
        <v>686.25415259340707</v>
      </c>
      <c r="BM14" s="75"/>
      <c r="BN14" s="74">
        <v>1810.8630009135707</v>
      </c>
      <c r="BO14" s="75">
        <v>477.97290091357081</v>
      </c>
      <c r="BP14" s="75"/>
      <c r="BQ14" s="22"/>
      <c r="BR14" s="74">
        <f>'Op9'!AQ5</f>
        <v>1073.9714999230557</v>
      </c>
      <c r="BS14" s="75">
        <f t="shared" si="18"/>
        <v>-298.90530307694416</v>
      </c>
      <c r="BT14" s="22"/>
      <c r="BU14" s="74">
        <v>1300.1052426153178</v>
      </c>
      <c r="BV14" s="75">
        <v>-32.784857384682027</v>
      </c>
      <c r="BW14" s="22"/>
      <c r="BX14" s="74">
        <v>1103.3704804128713</v>
      </c>
      <c r="BY14" s="75">
        <v>-229.51961958712855</v>
      </c>
      <c r="BZ14" s="22"/>
      <c r="CA14" s="74">
        <v>1407.1376327309517</v>
      </c>
      <c r="CB14" s="75">
        <v>74.247532730951889</v>
      </c>
      <c r="CC14" s="22"/>
      <c r="CD14" s="74">
        <v>1400.6091993433788</v>
      </c>
      <c r="CE14" s="75">
        <v>67.719099343378957</v>
      </c>
      <c r="CF14" s="22"/>
      <c r="CG14" s="74">
        <v>2021.0641095667295</v>
      </c>
      <c r="CH14" s="75">
        <v>688.17400956672964</v>
      </c>
      <c r="CI14" s="22"/>
      <c r="CJ14" s="74">
        <v>1812.7913505390597</v>
      </c>
      <c r="CK14" s="75">
        <v>479.9012505390599</v>
      </c>
    </row>
    <row r="15" spans="1:89" ht="15.75" x14ac:dyDescent="0.5">
      <c r="A15" s="80" t="s">
        <v>67</v>
      </c>
      <c r="B15" s="59" t="s">
        <v>68</v>
      </c>
      <c r="C15" s="81" t="s">
        <v>69</v>
      </c>
      <c r="D15" s="82"/>
      <c r="E15" s="62">
        <f>'Avg master'!H4</f>
        <v>1671.6666666666667</v>
      </c>
      <c r="F15" s="66">
        <f t="shared" si="0"/>
        <v>6.1834721891710935E-3</v>
      </c>
      <c r="G15" s="82"/>
      <c r="H15" s="64">
        <v>756</v>
      </c>
      <c r="I15" s="64">
        <v>597</v>
      </c>
      <c r="J15" s="64">
        <v>491</v>
      </c>
      <c r="K15" s="65">
        <f t="shared" si="1"/>
        <v>614.66666666666663</v>
      </c>
      <c r="L15" s="66">
        <f t="shared" si="2"/>
        <v>5.2787821013789531E-3</v>
      </c>
      <c r="M15" s="18"/>
      <c r="N15" s="67">
        <v>1472.5461744000004</v>
      </c>
      <c r="O15" s="22"/>
      <c r="P15" s="68">
        <v>1568.2616757360004</v>
      </c>
      <c r="Q15" s="22"/>
      <c r="R15" s="68">
        <v>1599.6269092507205</v>
      </c>
      <c r="S15" s="69">
        <f t="shared" si="3"/>
        <v>0.95690542926264432</v>
      </c>
      <c r="T15" s="46"/>
      <c r="U15" s="68">
        <f t="shared" si="4"/>
        <v>1647.615716528242</v>
      </c>
      <c r="V15" s="68">
        <f t="shared" si="5"/>
        <v>47.988807277521573</v>
      </c>
      <c r="W15" s="71">
        <f t="shared" si="6"/>
        <v>2.9999999999999975E-2</v>
      </c>
      <c r="X15" s="22"/>
      <c r="Y15" s="74">
        <f>'Options 1-3'!AQ6</f>
        <v>1370.3397391351521</v>
      </c>
      <c r="Z15" s="75">
        <f t="shared" si="7"/>
        <v>-277.27597739308999</v>
      </c>
      <c r="AA15" s="69">
        <f t="shared" si="8"/>
        <v>0.8197446096521348</v>
      </c>
      <c r="AB15" s="22"/>
      <c r="AC15" s="76">
        <v>1158.039581298646</v>
      </c>
      <c r="AD15" s="75">
        <f t="shared" si="9"/>
        <v>-489.57613522959605</v>
      </c>
      <c r="AE15" s="69">
        <f t="shared" si="10"/>
        <v>0.69274551224246017</v>
      </c>
      <c r="AF15" s="69">
        <f t="shared" si="11"/>
        <v>1.8840123339999666</v>
      </c>
      <c r="AG15" s="77"/>
      <c r="AH15" s="76">
        <f>SUM('Options 1-3'!T6*Summary!$AH$3)</f>
        <v>2319.9790000000003</v>
      </c>
      <c r="AI15" s="75">
        <f t="shared" si="12"/>
        <v>672.36328347175822</v>
      </c>
      <c r="AJ15" s="22"/>
      <c r="AK15" s="74">
        <f>'Op4'!AQ6</f>
        <v>1609.9636458948212</v>
      </c>
      <c r="AL15" s="75">
        <f t="shared" si="13"/>
        <v>-37.652070633420863</v>
      </c>
      <c r="AM15" s="22"/>
      <c r="AN15" s="74">
        <f>'Op5'!AQ6</f>
        <v>1870.7468457475995</v>
      </c>
      <c r="AO15" s="75">
        <f t="shared" si="14"/>
        <v>223.13112921935749</v>
      </c>
      <c r="AP15" s="22"/>
      <c r="AQ15" s="74">
        <f>'Op6'!AQ6</f>
        <v>2714.2380104849544</v>
      </c>
      <c r="AR15" s="75">
        <f t="shared" si="15"/>
        <v>1066.6222939567124</v>
      </c>
      <c r="AS15" s="22"/>
      <c r="AT15" s="74">
        <f>'Op7'!AQ6</f>
        <v>1870.7468457475995</v>
      </c>
      <c r="AU15" s="75">
        <f t="shared" si="16"/>
        <v>223.13112921935749</v>
      </c>
      <c r="AV15" s="22"/>
      <c r="AW15" s="74">
        <f>'Op8'!AQ6</f>
        <v>2206.3053258023829</v>
      </c>
      <c r="AX15" s="75">
        <f t="shared" si="17"/>
        <v>558.68960927414082</v>
      </c>
      <c r="AY15" s="75"/>
      <c r="AZ15" s="74">
        <v>2280.4969853416978</v>
      </c>
      <c r="BA15" s="75">
        <v>680.87007609097736</v>
      </c>
      <c r="BB15" s="75"/>
      <c r="BC15" s="75">
        <v>2129.9018986299739</v>
      </c>
      <c r="BD15" s="75">
        <v>530.27498937925338</v>
      </c>
      <c r="BE15" s="75"/>
      <c r="BF15" s="74">
        <v>2373.095937117399</v>
      </c>
      <c r="BG15" s="75">
        <v>773.46902786667852</v>
      </c>
      <c r="BH15" s="75"/>
      <c r="BI15" s="74">
        <v>2377.5194723835866</v>
      </c>
      <c r="BJ15" s="75">
        <v>777.89256313286614</v>
      </c>
      <c r="BK15" s="74">
        <v>2675.382763999261</v>
      </c>
      <c r="BL15" s="75">
        <v>1075.7558547485405</v>
      </c>
      <c r="BM15" s="75"/>
      <c r="BN15" s="74">
        <v>2799.4550998301238</v>
      </c>
      <c r="BO15" s="75">
        <v>1199.8281905794033</v>
      </c>
      <c r="BP15" s="75"/>
      <c r="BQ15" s="22"/>
      <c r="BR15" s="74">
        <f>'Op9'!AQ6</f>
        <v>2318.0415829288759</v>
      </c>
      <c r="BS15" s="75">
        <f t="shared" si="18"/>
        <v>670.42586640063382</v>
      </c>
      <c r="BT15" s="22"/>
      <c r="BU15" s="74">
        <v>2330.895383977394</v>
      </c>
      <c r="BV15" s="75">
        <v>731.2684747266735</v>
      </c>
      <c r="BW15" s="22"/>
      <c r="BX15" s="74">
        <v>2188.7000303716195</v>
      </c>
      <c r="BY15" s="75">
        <v>589.07312112089903</v>
      </c>
      <c r="BZ15" s="22"/>
      <c r="CA15" s="74">
        <v>2431.8940688590451</v>
      </c>
      <c r="CB15" s="75">
        <v>832.26715960832462</v>
      </c>
      <c r="CC15" s="22"/>
      <c r="CD15" s="74">
        <v>2419.5181379133337</v>
      </c>
      <c r="CE15" s="75">
        <v>819.89122866261323</v>
      </c>
      <c r="CF15" s="22"/>
      <c r="CG15" s="74">
        <v>2759.1947203660793</v>
      </c>
      <c r="CH15" s="75">
        <v>1159.5678111153588</v>
      </c>
      <c r="CI15" s="22"/>
      <c r="CJ15" s="74">
        <v>2883.6378055822934</v>
      </c>
      <c r="CK15" s="75">
        <v>1284.0108963315729</v>
      </c>
    </row>
    <row r="16" spans="1:89" ht="15.75" x14ac:dyDescent="0.5">
      <c r="A16" s="83" t="s">
        <v>70</v>
      </c>
      <c r="B16" s="59" t="s">
        <v>71</v>
      </c>
      <c r="C16" s="84" t="s">
        <v>72</v>
      </c>
      <c r="D16" s="85"/>
      <c r="E16" s="62">
        <f>'Avg master'!H5</f>
        <v>16778.333333333332</v>
      </c>
      <c r="F16" s="66">
        <f t="shared" si="0"/>
        <v>6.2062826050234686E-2</v>
      </c>
      <c r="G16" s="85"/>
      <c r="H16" s="64">
        <v>10989</v>
      </c>
      <c r="I16" s="64">
        <v>9198</v>
      </c>
      <c r="J16" s="64">
        <v>6885</v>
      </c>
      <c r="K16" s="65">
        <f t="shared" si="1"/>
        <v>9024</v>
      </c>
      <c r="L16" s="66">
        <f t="shared" si="2"/>
        <v>7.7498475622847618E-2</v>
      </c>
      <c r="M16" s="18"/>
      <c r="N16" s="67">
        <v>12271.218120000003</v>
      </c>
      <c r="O16" s="22"/>
      <c r="P16" s="68">
        <v>13068.847297800003</v>
      </c>
      <c r="Q16" s="22"/>
      <c r="R16" s="68">
        <v>13330.224243756003</v>
      </c>
      <c r="S16" s="69">
        <f t="shared" si="3"/>
        <v>0.79449036915204163</v>
      </c>
      <c r="T16" s="46"/>
      <c r="U16" s="68">
        <f t="shared" si="4"/>
        <v>13730.130971068684</v>
      </c>
      <c r="V16" s="68">
        <f t="shared" si="5"/>
        <v>399.90672731268023</v>
      </c>
      <c r="W16" s="71">
        <f t="shared" si="6"/>
        <v>3.0000000000000009E-2</v>
      </c>
      <c r="X16" s="22"/>
      <c r="Y16" s="74">
        <f>'Options 1-3'!AQ7</f>
        <v>13753.948308946736</v>
      </c>
      <c r="Z16" s="75">
        <f t="shared" si="7"/>
        <v>23.817337878052058</v>
      </c>
      <c r="AA16" s="69">
        <f t="shared" si="8"/>
        <v>0.81974460965213491</v>
      </c>
      <c r="AB16" s="22"/>
      <c r="AC16" s="76">
        <v>17001.327302015696</v>
      </c>
      <c r="AD16" s="75">
        <f t="shared" si="9"/>
        <v>3271.196330947012</v>
      </c>
      <c r="AE16" s="69">
        <f t="shared" si="10"/>
        <v>1.0132905911601686</v>
      </c>
      <c r="AF16" s="69">
        <f t="shared" si="11"/>
        <v>1.8840123339999664</v>
      </c>
      <c r="AG16" s="77"/>
      <c r="AH16" s="76">
        <f>SUM('Options 1-3'!T7*Summary!$AH$3)</f>
        <v>22683.264500000001</v>
      </c>
      <c r="AI16" s="75">
        <f t="shared" si="12"/>
        <v>8953.1335289313174</v>
      </c>
      <c r="AJ16" s="22"/>
      <c r="AK16" s="74">
        <f>'Op4'!AQ7</f>
        <v>15214.082175101314</v>
      </c>
      <c r="AL16" s="75">
        <f t="shared" si="13"/>
        <v>1483.9512040326299</v>
      </c>
      <c r="AM16" s="22"/>
      <c r="AN16" s="74">
        <f>'Op5'!AQ7</f>
        <v>15387.109488331083</v>
      </c>
      <c r="AO16" s="75">
        <f t="shared" si="14"/>
        <v>1656.9785172623997</v>
      </c>
      <c r="AP16" s="22"/>
      <c r="AQ16" s="74">
        <f>'Op6'!AQ7</f>
        <v>19519.08155874335</v>
      </c>
      <c r="AR16" s="75">
        <f t="shared" si="15"/>
        <v>5788.9505876746662</v>
      </c>
      <c r="AS16" s="22"/>
      <c r="AT16" s="74">
        <f>'Op7'!AQ7</f>
        <v>15387.109488331083</v>
      </c>
      <c r="AU16" s="75">
        <f t="shared" si="16"/>
        <v>1656.9785172623997</v>
      </c>
      <c r="AV16" s="22"/>
      <c r="AW16" s="74">
        <f>'Op8'!AQ7</f>
        <v>17746.530202085611</v>
      </c>
      <c r="AX16" s="75">
        <f t="shared" si="17"/>
        <v>4016.3992310169269</v>
      </c>
      <c r="AY16" s="75"/>
      <c r="AZ16" s="74">
        <v>16951.93357166354</v>
      </c>
      <c r="BA16" s="75">
        <v>3621.7093279075361</v>
      </c>
      <c r="BB16" s="75"/>
      <c r="BC16" s="75">
        <v>18218.025243382406</v>
      </c>
      <c r="BD16" s="75">
        <v>4887.8009996264027</v>
      </c>
      <c r="BE16" s="75"/>
      <c r="BF16" s="74">
        <v>16468.743165512697</v>
      </c>
      <c r="BG16" s="75">
        <v>3138.5189217566931</v>
      </c>
      <c r="BH16" s="75"/>
      <c r="BI16" s="74">
        <v>17114.94634376324</v>
      </c>
      <c r="BJ16" s="75">
        <v>3784.7221000072368</v>
      </c>
      <c r="BK16" s="74">
        <v>11842.764738860604</v>
      </c>
      <c r="BL16" s="75">
        <v>-1487.4595048953997</v>
      </c>
      <c r="BM16" s="75"/>
      <c r="BN16" s="74">
        <v>11210.145753192453</v>
      </c>
      <c r="BO16" s="75">
        <v>-2120.0784905635501</v>
      </c>
      <c r="BP16" s="75"/>
      <c r="BQ16" s="22"/>
      <c r="BR16" s="74">
        <f>'Op9'!AQ7</f>
        <v>16575.975929206037</v>
      </c>
      <c r="BS16" s="75">
        <f t="shared" si="18"/>
        <v>2845.8449581373534</v>
      </c>
      <c r="BT16" s="22"/>
      <c r="BU16" s="74">
        <v>16129.41969850283</v>
      </c>
      <c r="BV16" s="75">
        <v>2799.1954547468267</v>
      </c>
      <c r="BW16" s="22"/>
      <c r="BX16" s="74">
        <v>17258.425724694909</v>
      </c>
      <c r="BY16" s="75">
        <v>3928.2014809389057</v>
      </c>
      <c r="BZ16" s="22"/>
      <c r="CA16" s="74">
        <v>15509.143646825198</v>
      </c>
      <c r="CB16" s="75">
        <v>2178.9194030691942</v>
      </c>
      <c r="CC16" s="22"/>
      <c r="CD16" s="74">
        <v>16429.518116129311</v>
      </c>
      <c r="CE16" s="75">
        <v>3099.2938723733077</v>
      </c>
      <c r="CF16" s="22"/>
      <c r="CG16" s="74">
        <v>10474.933642742762</v>
      </c>
      <c r="CH16" s="75">
        <v>-2855.290601013241</v>
      </c>
      <c r="CI16" s="22"/>
      <c r="CJ16" s="74">
        <v>9836.2639387745858</v>
      </c>
      <c r="CK16" s="75">
        <v>-3493.9603049814177</v>
      </c>
    </row>
    <row r="17" spans="1:89" ht="15.75" x14ac:dyDescent="0.5">
      <c r="A17" s="86" t="s">
        <v>73</v>
      </c>
      <c r="B17" s="87" t="s">
        <v>74</v>
      </c>
      <c r="C17" s="84" t="s">
        <v>75</v>
      </c>
      <c r="D17" s="88"/>
      <c r="E17" s="62">
        <f>'Avg master'!H6</f>
        <v>2763</v>
      </c>
      <c r="F17" s="66">
        <f t="shared" si="0"/>
        <v>1.0220299297315891E-2</v>
      </c>
      <c r="G17" s="88"/>
      <c r="H17" s="64">
        <v>4438</v>
      </c>
      <c r="I17" s="64">
        <v>2541</v>
      </c>
      <c r="J17" s="64">
        <v>1310</v>
      </c>
      <c r="K17" s="65">
        <f t="shared" si="1"/>
        <v>2763</v>
      </c>
      <c r="L17" s="66">
        <f t="shared" si="2"/>
        <v>2.3728755335320033E-2</v>
      </c>
      <c r="M17" s="18"/>
      <c r="N17" s="67">
        <v>6135.6090600000016</v>
      </c>
      <c r="O17" s="22"/>
      <c r="P17" s="68">
        <v>6534.4236489000014</v>
      </c>
      <c r="Q17" s="22"/>
      <c r="R17" s="68">
        <v>6665.1121218780017</v>
      </c>
      <c r="S17" s="69">
        <f t="shared" si="3"/>
        <v>2.4122736597459289</v>
      </c>
      <c r="T17" s="46"/>
      <c r="U17" s="68">
        <f t="shared" si="4"/>
        <v>6865.0654855343419</v>
      </c>
      <c r="V17" s="68">
        <f t="shared" si="5"/>
        <v>199.95336365634012</v>
      </c>
      <c r="W17" s="71">
        <f t="shared" si="6"/>
        <v>3.0000000000000009E-2</v>
      </c>
      <c r="X17" s="22"/>
      <c r="Y17" s="74">
        <f>'Options 1-3'!AQ8</f>
        <v>2264.9543564688488</v>
      </c>
      <c r="Z17" s="75">
        <f t="shared" si="7"/>
        <v>-4600.1111290654935</v>
      </c>
      <c r="AA17" s="69">
        <f t="shared" si="8"/>
        <v>0.81974460965213491</v>
      </c>
      <c r="AB17" s="22"/>
      <c r="AC17" s="76">
        <v>5205.5260788419064</v>
      </c>
      <c r="AD17" s="75">
        <f t="shared" si="9"/>
        <v>-1659.5394066924355</v>
      </c>
      <c r="AE17" s="69">
        <f t="shared" si="10"/>
        <v>1.8840123339999661</v>
      </c>
      <c r="AF17" s="69">
        <f t="shared" si="11"/>
        <v>1.8840123339999661</v>
      </c>
      <c r="AG17" s="77"/>
      <c r="AH17" s="76">
        <f>SUM('Options 1-3'!T8*Summary!$AH$3)</f>
        <v>3709.6825000000003</v>
      </c>
      <c r="AI17" s="75">
        <f t="shared" si="12"/>
        <v>-3155.3829855343415</v>
      </c>
      <c r="AJ17" s="22"/>
      <c r="AK17" s="74">
        <f>'Op4'!AQ8</f>
        <v>5085.4093380121449</v>
      </c>
      <c r="AL17" s="75">
        <f t="shared" si="13"/>
        <v>-1779.656147522197</v>
      </c>
      <c r="AM17" s="22"/>
      <c r="AN17" s="74">
        <f>'Op5'!AQ8</f>
        <v>4226.6743353525462</v>
      </c>
      <c r="AO17" s="75">
        <f t="shared" si="14"/>
        <v>-2638.3911501817956</v>
      </c>
      <c r="AP17" s="22"/>
      <c r="AQ17" s="74">
        <f>'Op6'!AQ8</f>
        <v>3145.0793726592915</v>
      </c>
      <c r="AR17" s="75">
        <f t="shared" si="15"/>
        <v>-3719.9861128750504</v>
      </c>
      <c r="AS17" s="22"/>
      <c r="AT17" s="74">
        <f>'Op7'!AQ8</f>
        <v>4226.6743353525462</v>
      </c>
      <c r="AU17" s="75">
        <f t="shared" si="16"/>
        <v>-2638.3911501817956</v>
      </c>
      <c r="AV17" s="22"/>
      <c r="AW17" s="74">
        <f>'Op8'!AQ8</f>
        <v>2649.2583303654328</v>
      </c>
      <c r="AX17" s="75">
        <f t="shared" si="17"/>
        <v>-4215.807155168909</v>
      </c>
      <c r="AY17" s="75"/>
      <c r="AZ17" s="74">
        <v>2664.1590602893693</v>
      </c>
      <c r="BA17" s="75">
        <v>-4000.9530615886324</v>
      </c>
      <c r="BB17" s="75"/>
      <c r="BC17" s="75">
        <v>2846.724362010335</v>
      </c>
      <c r="BD17" s="75">
        <v>-3818.3877598676668</v>
      </c>
      <c r="BE17" s="75"/>
      <c r="BF17" s="74">
        <v>3174.0128787966801</v>
      </c>
      <c r="BG17" s="75">
        <v>-3491.0992430813217</v>
      </c>
      <c r="BH17" s="75"/>
      <c r="BI17" s="74">
        <v>2749.2793556590018</v>
      </c>
      <c r="BJ17" s="75">
        <v>-3915.832766219</v>
      </c>
      <c r="BK17" s="74">
        <v>3982.6480319812958</v>
      </c>
      <c r="BL17" s="75">
        <v>-2682.4640898967059</v>
      </c>
      <c r="BM17" s="75"/>
      <c r="BN17" s="74">
        <v>3788.585594264468</v>
      </c>
      <c r="BO17" s="75">
        <v>-2876.5265276135337</v>
      </c>
      <c r="BP17" s="75"/>
      <c r="BQ17" s="22"/>
      <c r="BR17" s="74">
        <f>'Op9'!AQ8</f>
        <v>1789.8959000959085</v>
      </c>
      <c r="BS17" s="75">
        <f t="shared" si="18"/>
        <v>-5075.1695854384334</v>
      </c>
      <c r="BT17" s="22"/>
      <c r="BU17" s="74">
        <v>1920.9959811944602</v>
      </c>
      <c r="BV17" s="75">
        <v>-4744.1161406835417</v>
      </c>
      <c r="BW17" s="22"/>
      <c r="BX17" s="74">
        <v>1979.7007697329409</v>
      </c>
      <c r="BY17" s="75">
        <v>-4685.4113521450608</v>
      </c>
      <c r="BZ17" s="22"/>
      <c r="CA17" s="74">
        <v>2306.9892865192865</v>
      </c>
      <c r="CB17" s="75">
        <v>-4358.1228353587157</v>
      </c>
      <c r="CC17" s="22"/>
      <c r="CD17" s="74">
        <v>2129.9767897465781</v>
      </c>
      <c r="CE17" s="75">
        <v>-4535.1353321314236</v>
      </c>
      <c r="CF17" s="22"/>
      <c r="CG17" s="74">
        <v>2746.7763923134266</v>
      </c>
      <c r="CH17" s="75">
        <v>-3918.3357295645751</v>
      </c>
      <c r="CI17" s="22"/>
      <c r="CJ17" s="74">
        <v>2547.2469702826406</v>
      </c>
      <c r="CK17" s="75">
        <v>-4117.8651515953607</v>
      </c>
    </row>
    <row r="18" spans="1:89" ht="15.75" x14ac:dyDescent="0.5">
      <c r="A18" s="86" t="s">
        <v>76</v>
      </c>
      <c r="B18" s="89" t="s">
        <v>77</v>
      </c>
      <c r="C18" s="84" t="s">
        <v>78</v>
      </c>
      <c r="D18" s="88"/>
      <c r="E18" s="62">
        <f>'Avg master'!H7</f>
        <v>7252</v>
      </c>
      <c r="F18" s="66">
        <f t="shared" si="0"/>
        <v>2.6825049042394078E-2</v>
      </c>
      <c r="G18" s="88"/>
      <c r="H18" s="64">
        <v>7736</v>
      </c>
      <c r="I18" s="64">
        <v>7202</v>
      </c>
      <c r="J18" s="64">
        <v>6818</v>
      </c>
      <c r="K18" s="65">
        <f t="shared" si="1"/>
        <v>7252</v>
      </c>
      <c r="L18" s="66">
        <f t="shared" si="2"/>
        <v>6.2280468219956885E-2</v>
      </c>
      <c r="M18" s="18"/>
      <c r="N18" s="67">
        <v>4908.4872480000004</v>
      </c>
      <c r="O18" s="22"/>
      <c r="P18" s="68">
        <v>5227.5389191200002</v>
      </c>
      <c r="Q18" s="22"/>
      <c r="R18" s="68">
        <v>5332.0896975024007</v>
      </c>
      <c r="S18" s="69">
        <f t="shared" si="3"/>
        <v>0.73525781818841707</v>
      </c>
      <c r="T18" s="46"/>
      <c r="U18" s="68">
        <f t="shared" si="4"/>
        <v>5492.0523884274726</v>
      </c>
      <c r="V18" s="68">
        <f t="shared" si="5"/>
        <v>159.96269092507191</v>
      </c>
      <c r="W18" s="71">
        <f t="shared" si="6"/>
        <v>2.9999999999999978E-2</v>
      </c>
      <c r="X18" s="22"/>
      <c r="Y18" s="74">
        <f>'Options 1-3'!AQ9</f>
        <v>5944.7879091972818</v>
      </c>
      <c r="Z18" s="75">
        <f t="shared" si="7"/>
        <v>452.73552076980923</v>
      </c>
      <c r="AA18" s="69">
        <f t="shared" si="8"/>
        <v>0.8197446096521348</v>
      </c>
      <c r="AB18" s="22"/>
      <c r="AC18" s="76">
        <v>13662.857446167754</v>
      </c>
      <c r="AD18" s="75">
        <f t="shared" si="9"/>
        <v>8170.8050577402819</v>
      </c>
      <c r="AE18" s="69">
        <f t="shared" si="10"/>
        <v>1.8840123339999661</v>
      </c>
      <c r="AF18" s="69">
        <f t="shared" si="11"/>
        <v>1.8840123339999661</v>
      </c>
      <c r="AG18" s="77"/>
      <c r="AH18" s="76">
        <f>SUM('Options 1-3'!T9*Summary!$AH$3)</f>
        <v>3647.6200000000003</v>
      </c>
      <c r="AI18" s="75">
        <f t="shared" si="12"/>
        <v>-1844.4323884274722</v>
      </c>
      <c r="AJ18" s="22"/>
      <c r="AK18" s="74">
        <f>'Op4'!AQ9</f>
        <v>12347.446131766061</v>
      </c>
      <c r="AL18" s="75">
        <f t="shared" si="13"/>
        <v>6855.3937433385881</v>
      </c>
      <c r="AM18" s="22"/>
      <c r="AN18" s="74">
        <f>'Op5'!AQ9</f>
        <v>10189.036071844588</v>
      </c>
      <c r="AO18" s="75">
        <f t="shared" si="14"/>
        <v>4696.9836834171156</v>
      </c>
      <c r="AP18" s="22"/>
      <c r="AQ18" s="74">
        <f>'Op6'!AQ9</f>
        <v>2933.7787303285218</v>
      </c>
      <c r="AR18" s="75">
        <f t="shared" si="15"/>
        <v>-2558.2736580989508</v>
      </c>
      <c r="AS18" s="22"/>
      <c r="AT18" s="74">
        <f>'Op7'!AQ9</f>
        <v>10189.036071844588</v>
      </c>
      <c r="AU18" s="75">
        <f t="shared" si="16"/>
        <v>4696.9836834171156</v>
      </c>
      <c r="AV18" s="22"/>
      <c r="AW18" s="74">
        <f>'Op8'!AQ9</f>
        <v>4701.8298380078049</v>
      </c>
      <c r="AX18" s="75">
        <f t="shared" si="17"/>
        <v>-790.22255041966764</v>
      </c>
      <c r="AY18" s="75"/>
      <c r="AZ18" s="74">
        <v>4719.3784300974858</v>
      </c>
      <c r="BA18" s="75">
        <v>-612.71126740491491</v>
      </c>
      <c r="BB18" s="75"/>
      <c r="BC18" s="75">
        <v>5246.0905138903727</v>
      </c>
      <c r="BD18" s="75">
        <v>-85.999183612027991</v>
      </c>
      <c r="BE18" s="75"/>
      <c r="BF18" s="74">
        <v>5551.2465467770544</v>
      </c>
      <c r="BG18" s="75">
        <v>219.15684927465372</v>
      </c>
      <c r="BH18" s="75"/>
      <c r="BI18" s="74">
        <v>4427.6280108325536</v>
      </c>
      <c r="BJ18" s="75">
        <v>-904.46168666984704</v>
      </c>
      <c r="BK18" s="74">
        <v>7615.4924202540697</v>
      </c>
      <c r="BL18" s="75">
        <v>2283.402722751669</v>
      </c>
      <c r="BM18" s="75"/>
      <c r="BN18" s="74">
        <v>7033.3422020303751</v>
      </c>
      <c r="BO18" s="75">
        <v>1701.2525045279745</v>
      </c>
      <c r="BP18" s="75"/>
      <c r="BQ18" s="22"/>
      <c r="BR18" s="74">
        <f>'Op9'!AQ9</f>
        <v>2411.2504363094231</v>
      </c>
      <c r="BS18" s="75">
        <f t="shared" si="18"/>
        <v>-3080.8019521180495</v>
      </c>
      <c r="BT18" s="22"/>
      <c r="BU18" s="74">
        <v>2768.8106958968783</v>
      </c>
      <c r="BV18" s="75">
        <v>-2563.2790016055224</v>
      </c>
      <c r="BW18" s="22"/>
      <c r="BX18" s="74">
        <v>2970.428157322996</v>
      </c>
      <c r="BY18" s="75">
        <v>-2361.6615401794047</v>
      </c>
      <c r="BZ18" s="22"/>
      <c r="CA18" s="74">
        <v>3275.5841902096795</v>
      </c>
      <c r="CB18" s="75">
        <v>-2056.5055072927212</v>
      </c>
      <c r="CC18" s="22"/>
      <c r="CD18" s="74">
        <v>2802.1548989987132</v>
      </c>
      <c r="CE18" s="75">
        <v>-2529.9347985036875</v>
      </c>
      <c r="CF18" s="22"/>
      <c r="CG18" s="74">
        <v>4371.7207478431428</v>
      </c>
      <c r="CH18" s="75">
        <v>-960.36894965925785</v>
      </c>
      <c r="CI18" s="22"/>
      <c r="CJ18" s="74">
        <v>3775.2214271059397</v>
      </c>
      <c r="CK18" s="75">
        <v>-1556.868270396461</v>
      </c>
    </row>
    <row r="19" spans="1:89" ht="15.75" x14ac:dyDescent="0.5">
      <c r="A19" s="83" t="s">
        <v>79</v>
      </c>
      <c r="B19" s="90" t="s">
        <v>80</v>
      </c>
      <c r="C19" s="91" t="s">
        <v>81</v>
      </c>
      <c r="D19" s="85"/>
      <c r="E19" s="62">
        <f>'Avg master'!H8</f>
        <v>349.33333333333331</v>
      </c>
      <c r="F19" s="66">
        <f t="shared" si="0"/>
        <v>1.2921792331508086E-3</v>
      </c>
      <c r="G19" s="85"/>
      <c r="H19" s="64">
        <v>357</v>
      </c>
      <c r="I19" s="64">
        <v>350</v>
      </c>
      <c r="J19" s="64">
        <v>341</v>
      </c>
      <c r="K19" s="65">
        <f t="shared" si="1"/>
        <v>349.33333333333331</v>
      </c>
      <c r="L19" s="66">
        <f t="shared" si="2"/>
        <v>3.0000887430830492E-3</v>
      </c>
      <c r="M19" s="18"/>
      <c r="N19" s="67">
        <v>1227.1218120000001</v>
      </c>
      <c r="O19" s="22"/>
      <c r="P19" s="68">
        <v>1306.88472978</v>
      </c>
      <c r="Q19" s="22"/>
      <c r="R19" s="68">
        <v>1333.0224243756002</v>
      </c>
      <c r="S19" s="69">
        <f t="shared" si="3"/>
        <v>3.8159038865713746</v>
      </c>
      <c r="T19" s="46"/>
      <c r="U19" s="68">
        <f t="shared" si="4"/>
        <v>1373.0130971068681</v>
      </c>
      <c r="V19" s="68">
        <f t="shared" si="5"/>
        <v>39.990672731267978</v>
      </c>
      <c r="W19" s="71">
        <f t="shared" si="6"/>
        <v>2.9999999999999978E-2</v>
      </c>
      <c r="X19" s="22"/>
      <c r="Y19" s="74">
        <f>'Options 1-3'!AQ10</f>
        <v>286.36411697181245</v>
      </c>
      <c r="Z19" s="75">
        <f t="shared" si="7"/>
        <v>-1086.6489801350558</v>
      </c>
      <c r="AA19" s="69">
        <f t="shared" si="8"/>
        <v>0.81974460965213491</v>
      </c>
      <c r="AB19" s="22"/>
      <c r="AC19" s="76">
        <v>658.14830867732155</v>
      </c>
      <c r="AD19" s="75">
        <f t="shared" si="9"/>
        <v>-714.86478842954659</v>
      </c>
      <c r="AE19" s="69">
        <f t="shared" si="10"/>
        <v>1.8840123339999664</v>
      </c>
      <c r="AF19" s="69">
        <f t="shared" si="11"/>
        <v>1.8840123339999664</v>
      </c>
      <c r="AG19" s="77"/>
      <c r="AH19" s="76">
        <f>SUM('Options 1-3'!T10*Summary!$AH$3)</f>
        <v>2778.9105</v>
      </c>
      <c r="AI19" s="75">
        <f t="shared" si="12"/>
        <v>1405.8974028931318</v>
      </c>
      <c r="AJ19" s="22"/>
      <c r="AK19" s="74">
        <f>'Op4'!AQ10</f>
        <v>1180.723184928896</v>
      </c>
      <c r="AL19" s="75">
        <f t="shared" si="13"/>
        <v>-192.28991217797216</v>
      </c>
      <c r="AM19" s="22"/>
      <c r="AN19" s="74">
        <f>'Op5'!AQ10</f>
        <v>997.02792923275774</v>
      </c>
      <c r="AO19" s="75">
        <f t="shared" si="14"/>
        <v>-375.9851678741104</v>
      </c>
      <c r="AP19" s="22"/>
      <c r="AQ19" s="74">
        <f>'Op6'!AQ10</f>
        <v>2535.6288662222773</v>
      </c>
      <c r="AR19" s="75">
        <f t="shared" si="15"/>
        <v>1162.6157691154092</v>
      </c>
      <c r="AS19" s="22"/>
      <c r="AT19" s="74">
        <f>'Op7'!AQ10</f>
        <v>997.02792923275774</v>
      </c>
      <c r="AU19" s="75">
        <f t="shared" si="16"/>
        <v>-375.9851678741104</v>
      </c>
      <c r="AV19" s="22"/>
      <c r="AW19" s="74">
        <f>'Op8'!AQ10</f>
        <v>1424.773943835746</v>
      </c>
      <c r="AX19" s="75">
        <f t="shared" si="17"/>
        <v>51.760846728877823</v>
      </c>
      <c r="AY19" s="75"/>
      <c r="AZ19" s="74">
        <v>1479.3855452800933</v>
      </c>
      <c r="BA19" s="75">
        <v>146.36312090449314</v>
      </c>
      <c r="BB19" s="75"/>
      <c r="BC19" s="75">
        <v>1383.3948880899352</v>
      </c>
      <c r="BD19" s="75">
        <v>50.372463714335026</v>
      </c>
      <c r="BE19" s="75"/>
      <c r="BF19" s="74">
        <v>1700.0950573156456</v>
      </c>
      <c r="BG19" s="75">
        <v>367.07263294004542</v>
      </c>
      <c r="BH19" s="75"/>
      <c r="BI19" s="74">
        <v>1673.6299659185731</v>
      </c>
      <c r="BJ19" s="75">
        <v>340.60754154297297</v>
      </c>
      <c r="BK19" s="74">
        <v>2008.6597990593777</v>
      </c>
      <c r="BL19" s="75">
        <v>675.63737468377758</v>
      </c>
      <c r="BM19" s="75"/>
      <c r="BN19" s="74">
        <v>2017.041604206604</v>
      </c>
      <c r="BO19" s="75">
        <v>684.01917983100384</v>
      </c>
      <c r="BP19" s="75"/>
      <c r="BQ19" s="22"/>
      <c r="BR19" s="74">
        <f>'Op9'!AQ10</f>
        <v>1331.6284550933233</v>
      </c>
      <c r="BS19" s="75">
        <f t="shared" si="18"/>
        <v>-41.384642013544862</v>
      </c>
      <c r="BT19" s="22"/>
      <c r="BU19" s="74">
        <v>1385.42548895346</v>
      </c>
      <c r="BV19" s="75">
        <v>52.403064577859823</v>
      </c>
      <c r="BW19" s="22"/>
      <c r="BX19" s="74">
        <v>1273.7748223755293</v>
      </c>
      <c r="BY19" s="75">
        <v>-59.247602000070856</v>
      </c>
      <c r="BZ19" s="22"/>
      <c r="CA19" s="74">
        <v>1590.4749916012397</v>
      </c>
      <c r="CB19" s="75">
        <v>257.45256722563954</v>
      </c>
      <c r="CC19" s="22"/>
      <c r="CD19" s="74">
        <v>1595.3299189797117</v>
      </c>
      <c r="CE19" s="75">
        <v>262.30749460411153</v>
      </c>
      <c r="CF19" s="22"/>
      <c r="CG19" s="74">
        <v>1852.4053077610395</v>
      </c>
      <c r="CH19" s="75">
        <v>519.3828833854393</v>
      </c>
      <c r="CI19" s="22"/>
      <c r="CJ19" s="74">
        <v>1860.0959077494977</v>
      </c>
      <c r="CK19" s="75">
        <v>527.07348337389749</v>
      </c>
    </row>
    <row r="20" spans="1:89" ht="15.75" x14ac:dyDescent="0.5">
      <c r="A20" s="83" t="s">
        <v>82</v>
      </c>
      <c r="B20" s="59" t="s">
        <v>83</v>
      </c>
      <c r="C20" s="91" t="s">
        <v>84</v>
      </c>
      <c r="D20" s="85"/>
      <c r="E20" s="62">
        <f>'Avg master'!H9</f>
        <v>103.33333333333333</v>
      </c>
      <c r="F20" s="66">
        <f t="shared" si="0"/>
        <v>3.8222858995873158E-4</v>
      </c>
      <c r="G20" s="85"/>
      <c r="H20" s="64">
        <v>111</v>
      </c>
      <c r="I20" s="64">
        <v>104</v>
      </c>
      <c r="J20" s="64">
        <v>95</v>
      </c>
      <c r="K20" s="65">
        <f t="shared" si="1"/>
        <v>103.33333333333333</v>
      </c>
      <c r="L20" s="66">
        <f t="shared" si="2"/>
        <v>8.8743083049212335E-4</v>
      </c>
      <c r="M20" s="18"/>
      <c r="N20" s="67">
        <v>923.26307760000009</v>
      </c>
      <c r="O20" s="22"/>
      <c r="P20" s="68">
        <v>983.275177644</v>
      </c>
      <c r="Q20" s="22"/>
      <c r="R20" s="68">
        <v>1002.9406811968801</v>
      </c>
      <c r="S20" s="69">
        <f t="shared" si="3"/>
        <v>9.7058775599698084</v>
      </c>
      <c r="T20" s="46"/>
      <c r="U20" s="68">
        <f t="shared" si="4"/>
        <v>1033.0289016327865</v>
      </c>
      <c r="V20" s="68">
        <f t="shared" si="5"/>
        <v>30.088220435906464</v>
      </c>
      <c r="W20" s="71">
        <f t="shared" si="6"/>
        <v>3.0000000000000061E-2</v>
      </c>
      <c r="X20" s="22"/>
      <c r="Y20" s="74">
        <f>'Options 1-3'!AQ11</f>
        <v>84.706942997387273</v>
      </c>
      <c r="Z20" s="75">
        <f t="shared" si="7"/>
        <v>-948.32195863539926</v>
      </c>
      <c r="AA20" s="69">
        <f t="shared" si="8"/>
        <v>0.81974460965213491</v>
      </c>
      <c r="AB20" s="22"/>
      <c r="AC20" s="76">
        <v>194.68127451332984</v>
      </c>
      <c r="AD20" s="75">
        <f t="shared" si="9"/>
        <v>-838.34762711945666</v>
      </c>
      <c r="AE20" s="69">
        <f t="shared" si="10"/>
        <v>1.8840123339999664</v>
      </c>
      <c r="AF20" s="69">
        <f t="shared" si="11"/>
        <v>1.8840123339999664</v>
      </c>
      <c r="AG20" s="77"/>
      <c r="AH20" s="76">
        <f>SUM('Options 1-3'!T11*Summary!$AH$3)</f>
        <v>858.11750000000006</v>
      </c>
      <c r="AI20" s="75">
        <f t="shared" si="12"/>
        <v>-174.91140163278646</v>
      </c>
      <c r="AJ20" s="22"/>
      <c r="AK20" s="74">
        <f>'Op4'!AQ11</f>
        <v>782.75903895797501</v>
      </c>
      <c r="AL20" s="75">
        <f t="shared" si="13"/>
        <v>-250.26986267481152</v>
      </c>
      <c r="AM20" s="22"/>
      <c r="AN20" s="74">
        <f>'Op5'!AQ11</f>
        <v>665.31843830601429</v>
      </c>
      <c r="AO20" s="75">
        <f t="shared" si="14"/>
        <v>-367.71046332677224</v>
      </c>
      <c r="AP20" s="22"/>
      <c r="AQ20" s="74">
        <f>'Op6'!AQ11</f>
        <v>1146.6304785847165</v>
      </c>
      <c r="AR20" s="75">
        <f t="shared" si="15"/>
        <v>113.60157695192993</v>
      </c>
      <c r="AS20" s="22"/>
      <c r="AT20" s="74">
        <f>'Op7'!AQ11</f>
        <v>665.31843830601429</v>
      </c>
      <c r="AU20" s="75">
        <f t="shared" si="16"/>
        <v>-367.71046332677224</v>
      </c>
      <c r="AV20" s="22"/>
      <c r="AW20" s="74">
        <f>'Op8'!AQ11</f>
        <v>901.40101542654111</v>
      </c>
      <c r="AX20" s="75">
        <f t="shared" si="17"/>
        <v>-131.62788620624542</v>
      </c>
      <c r="AY20" s="75"/>
      <c r="AZ20" s="74">
        <v>1037.9621856592748</v>
      </c>
      <c r="BA20" s="75">
        <v>35.021504462394773</v>
      </c>
      <c r="BB20" s="75"/>
      <c r="BC20" s="75">
        <v>771.84667151048427</v>
      </c>
      <c r="BD20" s="75">
        <v>-231.09400968639579</v>
      </c>
      <c r="BE20" s="75"/>
      <c r="BF20" s="74">
        <v>1115.6076105244463</v>
      </c>
      <c r="BG20" s="75">
        <v>112.66692932756621</v>
      </c>
      <c r="BH20" s="75"/>
      <c r="BI20" s="74">
        <v>1101.5939578910929</v>
      </c>
      <c r="BJ20" s="75">
        <v>98.653276694212877</v>
      </c>
      <c r="BK20" s="74">
        <v>1818.1790378412422</v>
      </c>
      <c r="BL20" s="75">
        <v>815.23835664436217</v>
      </c>
      <c r="BM20" s="75"/>
      <c r="BN20" s="74">
        <v>1820.6888434350467</v>
      </c>
      <c r="BO20" s="75">
        <v>817.74816223816663</v>
      </c>
      <c r="BP20" s="75"/>
      <c r="BQ20" s="22"/>
      <c r="BR20" s="74">
        <f>'Op9'!AQ11</f>
        <v>872.22154858742761</v>
      </c>
      <c r="BS20" s="75">
        <f t="shared" si="18"/>
        <v>-160.80735304535892</v>
      </c>
      <c r="BT20" s="22"/>
      <c r="BU20" s="74">
        <v>1010.1686575473888</v>
      </c>
      <c r="BV20" s="75">
        <v>7.2279763505086976</v>
      </c>
      <c r="BW20" s="22"/>
      <c r="BX20" s="74">
        <v>739.42088871328406</v>
      </c>
      <c r="BY20" s="75">
        <v>-263.51979248359601</v>
      </c>
      <c r="BZ20" s="22"/>
      <c r="CA20" s="74">
        <v>1083.1818277272462</v>
      </c>
      <c r="CB20" s="75">
        <v>80.241146530366109</v>
      </c>
      <c r="CC20" s="22"/>
      <c r="CD20" s="74">
        <v>1078.4326844645213</v>
      </c>
      <c r="CE20" s="75">
        <v>75.49200326764128</v>
      </c>
      <c r="CF20" s="22"/>
      <c r="CG20" s="74">
        <v>1771.9587207587185</v>
      </c>
      <c r="CH20" s="75">
        <v>769.01803956183846</v>
      </c>
      <c r="CI20" s="22"/>
      <c r="CJ20" s="74">
        <v>1774.2640668112842</v>
      </c>
      <c r="CK20" s="75">
        <v>771.32338561440417</v>
      </c>
    </row>
    <row r="21" spans="1:89" ht="15.75" customHeight="1" x14ac:dyDescent="0.5">
      <c r="A21" s="80" t="s">
        <v>85</v>
      </c>
      <c r="B21" s="59" t="s">
        <v>86</v>
      </c>
      <c r="C21" s="81" t="s">
        <v>69</v>
      </c>
      <c r="D21" s="82"/>
      <c r="E21" s="62">
        <f>'Avg master'!H10</f>
        <v>1010.6666666666666</v>
      </c>
      <c r="F21" s="66">
        <f t="shared" si="0"/>
        <v>3.7384422088866907E-3</v>
      </c>
      <c r="G21" s="82"/>
      <c r="H21" s="64">
        <v>354</v>
      </c>
      <c r="I21" s="64">
        <v>332</v>
      </c>
      <c r="J21" s="64">
        <v>294</v>
      </c>
      <c r="K21" s="65">
        <f t="shared" si="1"/>
        <v>326.66666666666669</v>
      </c>
      <c r="L21" s="66">
        <f t="shared" si="2"/>
        <v>2.8054264963944544E-3</v>
      </c>
      <c r="M21" s="18"/>
      <c r="N21" s="67">
        <v>1472.5461744000004</v>
      </c>
      <c r="O21" s="22"/>
      <c r="P21" s="68">
        <v>1568.2616757360004</v>
      </c>
      <c r="Q21" s="22"/>
      <c r="R21" s="68">
        <v>1599.6269092507205</v>
      </c>
      <c r="S21" s="69">
        <f t="shared" si="3"/>
        <v>1.5827443033483382</v>
      </c>
      <c r="T21" s="46"/>
      <c r="U21" s="68">
        <f t="shared" si="4"/>
        <v>1647.615716528242</v>
      </c>
      <c r="V21" s="68">
        <f t="shared" si="5"/>
        <v>47.988807277521573</v>
      </c>
      <c r="W21" s="71">
        <f t="shared" si="6"/>
        <v>2.9999999999999975E-2</v>
      </c>
      <c r="X21" s="22"/>
      <c r="Y21" s="74">
        <f>'Options 1-3'!AQ12</f>
        <v>828.48855215509093</v>
      </c>
      <c r="Z21" s="75">
        <f t="shared" si="7"/>
        <v>-819.12716437315112</v>
      </c>
      <c r="AA21" s="69">
        <f t="shared" si="8"/>
        <v>0.8197446096521348</v>
      </c>
      <c r="AB21" s="22"/>
      <c r="AC21" s="76">
        <v>615.44402910665565</v>
      </c>
      <c r="AD21" s="75">
        <f t="shared" si="9"/>
        <v>-1032.1716874215863</v>
      </c>
      <c r="AE21" s="69">
        <f t="shared" si="10"/>
        <v>0.60894857761212628</v>
      </c>
      <c r="AF21" s="69">
        <f t="shared" si="11"/>
        <v>1.8840123339999661</v>
      </c>
      <c r="AG21" s="77"/>
      <c r="AH21" s="76">
        <f>SUM('Options 1-3'!T12*Summary!$AH$3)</f>
        <v>3389.6055000000001</v>
      </c>
      <c r="AI21" s="75">
        <f t="shared" si="12"/>
        <v>1741.9897834717581</v>
      </c>
      <c r="AJ21" s="22"/>
      <c r="AK21" s="74">
        <f>'Op4'!AQ12</f>
        <v>1144.0544018313042</v>
      </c>
      <c r="AL21" s="75">
        <f t="shared" si="13"/>
        <v>-503.56131469693787</v>
      </c>
      <c r="AM21" s="22"/>
      <c r="AN21" s="74">
        <f>'Op5'!AQ12</f>
        <v>697.19237938054903</v>
      </c>
      <c r="AO21" s="75">
        <f t="shared" si="14"/>
        <v>-950.42333714769302</v>
      </c>
      <c r="AP21" s="22"/>
      <c r="AQ21" s="74">
        <f>'Op6'!AQ12</f>
        <v>2709.6735755305917</v>
      </c>
      <c r="AR21" s="75">
        <f t="shared" si="15"/>
        <v>1062.0578590023497</v>
      </c>
      <c r="AS21" s="22"/>
      <c r="AT21" s="74">
        <f>'Op7'!AQ12</f>
        <v>697.19237938054903</v>
      </c>
      <c r="AU21" s="75">
        <f t="shared" si="16"/>
        <v>-950.42333714769302</v>
      </c>
      <c r="AV21" s="22"/>
      <c r="AW21" s="74">
        <f>'Op8'!AQ12</f>
        <v>1407.300132552358</v>
      </c>
      <c r="AX21" s="75">
        <f t="shared" si="17"/>
        <v>-240.31558397588401</v>
      </c>
      <c r="AY21" s="75"/>
      <c r="AZ21" s="74">
        <v>1435.8567702857674</v>
      </c>
      <c r="BA21" s="75">
        <v>-163.77013896495305</v>
      </c>
      <c r="BB21" s="75"/>
      <c r="BC21" s="75">
        <v>1363.8042995617516</v>
      </c>
      <c r="BD21" s="75">
        <v>-235.8226096889689</v>
      </c>
      <c r="BE21" s="75"/>
      <c r="BF21" s="74">
        <v>1627.8016781788867</v>
      </c>
      <c r="BG21" s="75">
        <v>28.174768928166259</v>
      </c>
      <c r="BH21" s="75"/>
      <c r="BI21" s="74">
        <v>1657.6800686932813</v>
      </c>
      <c r="BJ21" s="75">
        <v>58.053159442560855</v>
      </c>
      <c r="BK21" s="74">
        <v>2192.7415519218889</v>
      </c>
      <c r="BL21" s="75">
        <v>593.11464267116844</v>
      </c>
      <c r="BM21" s="75"/>
      <c r="BN21" s="74">
        <v>1258.7930102267942</v>
      </c>
      <c r="BO21" s="75">
        <v>-340.83389902392628</v>
      </c>
      <c r="BP21" s="75"/>
      <c r="BQ21" s="22"/>
      <c r="BR21" s="74">
        <f>'Op9'!AQ12</f>
        <v>992.08803928695829</v>
      </c>
      <c r="BS21" s="75">
        <f t="shared" si="18"/>
        <v>-655.52767724128375</v>
      </c>
      <c r="BT21" s="22"/>
      <c r="BU21" s="74">
        <v>1491.0531372111523</v>
      </c>
      <c r="BV21" s="75">
        <v>-108.57377203956821</v>
      </c>
      <c r="BW21" s="22"/>
      <c r="BX21" s="74">
        <v>1428.2000609747004</v>
      </c>
      <c r="BY21" s="75">
        <v>-171.42684827602011</v>
      </c>
      <c r="BZ21" s="22"/>
      <c r="CA21" s="74">
        <v>1692.1974395918353</v>
      </c>
      <c r="CB21" s="75">
        <v>92.570530341114818</v>
      </c>
      <c r="CC21" s="22"/>
      <c r="CD21" s="74">
        <v>1703.677041131102</v>
      </c>
      <c r="CE21" s="75">
        <v>104.05013188038151</v>
      </c>
      <c r="CF21" s="22"/>
      <c r="CG21" s="74">
        <v>2284.532474284264</v>
      </c>
      <c r="CH21" s="75">
        <v>684.90556503354355</v>
      </c>
      <c r="CI21" s="22"/>
      <c r="CJ21" s="74">
        <v>1350.989977615701</v>
      </c>
      <c r="CK21" s="75">
        <v>-248.63693163501944</v>
      </c>
    </row>
    <row r="22" spans="1:89" ht="15.75" customHeight="1" x14ac:dyDescent="0.5">
      <c r="A22" s="83" t="s">
        <v>87</v>
      </c>
      <c r="B22" s="59" t="s">
        <v>88</v>
      </c>
      <c r="C22" s="61" t="s">
        <v>89</v>
      </c>
      <c r="D22" s="85"/>
      <c r="E22" s="62">
        <f>'Avg master'!H11</f>
        <v>2</v>
      </c>
      <c r="F22" s="66">
        <f t="shared" si="0"/>
        <v>7.3979727088786762E-6</v>
      </c>
      <c r="G22" s="85"/>
      <c r="H22" s="64">
        <v>2</v>
      </c>
      <c r="I22" s="64">
        <v>2</v>
      </c>
      <c r="J22" s="64">
        <v>2</v>
      </c>
      <c r="K22" s="65">
        <f t="shared" si="1"/>
        <v>2</v>
      </c>
      <c r="L22" s="66">
        <f t="shared" si="2"/>
        <v>1.717608059017013E-5</v>
      </c>
      <c r="M22" s="18"/>
      <c r="N22" s="67">
        <v>368.1365436000001</v>
      </c>
      <c r="O22" s="22"/>
      <c r="P22" s="68">
        <v>392.06541893400009</v>
      </c>
      <c r="Q22" s="22"/>
      <c r="R22" s="68">
        <v>399.90672731268012</v>
      </c>
      <c r="S22" s="69">
        <f t="shared" si="3"/>
        <v>199.95336365634006</v>
      </c>
      <c r="T22" s="46"/>
      <c r="U22" s="68">
        <f t="shared" si="4"/>
        <v>411.90392913206051</v>
      </c>
      <c r="V22" s="68">
        <f t="shared" si="5"/>
        <v>11.997201819380393</v>
      </c>
      <c r="W22" s="71">
        <f t="shared" si="6"/>
        <v>2.9999999999999975E-2</v>
      </c>
      <c r="X22" s="22"/>
      <c r="Y22" s="74">
        <f>'Options 1-3'!AQ13</f>
        <v>1.6394892193042698</v>
      </c>
      <c r="Z22" s="75">
        <f t="shared" si="7"/>
        <v>-410.26443991275625</v>
      </c>
      <c r="AA22" s="69">
        <f t="shared" si="8"/>
        <v>0.81974460965213491</v>
      </c>
      <c r="AB22" s="22"/>
      <c r="AC22" s="76">
        <v>3.7680246679999327</v>
      </c>
      <c r="AD22" s="75">
        <f t="shared" si="9"/>
        <v>-408.13590446406056</v>
      </c>
      <c r="AE22" s="69">
        <f t="shared" si="10"/>
        <v>1.8840123339999664</v>
      </c>
      <c r="AF22" s="69">
        <f t="shared" si="11"/>
        <v>1.8840123339999664</v>
      </c>
      <c r="AG22" s="77"/>
      <c r="AH22" s="76">
        <f>SUM('Options 1-3'!T13*Summary!$AH$3)</f>
        <v>1471.4605000000001</v>
      </c>
      <c r="AI22" s="75">
        <f t="shared" si="12"/>
        <v>1059.5565708679396</v>
      </c>
      <c r="AJ22" s="22"/>
      <c r="AK22" s="74">
        <f>'Op4'!AQ13</f>
        <v>618.82800863933005</v>
      </c>
      <c r="AL22" s="75">
        <f t="shared" si="13"/>
        <v>206.92407950726954</v>
      </c>
      <c r="AM22" s="22"/>
      <c r="AN22" s="74">
        <f>'Op5'!AQ13</f>
        <v>550.15501409115177</v>
      </c>
      <c r="AO22" s="75">
        <f t="shared" si="14"/>
        <v>138.25108495909126</v>
      </c>
      <c r="AP22" s="22"/>
      <c r="AQ22" s="74">
        <f>'Op6'!AQ13</f>
        <v>1614.6682896565662</v>
      </c>
      <c r="AR22" s="75">
        <f t="shared" si="15"/>
        <v>1202.7643605245057</v>
      </c>
      <c r="AS22" s="22"/>
      <c r="AT22" s="74">
        <f>'Op7'!AQ13</f>
        <v>550.15501409115177</v>
      </c>
      <c r="AU22" s="75">
        <f t="shared" si="16"/>
        <v>138.25108495909126</v>
      </c>
      <c r="AV22" s="22"/>
      <c r="AW22" s="93">
        <f>'Op8'!AQ13</f>
        <v>978.72502349228444</v>
      </c>
      <c r="AX22" s="75">
        <f t="shared" si="17"/>
        <v>566.82109436022392</v>
      </c>
      <c r="AY22" s="75"/>
      <c r="AZ22" s="93">
        <v>1089.1182545616748</v>
      </c>
      <c r="BA22" s="75">
        <v>689.21152724899468</v>
      </c>
      <c r="BB22" s="75"/>
      <c r="BC22" s="75">
        <v>867.48435267963373</v>
      </c>
      <c r="BD22" s="75">
        <v>467.57762536695361</v>
      </c>
      <c r="BE22" s="75"/>
      <c r="BF22" s="93">
        <v>1211.8127912807668</v>
      </c>
      <c r="BG22" s="75">
        <v>811.90606396808664</v>
      </c>
      <c r="BH22" s="75"/>
      <c r="BI22" s="93">
        <v>1213.5076707672872</v>
      </c>
      <c r="BJ22" s="75">
        <v>813.60094345460709</v>
      </c>
      <c r="BK22" s="93">
        <v>1756.9113234250474</v>
      </c>
      <c r="BL22" s="75">
        <v>1357.0045961123674</v>
      </c>
      <c r="BM22" s="75"/>
      <c r="BN22" s="93">
        <v>1765.5619313708296</v>
      </c>
      <c r="BO22" s="75">
        <v>1365.6552040581496</v>
      </c>
      <c r="BP22" s="75"/>
      <c r="BQ22" s="22"/>
      <c r="BR22" s="74">
        <f>'Op9'!AQ13</f>
        <v>980.7735543796133</v>
      </c>
      <c r="BS22" s="75">
        <f t="shared" si="18"/>
        <v>568.86962524755279</v>
      </c>
      <c r="BT22" s="22"/>
      <c r="BU22" s="74">
        <v>1088.5803153078966</v>
      </c>
      <c r="BV22" s="75">
        <v>688.67358799521651</v>
      </c>
      <c r="BW22" s="22"/>
      <c r="BX22" s="74">
        <v>866.85675688355889</v>
      </c>
      <c r="BY22" s="75">
        <v>466.95002957087877</v>
      </c>
      <c r="BZ22" s="22"/>
      <c r="CA22" s="74">
        <v>1211.1851954846918</v>
      </c>
      <c r="CB22" s="75">
        <v>811.27846817201169</v>
      </c>
      <c r="CC22" s="22"/>
      <c r="CD22" s="74">
        <v>1213.0593880558051</v>
      </c>
      <c r="CE22" s="75">
        <v>813.15266074312501</v>
      </c>
      <c r="CF22" s="22"/>
      <c r="CG22" s="74">
        <v>1756.016736642805</v>
      </c>
      <c r="CH22" s="75">
        <v>1356.1100093301247</v>
      </c>
      <c r="CI22" s="22"/>
      <c r="CJ22" s="74">
        <v>1764.6633873071439</v>
      </c>
      <c r="CK22" s="75">
        <v>1364.7566599944639</v>
      </c>
    </row>
    <row r="23" spans="1:89" ht="15.75" customHeight="1" x14ac:dyDescent="0.5">
      <c r="A23" s="83" t="s">
        <v>90</v>
      </c>
      <c r="B23" s="59" t="s">
        <v>91</v>
      </c>
      <c r="C23" s="94" t="s">
        <v>92</v>
      </c>
      <c r="D23" s="85"/>
      <c r="E23" s="62">
        <f>'Avg master'!H12</f>
        <v>2717.6666666666665</v>
      </c>
      <c r="F23" s="66">
        <f t="shared" si="0"/>
        <v>1.005261191591464E-2</v>
      </c>
      <c r="G23" s="85"/>
      <c r="H23" s="64">
        <v>927</v>
      </c>
      <c r="I23" s="64">
        <v>527</v>
      </c>
      <c r="J23" s="64">
        <v>345</v>
      </c>
      <c r="K23" s="65">
        <f t="shared" si="1"/>
        <v>599.66666666666663</v>
      </c>
      <c r="L23" s="66">
        <f t="shared" si="2"/>
        <v>5.1499614969526767E-3</v>
      </c>
      <c r="M23" s="18"/>
      <c r="N23" s="67">
        <v>1659.5361648000001</v>
      </c>
      <c r="O23" s="22"/>
      <c r="P23" s="68">
        <v>1767.4060155120001</v>
      </c>
      <c r="Q23" s="22"/>
      <c r="R23" s="68">
        <v>1802.7541358222402</v>
      </c>
      <c r="S23" s="69">
        <f t="shared" si="3"/>
        <v>0.66334630289055818</v>
      </c>
      <c r="T23" s="46"/>
      <c r="U23" s="68">
        <f t="shared" si="4"/>
        <v>1856.8367598969076</v>
      </c>
      <c r="V23" s="68">
        <f t="shared" si="5"/>
        <v>54.082624074667365</v>
      </c>
      <c r="W23" s="71">
        <f t="shared" si="6"/>
        <v>3.0000000000000089E-2</v>
      </c>
      <c r="X23" s="22"/>
      <c r="Y23" s="74">
        <f>'Options 1-3'!AQ14</f>
        <v>2227.7926008312852</v>
      </c>
      <c r="Z23" s="75">
        <f t="shared" si="7"/>
        <v>370.95584093437765</v>
      </c>
      <c r="AA23" s="69">
        <f t="shared" si="8"/>
        <v>0.81974460965213491</v>
      </c>
      <c r="AB23" s="22"/>
      <c r="AC23" s="76">
        <v>1129.7793962886465</v>
      </c>
      <c r="AD23" s="75">
        <f t="shared" si="9"/>
        <v>-727.05736360826108</v>
      </c>
      <c r="AE23" s="69">
        <f t="shared" si="10"/>
        <v>0.41571669187611182</v>
      </c>
      <c r="AF23" s="69">
        <f t="shared" si="11"/>
        <v>1.8840123339999664</v>
      </c>
      <c r="AG23" s="77"/>
      <c r="AH23" s="76">
        <f>SUM('Options 1-3'!T14*Summary!$AH$3)</f>
        <v>3389.44</v>
      </c>
      <c r="AI23" s="75">
        <f t="shared" si="12"/>
        <v>1532.6032401030925</v>
      </c>
      <c r="AJ23" s="22"/>
      <c r="AK23" s="74">
        <f>'Op4'!AQ14</f>
        <v>1585.6975394331798</v>
      </c>
      <c r="AL23" s="75">
        <f t="shared" si="13"/>
        <v>-271.13922046372772</v>
      </c>
      <c r="AM23" s="22"/>
      <c r="AN23" s="74">
        <f>'Op5'!AQ14</f>
        <v>2109.4584241076</v>
      </c>
      <c r="AO23" s="75">
        <f t="shared" si="14"/>
        <v>252.62166421069242</v>
      </c>
      <c r="AP23" s="22"/>
      <c r="AQ23" s="74">
        <f>'Op6'!AQ14</f>
        <v>3749.1038117059352</v>
      </c>
      <c r="AR23" s="75">
        <f t="shared" si="15"/>
        <v>1892.2670518090276</v>
      </c>
      <c r="AS23" s="22"/>
      <c r="AT23" s="74">
        <f>'Op7'!AQ14</f>
        <v>2109.4584241076</v>
      </c>
      <c r="AU23" s="75">
        <f t="shared" si="16"/>
        <v>252.62166421069242</v>
      </c>
      <c r="AV23" s="22"/>
      <c r="AW23" s="74">
        <f>'Op8'!AQ14</f>
        <v>2671.4670430696265</v>
      </c>
      <c r="AX23" s="75">
        <f t="shared" si="17"/>
        <v>814.63028317271892</v>
      </c>
      <c r="AY23" s="75"/>
      <c r="AZ23" s="74">
        <v>2700.0307417688114</v>
      </c>
      <c r="BA23" s="75">
        <v>897.27660594657118</v>
      </c>
      <c r="BB23" s="75"/>
      <c r="BC23" s="75">
        <v>2634.3719728483461</v>
      </c>
      <c r="BD23" s="75">
        <v>831.61783702610592</v>
      </c>
      <c r="BE23" s="75"/>
      <c r="BF23" s="74">
        <v>2867.336084567034</v>
      </c>
      <c r="BG23" s="75">
        <v>1064.5819487447939</v>
      </c>
      <c r="BH23" s="75"/>
      <c r="BI23" s="74">
        <v>2884.3988276112254</v>
      </c>
      <c r="BJ23" s="75">
        <v>1081.6446917889853</v>
      </c>
      <c r="BK23" s="74">
        <v>2854.1758809334769</v>
      </c>
      <c r="BL23" s="75">
        <v>1051.4217451112368</v>
      </c>
      <c r="BM23" s="75"/>
      <c r="BN23" s="74">
        <v>3114.9450460598628</v>
      </c>
      <c r="BO23" s="75">
        <v>1312.1909102376226</v>
      </c>
      <c r="BP23" s="75"/>
      <c r="BQ23" s="22"/>
      <c r="BR23" s="74">
        <f>'Op9'!AQ14</f>
        <v>3076.8447442129873</v>
      </c>
      <c r="BS23" s="75">
        <f t="shared" si="18"/>
        <v>1220.0079843160797</v>
      </c>
      <c r="BT23" s="22"/>
      <c r="BU23" s="74">
        <v>2973.6658948291947</v>
      </c>
      <c r="BV23" s="75">
        <v>1170.9117590069545</v>
      </c>
      <c r="BW23" s="22"/>
      <c r="BX23" s="74">
        <v>2953.612984752127</v>
      </c>
      <c r="BY23" s="75">
        <v>1150.8588489298868</v>
      </c>
      <c r="BZ23" s="22"/>
      <c r="CA23" s="74">
        <v>3186.5770964708149</v>
      </c>
      <c r="CB23" s="75">
        <v>1383.8229606485747</v>
      </c>
      <c r="CC23" s="22"/>
      <c r="CD23" s="74">
        <v>3112.4281218282117</v>
      </c>
      <c r="CE23" s="75">
        <v>1309.6739860059715</v>
      </c>
      <c r="CF23" s="22"/>
      <c r="CG23" s="74">
        <v>3309.2279883327951</v>
      </c>
      <c r="CH23" s="75">
        <v>1506.4738525105549</v>
      </c>
      <c r="CI23" s="22"/>
      <c r="CJ23" s="74">
        <v>3572.0101155284897</v>
      </c>
      <c r="CK23" s="75">
        <v>1769.2559797062495</v>
      </c>
    </row>
    <row r="24" spans="1:89" ht="15.75" customHeight="1" x14ac:dyDescent="0.5">
      <c r="A24" s="95" t="s">
        <v>93</v>
      </c>
      <c r="B24" s="59" t="s">
        <v>94</v>
      </c>
      <c r="C24" s="81" t="s">
        <v>69</v>
      </c>
      <c r="D24" s="61"/>
      <c r="E24" s="62">
        <f>'Avg master'!H13</f>
        <v>1985</v>
      </c>
      <c r="F24" s="66">
        <f t="shared" si="0"/>
        <v>7.3424879135620862E-3</v>
      </c>
      <c r="G24" s="61"/>
      <c r="H24" s="64">
        <v>1699</v>
      </c>
      <c r="I24" s="64">
        <v>1656</v>
      </c>
      <c r="J24" s="64">
        <v>1411</v>
      </c>
      <c r="K24" s="65">
        <f t="shared" si="1"/>
        <v>1588.6666666666667</v>
      </c>
      <c r="L24" s="66">
        <f t="shared" si="2"/>
        <v>1.3643533348791807E-2</v>
      </c>
      <c r="M24" s="18"/>
      <c r="N24" s="67"/>
      <c r="O24" s="22"/>
      <c r="P24" s="79">
        <v>1568.7449999999999</v>
      </c>
      <c r="Q24" s="22"/>
      <c r="R24" s="79">
        <v>1600.1198999999999</v>
      </c>
      <c r="S24" s="69">
        <f t="shared" si="3"/>
        <v>0.80610574307304783</v>
      </c>
      <c r="T24" s="46"/>
      <c r="U24" s="68">
        <f t="shared" si="4"/>
        <v>1648.123497</v>
      </c>
      <c r="V24" s="68">
        <f t="shared" si="5"/>
        <v>48.003597000000127</v>
      </c>
      <c r="W24" s="71">
        <f t="shared" si="6"/>
        <v>3.0000000000000082E-2</v>
      </c>
      <c r="X24" s="22"/>
      <c r="Y24" s="74">
        <f>'Options 1-3'!AQ15</f>
        <v>1627.1930501594877</v>
      </c>
      <c r="Z24" s="75">
        <f t="shared" si="7"/>
        <v>-20.930446840512332</v>
      </c>
      <c r="AA24" s="69">
        <f t="shared" si="8"/>
        <v>0.81974460965213491</v>
      </c>
      <c r="AB24" s="22"/>
      <c r="AC24" s="76">
        <v>2993.0675946146134</v>
      </c>
      <c r="AD24" s="75">
        <f t="shared" si="9"/>
        <v>1344.9440976146134</v>
      </c>
      <c r="AE24" s="69">
        <f t="shared" si="10"/>
        <v>1.507842616934314</v>
      </c>
      <c r="AF24" s="69">
        <f t="shared" si="11"/>
        <v>1.8840123339999664</v>
      </c>
      <c r="AG24" s="77"/>
      <c r="AH24" s="76">
        <f>SUM('Options 1-3'!T15*Summary!$AH$3)</f>
        <v>3183.7235000000001</v>
      </c>
      <c r="AI24" s="75">
        <f t="shared" si="12"/>
        <v>1535.600003</v>
      </c>
      <c r="AJ24" s="22"/>
      <c r="AK24" s="74">
        <f>'Op4'!AQ15</f>
        <v>3185.6428254707439</v>
      </c>
      <c r="AL24" s="75">
        <f t="shared" si="13"/>
        <v>1537.5193284707439</v>
      </c>
      <c r="AM24" s="22"/>
      <c r="AN24" s="74">
        <f>'Op5'!AQ15</f>
        <v>4060.5618576842753</v>
      </c>
      <c r="AO24" s="75">
        <f t="shared" si="14"/>
        <v>2412.4383606842753</v>
      </c>
      <c r="AP24" s="22"/>
      <c r="AQ24" s="74">
        <f>'Op6'!AQ15</f>
        <v>4200.7605905243636</v>
      </c>
      <c r="AR24" s="75">
        <f t="shared" si="15"/>
        <v>2552.6370935243635</v>
      </c>
      <c r="AS24" s="22"/>
      <c r="AT24" s="74">
        <f>'Op7'!AQ15</f>
        <v>4060.5618576842753</v>
      </c>
      <c r="AU24" s="75">
        <f t="shared" si="16"/>
        <v>2412.4383606842753</v>
      </c>
      <c r="AV24" s="22"/>
      <c r="AW24" s="74">
        <f>'Op8'!AQ15</f>
        <v>4341.0671900476063</v>
      </c>
      <c r="AX24" s="75">
        <f t="shared" si="17"/>
        <v>2692.9436930476063</v>
      </c>
      <c r="AY24" s="75"/>
      <c r="AZ24" s="74">
        <v>4378.407669205516</v>
      </c>
      <c r="BA24" s="75">
        <v>2778.2877692055163</v>
      </c>
      <c r="BB24" s="75"/>
      <c r="BC24" s="75">
        <v>4270.0744385698554</v>
      </c>
      <c r="BD24" s="75">
        <v>2669.9545385698557</v>
      </c>
      <c r="BE24" s="75"/>
      <c r="BF24" s="74">
        <v>4293.9448208154154</v>
      </c>
      <c r="BG24" s="75">
        <v>2693.8249208154157</v>
      </c>
      <c r="BH24" s="75"/>
      <c r="BI24" s="74">
        <v>4361.2493654550972</v>
      </c>
      <c r="BJ24" s="75">
        <v>2761.1294654550975</v>
      </c>
      <c r="BK24" s="74">
        <v>4033.9279561913254</v>
      </c>
      <c r="BL24" s="75">
        <v>2433.8080561913257</v>
      </c>
      <c r="BM24" s="75"/>
      <c r="BN24" s="74">
        <v>4725.4528430995579</v>
      </c>
      <c r="BO24" s="75">
        <v>3125.3329430995582</v>
      </c>
      <c r="BP24" s="75"/>
      <c r="BQ24" s="22"/>
      <c r="BR24" s="74">
        <f>'Op9'!AQ15</f>
        <v>4332.4262580479553</v>
      </c>
      <c r="BS24" s="75">
        <f t="shared" si="18"/>
        <v>2684.3027610479553</v>
      </c>
      <c r="BT24" s="22"/>
      <c r="BU24" s="74">
        <v>4030.5112810824476</v>
      </c>
      <c r="BV24" s="75">
        <v>2430.3913810824479</v>
      </c>
      <c r="BW24" s="22"/>
      <c r="BX24" s="74">
        <v>3864.1953190929416</v>
      </c>
      <c r="BY24" s="75">
        <v>2264.075419092942</v>
      </c>
      <c r="BZ24" s="22"/>
      <c r="CA24" s="74">
        <v>3888.0657013385016</v>
      </c>
      <c r="CB24" s="75">
        <v>2287.945801338502</v>
      </c>
      <c r="CC24" s="22"/>
      <c r="CD24" s="74">
        <v>4071.3357086858732</v>
      </c>
      <c r="CE24" s="75">
        <v>2471.2158086858735</v>
      </c>
      <c r="CF24" s="22"/>
      <c r="CG24" s="74">
        <v>3455.3802703350466</v>
      </c>
      <c r="CH24" s="75">
        <v>1855.2603703350467</v>
      </c>
      <c r="CI24" s="22"/>
      <c r="CJ24" s="74">
        <v>4144.3459018789417</v>
      </c>
      <c r="CK24" s="75">
        <v>2544.226001878942</v>
      </c>
    </row>
    <row r="25" spans="1:89" ht="15.75" customHeight="1" x14ac:dyDescent="0.5">
      <c r="A25" s="96" t="s">
        <v>95</v>
      </c>
      <c r="B25" s="59" t="s">
        <v>96</v>
      </c>
      <c r="C25" s="60" t="s">
        <v>64</v>
      </c>
      <c r="D25" s="61"/>
      <c r="E25" s="62">
        <f>'Avg master'!H14</f>
        <v>475</v>
      </c>
      <c r="F25" s="66">
        <f t="shared" si="0"/>
        <v>1.7570185183586856E-3</v>
      </c>
      <c r="G25" s="61"/>
      <c r="H25" s="64">
        <v>308</v>
      </c>
      <c r="I25" s="64">
        <v>229</v>
      </c>
      <c r="J25" s="64">
        <v>174</v>
      </c>
      <c r="K25" s="65">
        <f t="shared" si="1"/>
        <v>237</v>
      </c>
      <c r="L25" s="66">
        <f t="shared" si="2"/>
        <v>2.0353655499351603E-3</v>
      </c>
      <c r="M25" s="18"/>
      <c r="N25" s="67">
        <v>1227.1218120000001</v>
      </c>
      <c r="O25" s="22"/>
      <c r="P25" s="68">
        <v>1306.88472978</v>
      </c>
      <c r="Q25" s="22"/>
      <c r="R25" s="68">
        <v>1333.0224243756002</v>
      </c>
      <c r="S25" s="69">
        <f t="shared" si="3"/>
        <v>2.8063629986854739</v>
      </c>
      <c r="T25" s="46"/>
      <c r="U25" s="68">
        <f t="shared" si="4"/>
        <v>1373.0130971068681</v>
      </c>
      <c r="V25" s="68">
        <f t="shared" si="5"/>
        <v>39.990672731267978</v>
      </c>
      <c r="W25" s="71">
        <f t="shared" si="6"/>
        <v>2.9999999999999978E-2</v>
      </c>
      <c r="X25" s="22"/>
      <c r="Y25" s="74">
        <f>'Options 1-3'!AQ16</f>
        <v>389.37868958476406</v>
      </c>
      <c r="Z25" s="75">
        <f t="shared" si="7"/>
        <v>-983.63440752210408</v>
      </c>
      <c r="AA25" s="69">
        <f t="shared" si="8"/>
        <v>0.81974460965213491</v>
      </c>
      <c r="AB25" s="22"/>
      <c r="AC25" s="76">
        <v>446.51092315799201</v>
      </c>
      <c r="AD25" s="75">
        <f t="shared" si="9"/>
        <v>-926.50217394887613</v>
      </c>
      <c r="AE25" s="69">
        <f t="shared" si="10"/>
        <v>0.94002299612208839</v>
      </c>
      <c r="AF25" s="69">
        <f t="shared" si="11"/>
        <v>1.8840123339999664</v>
      </c>
      <c r="AG25" s="77"/>
      <c r="AH25" s="76">
        <f>SUM('Options 1-3'!T16*Summary!$AH$3)</f>
        <v>724.39350000000002</v>
      </c>
      <c r="AI25" s="75">
        <f t="shared" si="12"/>
        <v>-648.61959710686813</v>
      </c>
      <c r="AJ25" s="22"/>
      <c r="AK25" s="74">
        <f>'Op4'!AQ16</f>
        <v>998.99700987171377</v>
      </c>
      <c r="AL25" s="75">
        <f t="shared" si="13"/>
        <v>-374.01608723515437</v>
      </c>
      <c r="AM25" s="22"/>
      <c r="AN25" s="74">
        <f>'Op5'!AQ16</f>
        <v>977.8234429002481</v>
      </c>
      <c r="AO25" s="75">
        <f t="shared" si="14"/>
        <v>-395.18965420662005</v>
      </c>
      <c r="AP25" s="22"/>
      <c r="AQ25" s="74">
        <f>'Op6'!AQ16</f>
        <v>1179.6564057316873</v>
      </c>
      <c r="AR25" s="75">
        <f t="shared" si="15"/>
        <v>-193.35669137518084</v>
      </c>
      <c r="AS25" s="22"/>
      <c r="AT25" s="74">
        <f>'Op7'!AQ16</f>
        <v>977.8234429002481</v>
      </c>
      <c r="AU25" s="75">
        <f t="shared" si="16"/>
        <v>-395.18965420662005</v>
      </c>
      <c r="AV25" s="22"/>
      <c r="AW25" s="74">
        <f>'Op8'!AQ16</f>
        <v>1145.8127153764949</v>
      </c>
      <c r="AX25" s="75">
        <f t="shared" si="17"/>
        <v>-227.20038173037324</v>
      </c>
      <c r="AY25" s="75"/>
      <c r="AZ25" s="74">
        <v>1288.0791459556888</v>
      </c>
      <c r="BA25" s="75">
        <v>-44.943278419911394</v>
      </c>
      <c r="BB25" s="75"/>
      <c r="BC25" s="75">
        <v>1009.1537592740176</v>
      </c>
      <c r="BD25" s="75">
        <v>-323.86866510158256</v>
      </c>
      <c r="BE25" s="75"/>
      <c r="BF25" s="74">
        <v>1328.6466238365952</v>
      </c>
      <c r="BG25" s="75">
        <v>-4.375800539005013</v>
      </c>
      <c r="BH25" s="75"/>
      <c r="BI25" s="74">
        <v>1317.4316748831625</v>
      </c>
      <c r="BJ25" s="75">
        <v>-15.590749492437681</v>
      </c>
      <c r="BK25" s="74">
        <v>2007.3093923380857</v>
      </c>
      <c r="BL25" s="75">
        <v>674.28696796248551</v>
      </c>
      <c r="BM25" s="75"/>
      <c r="BN25" s="74">
        <v>2106.2930079873399</v>
      </c>
      <c r="BO25" s="75">
        <v>773.27058361173977</v>
      </c>
      <c r="BP25" s="75"/>
      <c r="BQ25" s="22"/>
      <c r="BR25" s="74">
        <f>'Op9'!AQ16</f>
        <v>1177.6421411458564</v>
      </c>
      <c r="BS25" s="75">
        <f t="shared" si="18"/>
        <v>-195.37095596101176</v>
      </c>
      <c r="BT25" s="22"/>
      <c r="BU25" s="74">
        <v>1275.0003492243954</v>
      </c>
      <c r="BV25" s="75">
        <v>-58.022075151204717</v>
      </c>
      <c r="BW25" s="22"/>
      <c r="BX25" s="74">
        <v>993.89516308750876</v>
      </c>
      <c r="BY25" s="75">
        <v>-339.1272612880914</v>
      </c>
      <c r="BZ25" s="22"/>
      <c r="CA25" s="74">
        <v>1313.3880276500865</v>
      </c>
      <c r="CB25" s="75">
        <v>-19.634396725513625</v>
      </c>
      <c r="CC25" s="22"/>
      <c r="CD25" s="74">
        <v>1306.5326776070847</v>
      </c>
      <c r="CE25" s="75">
        <v>-26.489746768515488</v>
      </c>
      <c r="CF25" s="22"/>
      <c r="CG25" s="74">
        <v>1985.5595040351416</v>
      </c>
      <c r="CH25" s="75">
        <v>652.5370796595414</v>
      </c>
      <c r="CI25" s="22"/>
      <c r="CJ25" s="74">
        <v>2084.446907185973</v>
      </c>
      <c r="CK25" s="75">
        <v>751.42448281037287</v>
      </c>
    </row>
    <row r="26" spans="1:89" ht="15.75" customHeight="1" x14ac:dyDescent="0.5">
      <c r="A26" s="83" t="s">
        <v>97</v>
      </c>
      <c r="B26" s="59" t="s">
        <v>98</v>
      </c>
      <c r="C26" s="81" t="s">
        <v>69</v>
      </c>
      <c r="D26" s="85"/>
      <c r="E26" s="62">
        <f>'Avg master'!H15</f>
        <v>1378.3333333333333</v>
      </c>
      <c r="F26" s="66">
        <f t="shared" si="0"/>
        <v>5.0984361918688876E-3</v>
      </c>
      <c r="G26" s="85"/>
      <c r="H26" s="64">
        <v>994</v>
      </c>
      <c r="I26" s="64">
        <v>777</v>
      </c>
      <c r="J26" s="64">
        <v>592</v>
      </c>
      <c r="K26" s="65">
        <f t="shared" si="1"/>
        <v>787.66666666666663</v>
      </c>
      <c r="L26" s="66">
        <f t="shared" si="2"/>
        <v>6.7645130724286687E-3</v>
      </c>
      <c r="M26" s="18"/>
      <c r="N26" s="67">
        <v>1472.5461744000004</v>
      </c>
      <c r="O26" s="22"/>
      <c r="P26" s="68">
        <v>1568.2616757360004</v>
      </c>
      <c r="Q26" s="22"/>
      <c r="R26" s="68">
        <v>1599.6269092507205</v>
      </c>
      <c r="S26" s="69">
        <f t="shared" si="3"/>
        <v>1.1605515665664237</v>
      </c>
      <c r="T26" s="46"/>
      <c r="U26" s="68">
        <f t="shared" si="4"/>
        <v>1647.615716528242</v>
      </c>
      <c r="V26" s="68">
        <f t="shared" si="5"/>
        <v>47.988807277521573</v>
      </c>
      <c r="W26" s="71">
        <f t="shared" si="6"/>
        <v>2.9999999999999975E-2</v>
      </c>
      <c r="X26" s="22"/>
      <c r="Y26" s="74">
        <f>'Options 1-3'!AQ17</f>
        <v>1129.8813203038592</v>
      </c>
      <c r="Z26" s="75">
        <f t="shared" si="7"/>
        <v>-517.73439622438286</v>
      </c>
      <c r="AA26" s="69">
        <f t="shared" si="8"/>
        <v>0.81974460965213491</v>
      </c>
      <c r="AB26" s="22"/>
      <c r="AC26" s="76">
        <v>1483.97371508064</v>
      </c>
      <c r="AD26" s="75">
        <f t="shared" si="9"/>
        <v>-163.64200144760207</v>
      </c>
      <c r="AE26" s="69">
        <f t="shared" si="10"/>
        <v>1.0766435659593518</v>
      </c>
      <c r="AF26" s="69">
        <f t="shared" si="11"/>
        <v>1.8840123339999661</v>
      </c>
      <c r="AG26" s="77"/>
      <c r="AH26" s="76">
        <f>SUM('Options 1-3'!T17*Summary!$AH$3)</f>
        <v>1059.3655000000001</v>
      </c>
      <c r="AI26" s="75">
        <f t="shared" si="12"/>
        <v>-588.25021652824194</v>
      </c>
      <c r="AJ26" s="22"/>
      <c r="AK26" s="74">
        <f>'Op4'!AQ17</f>
        <v>1889.8327404190868</v>
      </c>
      <c r="AL26" s="75">
        <f t="shared" si="13"/>
        <v>242.21702389084476</v>
      </c>
      <c r="AM26" s="22"/>
      <c r="AN26" s="74">
        <f>'Op5'!AQ17</f>
        <v>2032.8140447339856</v>
      </c>
      <c r="AO26" s="75">
        <f t="shared" si="14"/>
        <v>385.19832820574356</v>
      </c>
      <c r="AP26" s="22"/>
      <c r="AQ26" s="74">
        <f>'Op6'!AQ17</f>
        <v>1725.7979639155874</v>
      </c>
      <c r="AR26" s="75">
        <f t="shared" si="15"/>
        <v>78.182247387345342</v>
      </c>
      <c r="AS26" s="22"/>
      <c r="AT26" s="74">
        <f>'Op7'!AQ17</f>
        <v>2032.8140447339856</v>
      </c>
      <c r="AU26" s="75">
        <f t="shared" si="16"/>
        <v>385.19832820574356</v>
      </c>
      <c r="AV26" s="22"/>
      <c r="AW26" s="74">
        <f>'Op8'!AQ17</f>
        <v>1956.9481268636919</v>
      </c>
      <c r="AX26" s="75">
        <f t="shared" si="17"/>
        <v>309.33241033544982</v>
      </c>
      <c r="AY26" s="75"/>
      <c r="AZ26" s="74">
        <v>2084.9231627136342</v>
      </c>
      <c r="BA26" s="75">
        <v>485.29625346291368</v>
      </c>
      <c r="BB26" s="75"/>
      <c r="BC26" s="75">
        <v>1847.8979307036855</v>
      </c>
      <c r="BD26" s="75">
        <v>248.27102145296499</v>
      </c>
      <c r="BE26" s="75"/>
      <c r="BF26" s="74">
        <v>2105.5781428636296</v>
      </c>
      <c r="BG26" s="75">
        <v>505.95123361290916</v>
      </c>
      <c r="BH26" s="75"/>
      <c r="BI26" s="74">
        <v>2067.7284634837583</v>
      </c>
      <c r="BJ26" s="75">
        <v>468.10155423303786</v>
      </c>
      <c r="BK26" s="74">
        <v>2689.6350555385648</v>
      </c>
      <c r="BL26" s="75">
        <v>1090.0081462878443</v>
      </c>
      <c r="BM26" s="75"/>
      <c r="BN26" s="74">
        <v>2914.8206268277281</v>
      </c>
      <c r="BO26" s="75">
        <v>1315.1937175770076</v>
      </c>
      <c r="BP26" s="75"/>
      <c r="BQ26" s="22"/>
      <c r="BR26" s="74">
        <f>'Op9'!AQ17</f>
        <v>1973.9892144588637</v>
      </c>
      <c r="BS26" s="75">
        <f t="shared" si="18"/>
        <v>326.37349793062162</v>
      </c>
      <c r="BT26" s="22"/>
      <c r="BU26" s="74">
        <v>2015.4149097265424</v>
      </c>
      <c r="BV26" s="75">
        <v>415.78800047582195</v>
      </c>
      <c r="BW26" s="22"/>
      <c r="BX26" s="74">
        <v>1766.8049688854119</v>
      </c>
      <c r="BY26" s="75">
        <v>167.17805963469141</v>
      </c>
      <c r="BZ26" s="22"/>
      <c r="CA26" s="74">
        <v>2024.4851810453558</v>
      </c>
      <c r="CB26" s="75">
        <v>424.85827179463536</v>
      </c>
      <c r="CC26" s="22"/>
      <c r="CD26" s="74">
        <v>2009.8049193278484</v>
      </c>
      <c r="CE26" s="75">
        <v>410.17801007712796</v>
      </c>
      <c r="CF26" s="22"/>
      <c r="CG26" s="74">
        <v>2574.0436315213396</v>
      </c>
      <c r="CH26" s="75">
        <v>974.41672227061918</v>
      </c>
      <c r="CI26" s="22"/>
      <c r="CJ26" s="74">
        <v>2798.7178742213141</v>
      </c>
      <c r="CK26" s="75">
        <v>1199.0909649705936</v>
      </c>
    </row>
    <row r="27" spans="1:89" ht="15.75" customHeight="1" x14ac:dyDescent="0.5">
      <c r="A27" s="83" t="s">
        <v>99</v>
      </c>
      <c r="B27" s="83" t="s">
        <v>100</v>
      </c>
      <c r="C27" s="97" t="s">
        <v>101</v>
      </c>
      <c r="D27" s="41"/>
      <c r="E27" s="62">
        <f>'Avg master'!H16</f>
        <v>7391.666666666667</v>
      </c>
      <c r="F27" s="66">
        <f t="shared" si="0"/>
        <v>2.7341674136564107E-2</v>
      </c>
      <c r="G27" s="41"/>
      <c r="H27" s="64">
        <v>2809</v>
      </c>
      <c r="I27" s="64">
        <v>2231</v>
      </c>
      <c r="J27" s="64">
        <v>1582</v>
      </c>
      <c r="K27" s="65">
        <f t="shared" si="1"/>
        <v>2207.3333333333335</v>
      </c>
      <c r="L27" s="66">
        <f t="shared" si="2"/>
        <v>1.8956667611351102E-2</v>
      </c>
      <c r="M27" s="18"/>
      <c r="N27" s="98">
        <v>5000</v>
      </c>
      <c r="O27" s="99"/>
      <c r="P27" s="100">
        <v>5325</v>
      </c>
      <c r="Q27" s="99"/>
      <c r="R27" s="100">
        <v>5431.5</v>
      </c>
      <c r="S27" s="69">
        <f t="shared" si="3"/>
        <v>0.73481397970687712</v>
      </c>
      <c r="T27" s="101"/>
      <c r="U27" s="68">
        <f t="shared" si="4"/>
        <v>5594.4449999999997</v>
      </c>
      <c r="V27" s="68">
        <f t="shared" si="5"/>
        <v>162.94499999999971</v>
      </c>
      <c r="W27" s="71">
        <f t="shared" si="6"/>
        <v>2.9999999999999947E-2</v>
      </c>
      <c r="X27" s="74"/>
      <c r="Y27" s="74">
        <f>'Options 1-3'!AQ18</f>
        <v>6059.2789063453638</v>
      </c>
      <c r="Z27" s="75">
        <f t="shared" si="7"/>
        <v>464.83390634536408</v>
      </c>
      <c r="AA27" s="69">
        <f t="shared" si="8"/>
        <v>0.81974460965213491</v>
      </c>
      <c r="AB27" s="74"/>
      <c r="AC27" s="76">
        <v>4158.6432252492596</v>
      </c>
      <c r="AD27" s="75">
        <f t="shared" si="9"/>
        <v>-1435.8017747507402</v>
      </c>
      <c r="AE27" s="69">
        <f t="shared" si="10"/>
        <v>0.56261238673045222</v>
      </c>
      <c r="AF27" s="69">
        <f t="shared" si="11"/>
        <v>1.8840123339999664</v>
      </c>
      <c r="AG27" s="77"/>
      <c r="AH27" s="76">
        <f>SUM('Options 1-3'!T18*Summary!$AH$3)</f>
        <v>6955.634</v>
      </c>
      <c r="AI27" s="75">
        <f t="shared" si="12"/>
        <v>1361.1890000000003</v>
      </c>
      <c r="AJ27" s="22"/>
      <c r="AK27" s="74">
        <f>'Op4'!AQ18</f>
        <v>4186.4849053108919</v>
      </c>
      <c r="AL27" s="75">
        <f t="shared" si="13"/>
        <v>-1407.9600946891078</v>
      </c>
      <c r="AM27" s="22"/>
      <c r="AN27" s="74">
        <f>'Op5'!AQ18</f>
        <v>3835.6724163252115</v>
      </c>
      <c r="AO27" s="75">
        <f t="shared" si="14"/>
        <v>-1758.7725836747882</v>
      </c>
      <c r="AP27" s="22"/>
      <c r="AQ27" s="74">
        <f>'Op6'!AQ18</f>
        <v>5866.9807736456041</v>
      </c>
      <c r="AR27" s="75">
        <f t="shared" si="15"/>
        <v>272.53577364560442</v>
      </c>
      <c r="AS27" s="22"/>
      <c r="AT27" s="74">
        <f>'Op7'!AQ18</f>
        <v>3835.6724163252115</v>
      </c>
      <c r="AU27" s="75">
        <f t="shared" si="16"/>
        <v>-1758.7725836747882</v>
      </c>
      <c r="AV27" s="22"/>
      <c r="AW27" s="74">
        <f>'Op8'!AQ18</f>
        <v>4171.1055370880731</v>
      </c>
      <c r="AX27" s="75">
        <f t="shared" si="17"/>
        <v>-1423.3394629119266</v>
      </c>
      <c r="AY27" s="75"/>
      <c r="AZ27" s="74">
        <v>4047.5195452606204</v>
      </c>
      <c r="BA27" s="75">
        <v>-1383.9804547393796</v>
      </c>
      <c r="BB27" s="75"/>
      <c r="BC27" s="75">
        <v>4317.7654601053746</v>
      </c>
      <c r="BD27" s="75">
        <v>-1113.7345398946254</v>
      </c>
      <c r="BE27" s="75"/>
      <c r="BF27" s="74">
        <v>4355.7187926325687</v>
      </c>
      <c r="BG27" s="75">
        <v>-1075.7812073674313</v>
      </c>
      <c r="BH27" s="75"/>
      <c r="BI27" s="74">
        <v>4309.5709302528694</v>
      </c>
      <c r="BJ27" s="75">
        <v>-1121.9290697471306</v>
      </c>
      <c r="BK27" s="74">
        <v>3932.5266855273048</v>
      </c>
      <c r="BL27" s="75">
        <v>-1498.9733144726952</v>
      </c>
      <c r="BM27" s="75"/>
      <c r="BN27" s="74">
        <v>3681.4945686024089</v>
      </c>
      <c r="BO27" s="75">
        <v>-1750.0054313975911</v>
      </c>
      <c r="BP27" s="75"/>
      <c r="BQ27" s="22"/>
      <c r="BR27" s="74">
        <f>'Op9'!AQ18</f>
        <v>4517.8956974208759</v>
      </c>
      <c r="BS27" s="75">
        <f t="shared" si="18"/>
        <v>-1076.5493025791238</v>
      </c>
      <c r="BT27" s="22"/>
      <c r="BU27" s="74">
        <v>4563.1658643116471</v>
      </c>
      <c r="BV27" s="75">
        <v>-868.33413568835294</v>
      </c>
      <c r="BW27" s="22"/>
      <c r="BX27" s="74">
        <v>4919.3528323315722</v>
      </c>
      <c r="BY27" s="75">
        <v>-512.14716766842776</v>
      </c>
      <c r="BZ27" s="22"/>
      <c r="CA27" s="74">
        <v>4957.3061648587664</v>
      </c>
      <c r="CB27" s="75">
        <v>-474.19383514123365</v>
      </c>
      <c r="CC27" s="22"/>
      <c r="CD27" s="74">
        <v>4739.2761961287242</v>
      </c>
      <c r="CE27" s="75">
        <v>-692.22380387127578</v>
      </c>
      <c r="CF27" s="22"/>
      <c r="CG27" s="74">
        <v>4790.0405741214763</v>
      </c>
      <c r="CH27" s="75">
        <v>-641.45942587852369</v>
      </c>
      <c r="CI27" s="22"/>
      <c r="CJ27" s="74">
        <v>4542.8017435116581</v>
      </c>
      <c r="CK27" s="75">
        <v>-888.69825648834194</v>
      </c>
    </row>
    <row r="28" spans="1:89" ht="15.75" customHeight="1" x14ac:dyDescent="0.5">
      <c r="A28" s="83" t="s">
        <v>102</v>
      </c>
      <c r="B28" s="59" t="s">
        <v>103</v>
      </c>
      <c r="C28" s="91" t="s">
        <v>81</v>
      </c>
      <c r="D28" s="84"/>
      <c r="E28" s="62">
        <f>'Avg master'!H17</f>
        <v>24.333333333333332</v>
      </c>
      <c r="F28" s="66">
        <f t="shared" si="0"/>
        <v>9.000866795802389E-5</v>
      </c>
      <c r="G28" s="84"/>
      <c r="H28" s="64">
        <v>25</v>
      </c>
      <c r="I28" s="64">
        <v>25</v>
      </c>
      <c r="J28" s="64">
        <v>23</v>
      </c>
      <c r="K28" s="65">
        <f t="shared" si="1"/>
        <v>24.333333333333332</v>
      </c>
      <c r="L28" s="66">
        <f t="shared" si="2"/>
        <v>2.0897564718040323E-4</v>
      </c>
      <c r="M28" s="18"/>
      <c r="N28" s="67">
        <v>1227.1218120000001</v>
      </c>
      <c r="O28" s="22"/>
      <c r="P28" s="68">
        <v>1306.88472978</v>
      </c>
      <c r="Q28" s="22"/>
      <c r="R28" s="68">
        <v>1333.0224243756002</v>
      </c>
      <c r="S28" s="69">
        <f t="shared" si="3"/>
        <v>54.781743467490422</v>
      </c>
      <c r="T28" s="46"/>
      <c r="U28" s="68">
        <f t="shared" si="4"/>
        <v>1373.0130971068681</v>
      </c>
      <c r="V28" s="68">
        <f t="shared" si="5"/>
        <v>39.990672731267978</v>
      </c>
      <c r="W28" s="71">
        <f t="shared" si="6"/>
        <v>2.9999999999999978E-2</v>
      </c>
      <c r="X28" s="22"/>
      <c r="Y28" s="74">
        <f>'Options 1-3'!AQ19</f>
        <v>19.947118834868615</v>
      </c>
      <c r="Z28" s="75">
        <f t="shared" si="7"/>
        <v>-1353.0659782719995</v>
      </c>
      <c r="AA28" s="69">
        <f t="shared" si="8"/>
        <v>0.81974460965213491</v>
      </c>
      <c r="AB28" s="22"/>
      <c r="AC28" s="76">
        <v>45.844300127332509</v>
      </c>
      <c r="AD28" s="75">
        <f t="shared" si="9"/>
        <v>-1327.1687969795357</v>
      </c>
      <c r="AE28" s="69">
        <f t="shared" si="10"/>
        <v>1.8840123339999661</v>
      </c>
      <c r="AF28" s="69">
        <f t="shared" si="11"/>
        <v>1.8840123339999661</v>
      </c>
      <c r="AG28" s="77"/>
      <c r="AH28" s="76">
        <f>SUM('Options 1-3'!T19*Summary!$AH$3)</f>
        <v>2373.1044999999999</v>
      </c>
      <c r="AI28" s="75">
        <f t="shared" si="12"/>
        <v>1000.0914028931318</v>
      </c>
      <c r="AJ28" s="22"/>
      <c r="AK28" s="74">
        <f>'Op4'!AQ19</f>
        <v>654.95754492666299</v>
      </c>
      <c r="AL28" s="75">
        <f t="shared" si="13"/>
        <v>-718.05555218020515</v>
      </c>
      <c r="AM28" s="22"/>
      <c r="AN28" s="74">
        <f>'Op5'!AQ19</f>
        <v>531.58625437754995</v>
      </c>
      <c r="AO28" s="75">
        <f t="shared" si="14"/>
        <v>-841.4268427293182</v>
      </c>
      <c r="AP28" s="22"/>
      <c r="AQ28" s="74">
        <f>'Op6'!AQ19</f>
        <v>2219.5671465284631</v>
      </c>
      <c r="AR28" s="75">
        <f t="shared" si="15"/>
        <v>846.55404942159498</v>
      </c>
      <c r="AS28" s="22"/>
      <c r="AT28" s="74">
        <f>'Op7'!AQ19</f>
        <v>531.58625437754995</v>
      </c>
      <c r="AU28" s="75">
        <f t="shared" si="16"/>
        <v>-841.4268427293182</v>
      </c>
      <c r="AV28" s="22"/>
      <c r="AW28" s="74">
        <f>'Op8'!AQ19</f>
        <v>1096.4052176199018</v>
      </c>
      <c r="AX28" s="75">
        <f t="shared" si="17"/>
        <v>-276.60787948696634</v>
      </c>
      <c r="AY28" s="75"/>
      <c r="AZ28" s="74">
        <v>1168.3303071453386</v>
      </c>
      <c r="BA28" s="75">
        <v>-164.6921172302616</v>
      </c>
      <c r="BB28" s="75"/>
      <c r="BC28" s="75">
        <v>1025.0753105215929</v>
      </c>
      <c r="BD28" s="75">
        <v>-307.94711385400728</v>
      </c>
      <c r="BE28" s="75"/>
      <c r="BF28" s="74">
        <v>1368.7018417385937</v>
      </c>
      <c r="BG28" s="75">
        <v>35.67941736299349</v>
      </c>
      <c r="BH28" s="75"/>
      <c r="BI28" s="74">
        <v>1367.5114768843384</v>
      </c>
      <c r="BJ28" s="75">
        <v>34.489052508738268</v>
      </c>
      <c r="BK28" s="74">
        <v>1767.747950038713</v>
      </c>
      <c r="BL28" s="75">
        <v>434.72552566311288</v>
      </c>
      <c r="BM28" s="75"/>
      <c r="BN28" s="74">
        <v>1692.4777232556053</v>
      </c>
      <c r="BO28" s="75">
        <v>359.4552988800051</v>
      </c>
      <c r="BP28" s="75"/>
      <c r="BQ28" s="22"/>
      <c r="BR28" s="74">
        <f>'Op9'!AQ19</f>
        <v>1050.6818587651808</v>
      </c>
      <c r="BS28" s="75">
        <f t="shared" si="18"/>
        <v>-322.33123834168737</v>
      </c>
      <c r="BT28" s="22"/>
      <c r="BU28" s="74">
        <v>1161.7853795577009</v>
      </c>
      <c r="BV28" s="75">
        <v>-171.23704481789923</v>
      </c>
      <c r="BW28" s="22"/>
      <c r="BX28" s="74">
        <v>1017.4395616693488</v>
      </c>
      <c r="BY28" s="75">
        <v>-315.58286270625138</v>
      </c>
      <c r="BZ28" s="22"/>
      <c r="CA28" s="74">
        <v>1361.0660928863495</v>
      </c>
      <c r="CB28" s="75">
        <v>28.043668510749285</v>
      </c>
      <c r="CC28" s="22"/>
      <c r="CD28" s="74">
        <v>1362.0573705613069</v>
      </c>
      <c r="CE28" s="75">
        <v>29.034946185706758</v>
      </c>
      <c r="CF28" s="22"/>
      <c r="CG28" s="74">
        <v>1756.8638108547639</v>
      </c>
      <c r="CH28" s="75">
        <v>423.8413864791637</v>
      </c>
      <c r="CI28" s="22"/>
      <c r="CJ28" s="74">
        <v>1681.5454371474291</v>
      </c>
      <c r="CK28" s="75">
        <v>348.52301277182892</v>
      </c>
    </row>
    <row r="29" spans="1:89" ht="15.75" customHeight="1" x14ac:dyDescent="0.5">
      <c r="A29" s="83" t="s">
        <v>104</v>
      </c>
      <c r="B29" s="59" t="s">
        <v>105</v>
      </c>
      <c r="C29" s="97" t="s">
        <v>101</v>
      </c>
      <c r="D29" s="85"/>
      <c r="E29" s="62">
        <f>'Avg master'!H18</f>
        <v>7366.666666666667</v>
      </c>
      <c r="F29" s="66">
        <f t="shared" si="0"/>
        <v>2.7249199477703125E-2</v>
      </c>
      <c r="G29" s="85"/>
      <c r="H29" s="64">
        <v>5231</v>
      </c>
      <c r="I29" s="64">
        <v>3189</v>
      </c>
      <c r="J29" s="64">
        <v>2307</v>
      </c>
      <c r="K29" s="65">
        <f t="shared" si="1"/>
        <v>3575.6666666666665</v>
      </c>
      <c r="L29" s="66">
        <f t="shared" si="2"/>
        <v>3.0707969415125828E-2</v>
      </c>
      <c r="M29" s="18"/>
      <c r="N29" s="98">
        <v>5000</v>
      </c>
      <c r="O29" s="102"/>
      <c r="P29" s="100">
        <v>5325</v>
      </c>
      <c r="Q29" s="102"/>
      <c r="R29" s="100">
        <v>5431.5</v>
      </c>
      <c r="S29" s="69">
        <f t="shared" si="3"/>
        <v>0.73730769230769233</v>
      </c>
      <c r="T29" s="101"/>
      <c r="U29" s="68">
        <f t="shared" si="4"/>
        <v>5594.4449999999997</v>
      </c>
      <c r="V29" s="68">
        <f t="shared" si="5"/>
        <v>162.94499999999971</v>
      </c>
      <c r="W29" s="71">
        <f t="shared" si="6"/>
        <v>2.9999999999999947E-2</v>
      </c>
      <c r="X29" s="74"/>
      <c r="Y29" s="74">
        <f>'Options 1-3'!AQ20</f>
        <v>6038.7852911040609</v>
      </c>
      <c r="Z29" s="75">
        <f t="shared" si="7"/>
        <v>444.34029110406118</v>
      </c>
      <c r="AA29" s="69">
        <f t="shared" si="8"/>
        <v>0.81974460965213491</v>
      </c>
      <c r="AB29" s="74"/>
      <c r="AC29" s="76">
        <v>6736.6001022725459</v>
      </c>
      <c r="AD29" s="75">
        <f t="shared" si="9"/>
        <v>1142.1551022725462</v>
      </c>
      <c r="AE29" s="69">
        <f t="shared" si="10"/>
        <v>0.91447060211844511</v>
      </c>
      <c r="AF29" s="69">
        <f t="shared" si="11"/>
        <v>1.8840123339999664</v>
      </c>
      <c r="AG29" s="77"/>
      <c r="AH29" s="76">
        <f>SUM('Options 1-3'!T20*Summary!$AH$3)</f>
        <v>5317.6805000000004</v>
      </c>
      <c r="AI29" s="75">
        <f t="shared" si="12"/>
        <v>-276.76449999999932</v>
      </c>
      <c r="AJ29" s="22"/>
      <c r="AK29" s="74">
        <f>'Op4'!AQ20</f>
        <v>6400.0930614228564</v>
      </c>
      <c r="AL29" s="75">
        <f t="shared" si="13"/>
        <v>805.6480614228567</v>
      </c>
      <c r="AM29" s="22"/>
      <c r="AN29" s="74">
        <f>'Op5'!AQ20</f>
        <v>6857.62841836598</v>
      </c>
      <c r="AO29" s="75">
        <f t="shared" si="14"/>
        <v>1263.1834183659803</v>
      </c>
      <c r="AP29" s="22"/>
      <c r="AQ29" s="74">
        <f>'Op6'!AQ20</f>
        <v>5832.8066201579868</v>
      </c>
      <c r="AR29" s="75">
        <f t="shared" si="15"/>
        <v>238.36162015798709</v>
      </c>
      <c r="AS29" s="22"/>
      <c r="AT29" s="74">
        <f>'Op7'!AQ20</f>
        <v>6857.62841836598</v>
      </c>
      <c r="AU29" s="75">
        <f t="shared" si="16"/>
        <v>1263.1834183659803</v>
      </c>
      <c r="AV29" s="22"/>
      <c r="AW29" s="74">
        <f>'Op8'!AQ20</f>
        <v>6731.5393636342969</v>
      </c>
      <c r="AX29" s="75">
        <f t="shared" si="17"/>
        <v>1137.0943636342972</v>
      </c>
      <c r="AY29" s="75"/>
      <c r="AZ29" s="74">
        <v>6677.8357500852062</v>
      </c>
      <c r="BA29" s="75">
        <v>1246.3357500852062</v>
      </c>
      <c r="BB29" s="75"/>
      <c r="BC29" s="75">
        <v>6747.0758982534508</v>
      </c>
      <c r="BD29" s="75">
        <v>1315.5758982534508</v>
      </c>
      <c r="BE29" s="75"/>
      <c r="BF29" s="74">
        <v>6442.767242917982</v>
      </c>
      <c r="BG29" s="75">
        <v>1011.267242917982</v>
      </c>
      <c r="BH29" s="75"/>
      <c r="BI29" s="74">
        <v>6519.1014007778576</v>
      </c>
      <c r="BJ29" s="75">
        <v>1087.6014007778576</v>
      </c>
      <c r="BK29" s="74">
        <v>5884.4638219354074</v>
      </c>
      <c r="BL29" s="75">
        <v>452.9638219354074</v>
      </c>
      <c r="BM29" s="75"/>
      <c r="BN29" s="74">
        <v>6235.0320548300188</v>
      </c>
      <c r="BO29" s="75">
        <v>803.53205483001875</v>
      </c>
      <c r="BP29" s="75"/>
      <c r="BQ29" s="22"/>
      <c r="BR29" s="74">
        <f>'Op9'!AQ20</f>
        <v>6713.8137480975965</v>
      </c>
      <c r="BS29" s="75">
        <f t="shared" si="18"/>
        <v>1119.3687480975968</v>
      </c>
      <c r="BT29" s="22"/>
      <c r="BU29" s="74">
        <v>6514.2727526036542</v>
      </c>
      <c r="BV29" s="75">
        <v>1082.7727526036542</v>
      </c>
      <c r="BW29" s="22"/>
      <c r="BX29" s="74">
        <v>6556.2524011916403</v>
      </c>
      <c r="BY29" s="75">
        <v>1124.7524011916403</v>
      </c>
      <c r="BZ29" s="22"/>
      <c r="CA29" s="74">
        <v>6251.9437458561715</v>
      </c>
      <c r="CB29" s="75">
        <v>820.44374585617152</v>
      </c>
      <c r="CC29" s="22"/>
      <c r="CD29" s="74">
        <v>6382.7989028765642</v>
      </c>
      <c r="CE29" s="75">
        <v>951.29890287656417</v>
      </c>
      <c r="CF29" s="22"/>
      <c r="CG29" s="74">
        <v>5612.4604412875087</v>
      </c>
      <c r="CH29" s="75">
        <v>180.96044128750873</v>
      </c>
      <c r="CI29" s="22"/>
      <c r="CJ29" s="74">
        <v>5961.8254438727454</v>
      </c>
      <c r="CK29" s="75">
        <v>530.32544387274538</v>
      </c>
    </row>
    <row r="30" spans="1:89" ht="15.75" customHeight="1" x14ac:dyDescent="0.5">
      <c r="A30" s="58" t="s">
        <v>106</v>
      </c>
      <c r="B30" s="59" t="s">
        <v>107</v>
      </c>
      <c r="C30" s="60" t="s">
        <v>64</v>
      </c>
      <c r="D30" s="61"/>
      <c r="E30" s="62">
        <f>'Avg master'!H19</f>
        <v>278.33333333333331</v>
      </c>
      <c r="F30" s="66">
        <f t="shared" si="0"/>
        <v>1.0295512019856156E-3</v>
      </c>
      <c r="G30" s="61"/>
      <c r="H30" s="64">
        <v>266</v>
      </c>
      <c r="I30" s="64">
        <v>207</v>
      </c>
      <c r="J30" s="64">
        <v>128</v>
      </c>
      <c r="K30" s="65">
        <f t="shared" si="1"/>
        <v>200.33333333333334</v>
      </c>
      <c r="L30" s="66">
        <f t="shared" si="2"/>
        <v>1.7204707391153746E-3</v>
      </c>
      <c r="M30" s="18"/>
      <c r="N30" s="67">
        <v>1227.1218120000001</v>
      </c>
      <c r="O30" s="22"/>
      <c r="P30" s="68">
        <v>1306.88472978</v>
      </c>
      <c r="Q30" s="22"/>
      <c r="R30" s="68">
        <v>1333.0224243756002</v>
      </c>
      <c r="S30" s="69">
        <f t="shared" si="3"/>
        <v>4.7893021235051503</v>
      </c>
      <c r="T30" s="46"/>
      <c r="U30" s="68">
        <f t="shared" si="4"/>
        <v>1373.0130971068681</v>
      </c>
      <c r="V30" s="68">
        <f t="shared" si="5"/>
        <v>39.990672731267978</v>
      </c>
      <c r="W30" s="71">
        <f t="shared" si="6"/>
        <v>2.9999999999999978E-2</v>
      </c>
      <c r="X30" s="22"/>
      <c r="Y30" s="74">
        <f>'Options 1-3'!AQ21</f>
        <v>228.16224968651085</v>
      </c>
      <c r="Z30" s="75">
        <f t="shared" si="7"/>
        <v>-1144.8508474203572</v>
      </c>
      <c r="AA30" s="69">
        <f t="shared" si="8"/>
        <v>0.8197446096521348</v>
      </c>
      <c r="AB30" s="22"/>
      <c r="AC30" s="76">
        <v>377.43047091132655</v>
      </c>
      <c r="AD30" s="75">
        <f t="shared" si="9"/>
        <v>-995.58262619554159</v>
      </c>
      <c r="AE30" s="69">
        <f t="shared" si="10"/>
        <v>1.3560376200406943</v>
      </c>
      <c r="AF30" s="69">
        <f t="shared" si="11"/>
        <v>1.8840123339999661</v>
      </c>
      <c r="AG30" s="77"/>
      <c r="AH30" s="76">
        <f>SUM('Options 1-3'!T21*Summary!$AH$3)</f>
        <v>1002.9300000000001</v>
      </c>
      <c r="AI30" s="75">
        <f t="shared" si="12"/>
        <v>-370.08309710686808</v>
      </c>
      <c r="AJ30" s="22"/>
      <c r="AK30" s="74">
        <f>'Op4'!AQ21</f>
        <v>939.67986074325677</v>
      </c>
      <c r="AL30" s="75">
        <f t="shared" si="13"/>
        <v>-433.33323636361138</v>
      </c>
      <c r="AM30" s="22"/>
      <c r="AN30" s="74">
        <f>'Op5'!AQ21</f>
        <v>1027.3224457255847</v>
      </c>
      <c r="AO30" s="75">
        <f t="shared" si="14"/>
        <v>-345.69065138128349</v>
      </c>
      <c r="AP30" s="22"/>
      <c r="AQ30" s="74">
        <f>'Op6'!AQ21</f>
        <v>1481.2362057695186</v>
      </c>
      <c r="AR30" s="75">
        <f t="shared" si="15"/>
        <v>108.22310866265047</v>
      </c>
      <c r="AS30" s="22"/>
      <c r="AT30" s="74">
        <f>'Op7'!AQ21</f>
        <v>1027.3224457255847</v>
      </c>
      <c r="AU30" s="75">
        <f t="shared" si="16"/>
        <v>-345.69065138128349</v>
      </c>
      <c r="AV30" s="22"/>
      <c r="AW30" s="74">
        <f>'Op8'!AQ21</f>
        <v>1278.7305012166275</v>
      </c>
      <c r="AX30" s="75">
        <f t="shared" si="17"/>
        <v>-94.2825958902406</v>
      </c>
      <c r="AY30" s="75"/>
      <c r="AZ30" s="74">
        <v>1409.1133263959543</v>
      </c>
      <c r="BA30" s="75">
        <v>76.090902020354179</v>
      </c>
      <c r="BB30" s="75"/>
      <c r="BC30" s="75">
        <v>1150.4280399380802</v>
      </c>
      <c r="BD30" s="75">
        <v>-182.59438443751992</v>
      </c>
      <c r="BE30" s="75"/>
      <c r="BF30" s="74">
        <v>1468.7560369269916</v>
      </c>
      <c r="BG30" s="75">
        <v>135.73361255139139</v>
      </c>
      <c r="BH30" s="75"/>
      <c r="BI30" s="74">
        <v>1464.5953091254323</v>
      </c>
      <c r="BJ30" s="75">
        <v>131.57288474983216</v>
      </c>
      <c r="BK30" s="74">
        <v>2084.2344331179206</v>
      </c>
      <c r="BL30" s="75">
        <v>751.21200874232045</v>
      </c>
      <c r="BM30" s="75"/>
      <c r="BN30" s="74">
        <v>2169.5880759340089</v>
      </c>
      <c r="BO30" s="75">
        <v>836.56565155840872</v>
      </c>
      <c r="BP30" s="75"/>
      <c r="BQ30" s="22"/>
      <c r="BR30" s="74">
        <f>'Op9'!AQ21</f>
        <v>1280.6839218429584</v>
      </c>
      <c r="BS30" s="75">
        <f t="shared" si="18"/>
        <v>-92.329175263909747</v>
      </c>
      <c r="BT30" s="22"/>
      <c r="BU30" s="74">
        <v>1370.4866156815735</v>
      </c>
      <c r="BV30" s="75">
        <v>37.464191305973372</v>
      </c>
      <c r="BW30" s="22"/>
      <c r="BX30" s="74">
        <v>1105.3635441046358</v>
      </c>
      <c r="BY30" s="75">
        <v>-227.65888027096435</v>
      </c>
      <c r="BZ30" s="22"/>
      <c r="CA30" s="74">
        <v>1423.6915410935471</v>
      </c>
      <c r="CB30" s="75">
        <v>90.669116717946963</v>
      </c>
      <c r="CC30" s="22"/>
      <c r="CD30" s="74">
        <v>1432.4063835301149</v>
      </c>
      <c r="CE30" s="75">
        <v>99.383959154514741</v>
      </c>
      <c r="CF30" s="22"/>
      <c r="CG30" s="74">
        <v>2019.9986581602927</v>
      </c>
      <c r="CH30" s="75">
        <v>686.97623378469257</v>
      </c>
      <c r="CI30" s="22"/>
      <c r="CJ30" s="74">
        <v>2105.0681485103678</v>
      </c>
      <c r="CK30" s="75">
        <v>772.04572413476762</v>
      </c>
    </row>
    <row r="31" spans="1:89" ht="15.75" customHeight="1" x14ac:dyDescent="0.5">
      <c r="A31" s="83" t="s">
        <v>108</v>
      </c>
      <c r="B31" s="59" t="s">
        <v>109</v>
      </c>
      <c r="C31" s="61" t="s">
        <v>89</v>
      </c>
      <c r="D31" s="85"/>
      <c r="E31" s="62">
        <f>'Avg master'!H20</f>
        <v>2</v>
      </c>
      <c r="F31" s="66">
        <f t="shared" si="0"/>
        <v>7.3979727088786762E-6</v>
      </c>
      <c r="G31" s="85"/>
      <c r="H31" s="64">
        <v>2</v>
      </c>
      <c r="I31" s="64">
        <v>2</v>
      </c>
      <c r="J31" s="64">
        <v>2</v>
      </c>
      <c r="K31" s="65">
        <f t="shared" si="1"/>
        <v>2</v>
      </c>
      <c r="L31" s="66">
        <f t="shared" si="2"/>
        <v>1.717608059017013E-5</v>
      </c>
      <c r="M31" s="18"/>
      <c r="N31" s="67">
        <v>368.1365436000001</v>
      </c>
      <c r="O31" s="22"/>
      <c r="P31" s="68">
        <v>392.06541893400009</v>
      </c>
      <c r="Q31" s="22"/>
      <c r="R31" s="68">
        <v>399.90672731268012</v>
      </c>
      <c r="S31" s="69">
        <f t="shared" si="3"/>
        <v>199.95336365634006</v>
      </c>
      <c r="T31" s="46"/>
      <c r="U31" s="68">
        <f t="shared" si="4"/>
        <v>411.90392913206051</v>
      </c>
      <c r="V31" s="68">
        <f t="shared" si="5"/>
        <v>11.997201819380393</v>
      </c>
      <c r="W31" s="71">
        <f t="shared" si="6"/>
        <v>2.9999999999999975E-2</v>
      </c>
      <c r="X31" s="22"/>
      <c r="Y31" s="74">
        <f>'Options 1-3'!AQ22</f>
        <v>1.6394892193042698</v>
      </c>
      <c r="Z31" s="75">
        <f t="shared" si="7"/>
        <v>-410.26443991275625</v>
      </c>
      <c r="AA31" s="69">
        <f t="shared" si="8"/>
        <v>0.81974460965213491</v>
      </c>
      <c r="AB31" s="22"/>
      <c r="AC31" s="76">
        <v>3.7680246679999327</v>
      </c>
      <c r="AD31" s="75">
        <f t="shared" si="9"/>
        <v>-408.13590446406056</v>
      </c>
      <c r="AE31" s="69">
        <f t="shared" si="10"/>
        <v>1.8840123339999664</v>
      </c>
      <c r="AF31" s="69">
        <f t="shared" si="11"/>
        <v>1.8840123339999664</v>
      </c>
      <c r="AG31" s="77"/>
      <c r="AH31" s="76">
        <f>SUM('Options 1-3'!T22*Summary!$AH$3)</f>
        <v>1969.45</v>
      </c>
      <c r="AI31" s="75">
        <f t="shared" si="12"/>
        <v>1557.5460708679395</v>
      </c>
      <c r="AJ31" s="22"/>
      <c r="AK31" s="74">
        <f>'Op4'!AQ22</f>
        <v>618.82800863933005</v>
      </c>
      <c r="AL31" s="75">
        <f t="shared" si="13"/>
        <v>206.92407950726954</v>
      </c>
      <c r="AM31" s="22"/>
      <c r="AN31" s="74">
        <f>'Op5'!AQ22</f>
        <v>496.91261942081496</v>
      </c>
      <c r="AO31" s="75">
        <f t="shared" si="14"/>
        <v>85.008690288754451</v>
      </c>
      <c r="AP31" s="22"/>
      <c r="AQ31" s="74">
        <f>'Op6'!AQ22</f>
        <v>1922.6154772912719</v>
      </c>
      <c r="AR31" s="75">
        <f t="shared" si="15"/>
        <v>1510.7115481592114</v>
      </c>
      <c r="AS31" s="22"/>
      <c r="AT31" s="74">
        <f>'Op7'!AQ22</f>
        <v>496.91261942081496</v>
      </c>
      <c r="AU31" s="75">
        <f t="shared" si="16"/>
        <v>85.008690288754451</v>
      </c>
      <c r="AV31" s="22"/>
      <c r="AW31" s="93">
        <f>'Op8'!AQ22</f>
        <v>1004.9576932183002</v>
      </c>
      <c r="AX31" s="75">
        <f t="shared" si="17"/>
        <v>593.05376408623965</v>
      </c>
      <c r="AY31" s="75"/>
      <c r="AZ31" s="93">
        <v>1094.104478269747</v>
      </c>
      <c r="BA31" s="75">
        <v>694.19775095706689</v>
      </c>
      <c r="BB31" s="75"/>
      <c r="BC31" s="75">
        <v>915.88192170283025</v>
      </c>
      <c r="BD31" s="75">
        <v>515.97519439015014</v>
      </c>
      <c r="BE31" s="75"/>
      <c r="BF31" s="93">
        <v>1262.0472668624373</v>
      </c>
      <c r="BG31" s="75">
        <v>862.14053954975714</v>
      </c>
      <c r="BH31" s="75"/>
      <c r="BI31" s="93">
        <v>1261.9052397904836</v>
      </c>
      <c r="BJ31" s="75">
        <v>861.9985124778035</v>
      </c>
      <c r="BK31" s="93">
        <v>1729.9189287547106</v>
      </c>
      <c r="BL31" s="75">
        <v>1330.0122014420303</v>
      </c>
      <c r="BM31" s="75"/>
      <c r="BN31" s="93">
        <v>1686.0695367004928</v>
      </c>
      <c r="BO31" s="75">
        <v>1286.1628093878126</v>
      </c>
      <c r="BP31" s="75"/>
      <c r="BQ31" s="22"/>
      <c r="BR31" s="74">
        <f>'Op9'!AQ22</f>
        <v>980.93161855509584</v>
      </c>
      <c r="BS31" s="75">
        <f t="shared" si="18"/>
        <v>569.02768942303533</v>
      </c>
      <c r="BT31" s="22"/>
      <c r="BU31" s="74">
        <v>1093.5665390159688</v>
      </c>
      <c r="BV31" s="75">
        <v>693.65981170328871</v>
      </c>
      <c r="BW31" s="22"/>
      <c r="BX31" s="74">
        <v>915.25432590675541</v>
      </c>
      <c r="BY31" s="75">
        <v>515.34759859407529</v>
      </c>
      <c r="BZ31" s="22"/>
      <c r="CA31" s="74">
        <v>1261.4196710663625</v>
      </c>
      <c r="CB31" s="75">
        <v>861.51294375368241</v>
      </c>
      <c r="CC31" s="22"/>
      <c r="CD31" s="74">
        <v>1261.4569570790015</v>
      </c>
      <c r="CE31" s="75">
        <v>861.55022976632142</v>
      </c>
      <c r="CF31" s="22"/>
      <c r="CG31" s="74">
        <v>1729.0243419724682</v>
      </c>
      <c r="CH31" s="75">
        <v>1329.1176146597882</v>
      </c>
      <c r="CI31" s="22"/>
      <c r="CJ31" s="74">
        <v>1685.1709926368071</v>
      </c>
      <c r="CK31" s="75">
        <v>1285.2642653241269</v>
      </c>
    </row>
    <row r="32" spans="1:89" ht="15.75" customHeight="1" x14ac:dyDescent="0.5">
      <c r="A32" s="83" t="s">
        <v>110</v>
      </c>
      <c r="B32" s="59" t="s">
        <v>111</v>
      </c>
      <c r="C32" s="85" t="s">
        <v>72</v>
      </c>
      <c r="D32" s="85"/>
      <c r="E32" s="62">
        <f>'Avg master'!H21</f>
        <v>25969.333333333332</v>
      </c>
      <c r="F32" s="66">
        <f t="shared" si="0"/>
        <v>9.6060209633886645E-2</v>
      </c>
      <c r="G32" s="85"/>
      <c r="H32" s="64">
        <v>8260</v>
      </c>
      <c r="I32" s="64">
        <v>8110</v>
      </c>
      <c r="J32" s="64">
        <v>5911</v>
      </c>
      <c r="K32" s="65">
        <f t="shared" si="1"/>
        <v>7427</v>
      </c>
      <c r="L32" s="66">
        <f t="shared" si="2"/>
        <v>6.3783375271596776E-2</v>
      </c>
      <c r="M32" s="18"/>
      <c r="N32" s="67">
        <v>12271.218120000003</v>
      </c>
      <c r="O32" s="22"/>
      <c r="P32" s="68">
        <v>13068.847297800003</v>
      </c>
      <c r="Q32" s="22"/>
      <c r="R32" s="68">
        <v>13330.224243756003</v>
      </c>
      <c r="S32" s="69">
        <f t="shared" si="3"/>
        <v>0.51330637073558572</v>
      </c>
      <c r="T32" s="46"/>
      <c r="U32" s="68">
        <f t="shared" si="4"/>
        <v>13730.130971068684</v>
      </c>
      <c r="V32" s="68">
        <f t="shared" si="5"/>
        <v>399.90672731268023</v>
      </c>
      <c r="W32" s="71">
        <f t="shared" si="6"/>
        <v>3.0000000000000009E-2</v>
      </c>
      <c r="X32" s="22"/>
      <c r="Y32" s="74">
        <f>'Options 1-3'!AQ23</f>
        <v>21288.221016259507</v>
      </c>
      <c r="Z32" s="75">
        <f t="shared" si="7"/>
        <v>7558.0900451908237</v>
      </c>
      <c r="AA32" s="69">
        <f t="shared" si="8"/>
        <v>0.81974460965213491</v>
      </c>
      <c r="AB32" s="22"/>
      <c r="AC32" s="76">
        <v>13992.559604617751</v>
      </c>
      <c r="AD32" s="75">
        <f t="shared" si="9"/>
        <v>262.42863354906694</v>
      </c>
      <c r="AE32" s="69">
        <f t="shared" si="10"/>
        <v>0.53881088994523352</v>
      </c>
      <c r="AF32" s="69">
        <f t="shared" si="11"/>
        <v>1.8840123339999664</v>
      </c>
      <c r="AG32" s="77"/>
      <c r="AH32" s="76">
        <f>SUM('Options 1-3'!T23*Summary!$AH$3)</f>
        <v>5816.4975000000004</v>
      </c>
      <c r="AI32" s="75">
        <f t="shared" si="12"/>
        <v>-7913.6334710686833</v>
      </c>
      <c r="AJ32" s="22"/>
      <c r="AK32" s="74">
        <f>'Op4'!AQ23</f>
        <v>12630.55070715188</v>
      </c>
      <c r="AL32" s="75">
        <f t="shared" si="13"/>
        <v>-1099.5802639168032</v>
      </c>
      <c r="AM32" s="22"/>
      <c r="AN32" s="74">
        <f>'Op5'!AQ23</f>
        <v>13094.702136127788</v>
      </c>
      <c r="AO32" s="75">
        <f t="shared" si="14"/>
        <v>-635.42883494089619</v>
      </c>
      <c r="AP32" s="22"/>
      <c r="AQ32" s="74">
        <f>'Op6'!AQ23</f>
        <v>7173.6016881145542</v>
      </c>
      <c r="AR32" s="75">
        <f t="shared" si="15"/>
        <v>-6556.5292829541295</v>
      </c>
      <c r="AS32" s="22"/>
      <c r="AT32" s="74">
        <f>'Op7'!AQ23</f>
        <v>13094.702136127788</v>
      </c>
      <c r="AU32" s="75">
        <f t="shared" si="16"/>
        <v>-635.42883494089619</v>
      </c>
      <c r="AV32" s="22"/>
      <c r="AW32" s="74">
        <f>'Op8'!AQ23</f>
        <v>10682.389578624101</v>
      </c>
      <c r="AX32" s="75">
        <f t="shared" si="17"/>
        <v>-3047.7413924445827</v>
      </c>
      <c r="AY32" s="75"/>
      <c r="AZ32" s="74">
        <v>10607.404214228191</v>
      </c>
      <c r="BA32" s="75">
        <v>-2722.8200295278129</v>
      </c>
      <c r="BB32" s="75"/>
      <c r="BC32" s="75">
        <v>10856.688038986107</v>
      </c>
      <c r="BD32" s="75">
        <v>-2473.5362047698964</v>
      </c>
      <c r="BE32" s="75"/>
      <c r="BF32" s="74">
        <v>10208.743449419038</v>
      </c>
      <c r="BG32" s="75">
        <v>-3121.4807943369651</v>
      </c>
      <c r="BH32" s="75"/>
      <c r="BI32" s="74">
        <v>10010.117257486847</v>
      </c>
      <c r="BJ32" s="75">
        <v>-3320.1069862691566</v>
      </c>
      <c r="BK32" s="74">
        <v>9661.6458620068297</v>
      </c>
      <c r="BL32" s="75">
        <v>-3668.5783817491738</v>
      </c>
      <c r="BM32" s="75"/>
      <c r="BN32" s="74">
        <v>10601.865968668702</v>
      </c>
      <c r="BO32" s="75">
        <v>-2728.3582750873011</v>
      </c>
      <c r="BP32" s="75"/>
      <c r="BQ32" s="22"/>
      <c r="BR32" s="74">
        <f>'Op9'!AQ23</f>
        <v>12968.694258859319</v>
      </c>
      <c r="BS32" s="75">
        <f t="shared" si="18"/>
        <v>-761.43671220936449</v>
      </c>
      <c r="BT32" s="22"/>
      <c r="BU32" s="74">
        <v>12300.36845889928</v>
      </c>
      <c r="BV32" s="75">
        <v>-1029.8557848567234</v>
      </c>
      <c r="BW32" s="22"/>
      <c r="BX32" s="74">
        <v>12831.812991102379</v>
      </c>
      <c r="BY32" s="75">
        <v>-498.41125265362462</v>
      </c>
      <c r="BZ32" s="22"/>
      <c r="CA32" s="74">
        <v>12183.868401535306</v>
      </c>
      <c r="CB32" s="75">
        <v>-1146.355842220697</v>
      </c>
      <c r="CC32" s="22"/>
      <c r="CD32" s="74">
        <v>11420.920794712754</v>
      </c>
      <c r="CE32" s="75">
        <v>-1909.3034490432492</v>
      </c>
      <c r="CF32" s="22"/>
      <c r="CG32" s="74">
        <v>12477.025898793523</v>
      </c>
      <c r="CH32" s="75">
        <v>-853.19834496248041</v>
      </c>
      <c r="CI32" s="22"/>
      <c r="CJ32" s="74">
        <v>13429.700080785642</v>
      </c>
      <c r="CK32" s="75">
        <v>99.475837029638569</v>
      </c>
    </row>
    <row r="33" spans="1:89" ht="15.75" customHeight="1" x14ac:dyDescent="0.5">
      <c r="A33" s="103" t="s">
        <v>112</v>
      </c>
      <c r="B33" s="59" t="s">
        <v>113</v>
      </c>
      <c r="C33" s="91" t="s">
        <v>81</v>
      </c>
      <c r="D33" s="84"/>
      <c r="E33" s="62">
        <f>'Avg master'!H22</f>
        <v>423.33333333333331</v>
      </c>
      <c r="F33" s="66">
        <f t="shared" si="0"/>
        <v>1.5659042233793197E-3</v>
      </c>
      <c r="G33" s="84"/>
      <c r="H33" s="64">
        <v>424</v>
      </c>
      <c r="I33" s="64">
        <v>424</v>
      </c>
      <c r="J33" s="64">
        <v>422</v>
      </c>
      <c r="K33" s="65">
        <f t="shared" si="1"/>
        <v>423.33333333333331</v>
      </c>
      <c r="L33" s="66">
        <f t="shared" si="2"/>
        <v>3.635603724919344E-3</v>
      </c>
      <c r="M33" s="18"/>
      <c r="N33" s="67">
        <v>1227.1218120000001</v>
      </c>
      <c r="O33" s="22"/>
      <c r="P33" s="68">
        <v>1306.88472978</v>
      </c>
      <c r="Q33" s="22"/>
      <c r="R33" s="68">
        <v>1333.0224243756002</v>
      </c>
      <c r="S33" s="69">
        <f t="shared" si="3"/>
        <v>3.1488718686037802</v>
      </c>
      <c r="T33" s="46"/>
      <c r="U33" s="68">
        <f t="shared" si="4"/>
        <v>1373.0130971068681</v>
      </c>
      <c r="V33" s="68">
        <f t="shared" si="5"/>
        <v>39.990672731267978</v>
      </c>
      <c r="W33" s="71">
        <f t="shared" si="6"/>
        <v>2.9999999999999978E-2</v>
      </c>
      <c r="X33" s="22"/>
      <c r="Y33" s="74">
        <f>'Options 1-3'!AQ24</f>
        <v>347.02521808607042</v>
      </c>
      <c r="Z33" s="75">
        <f t="shared" si="7"/>
        <v>-1025.9878790207977</v>
      </c>
      <c r="AA33" s="69">
        <f t="shared" si="8"/>
        <v>0.81974460965213491</v>
      </c>
      <c r="AB33" s="22"/>
      <c r="AC33" s="76">
        <v>797.56522139331901</v>
      </c>
      <c r="AD33" s="75">
        <f t="shared" si="9"/>
        <v>-575.44787571354914</v>
      </c>
      <c r="AE33" s="69">
        <f t="shared" si="10"/>
        <v>1.8840123339999661</v>
      </c>
      <c r="AF33" s="69">
        <f t="shared" si="11"/>
        <v>1.8840123339999661</v>
      </c>
      <c r="AG33" s="77"/>
      <c r="AH33" s="76">
        <f>SUM('Options 1-3'!T24*Summary!$AH$3)</f>
        <v>1365.5405000000001</v>
      </c>
      <c r="AI33" s="75">
        <f t="shared" si="12"/>
        <v>-7.4725971068680792</v>
      </c>
      <c r="AJ33" s="22"/>
      <c r="AK33" s="74">
        <f>'Op4'!AQ24</f>
        <v>1300.4359768063273</v>
      </c>
      <c r="AL33" s="75">
        <f t="shared" si="13"/>
        <v>-72.577120300540855</v>
      </c>
      <c r="AM33" s="22"/>
      <c r="AN33" s="74">
        <f>'Op5'!AQ24</f>
        <v>1142.3212824121028</v>
      </c>
      <c r="AO33" s="75">
        <f t="shared" si="14"/>
        <v>-230.6918146947653</v>
      </c>
      <c r="AP33" s="22"/>
      <c r="AQ33" s="74">
        <f>'Op6'!AQ24</f>
        <v>1554.7820244851432</v>
      </c>
      <c r="AR33" s="75">
        <f t="shared" si="15"/>
        <v>181.76892737827507</v>
      </c>
      <c r="AS33" s="22"/>
      <c r="AT33" s="74">
        <f>'Op7'!AQ24</f>
        <v>1142.3212824121028</v>
      </c>
      <c r="AU33" s="75">
        <f t="shared" si="16"/>
        <v>-230.6918146947653</v>
      </c>
      <c r="AV33" s="22"/>
      <c r="AW33" s="74">
        <f>'Op8'!AQ24</f>
        <v>1231.8622465270537</v>
      </c>
      <c r="AX33" s="75">
        <f t="shared" si="17"/>
        <v>-141.15085057981446</v>
      </c>
      <c r="AY33" s="75"/>
      <c r="AZ33" s="74">
        <v>1346.7744956926501</v>
      </c>
      <c r="BA33" s="75">
        <v>13.752071317049968</v>
      </c>
      <c r="BB33" s="75"/>
      <c r="BC33" s="75">
        <v>1141.397208697008</v>
      </c>
      <c r="BD33" s="75">
        <v>-191.62521567859221</v>
      </c>
      <c r="BE33" s="75"/>
      <c r="BF33" s="74">
        <v>1468.6409228843663</v>
      </c>
      <c r="BG33" s="75">
        <v>135.61849850876615</v>
      </c>
      <c r="BH33" s="75"/>
      <c r="BI33" s="74">
        <v>1419.7465002132647</v>
      </c>
      <c r="BJ33" s="75">
        <v>86.724075837664486</v>
      </c>
      <c r="BK33" s="74">
        <v>2113.2217457410115</v>
      </c>
      <c r="BL33" s="75">
        <v>780.19932136541138</v>
      </c>
      <c r="BM33" s="75"/>
      <c r="BN33" s="74">
        <v>2119.8658596969908</v>
      </c>
      <c r="BO33" s="75">
        <v>786.84343532139064</v>
      </c>
      <c r="BP33" s="75"/>
      <c r="BQ33" s="22"/>
      <c r="BR33" s="74">
        <f>'Op9'!AQ24</f>
        <v>1116.8492859401217</v>
      </c>
      <c r="BS33" s="75">
        <f t="shared" si="18"/>
        <v>-256.16381116674643</v>
      </c>
      <c r="BT33" s="22"/>
      <c r="BU33" s="74">
        <v>1232.9106869762145</v>
      </c>
      <c r="BV33" s="75">
        <v>-100.11173739938567</v>
      </c>
      <c r="BW33" s="22"/>
      <c r="BX33" s="74">
        <v>1008.5560985278329</v>
      </c>
      <c r="BY33" s="75">
        <v>-324.46632584776728</v>
      </c>
      <c r="BZ33" s="22"/>
      <c r="CA33" s="74">
        <v>1335.7998127151914</v>
      </c>
      <c r="CB33" s="75">
        <v>2.777388339591198</v>
      </c>
      <c r="CC33" s="22"/>
      <c r="CD33" s="74">
        <v>1324.8599929495683</v>
      </c>
      <c r="CE33" s="75">
        <v>-8.1624314260318442</v>
      </c>
      <c r="CF33" s="22"/>
      <c r="CG33" s="74">
        <v>1923.8675434997047</v>
      </c>
      <c r="CH33" s="75">
        <v>590.84511912410449</v>
      </c>
      <c r="CI33" s="22"/>
      <c r="CJ33" s="74">
        <v>1929.6740328835126</v>
      </c>
      <c r="CK33" s="75">
        <v>596.65160850791244</v>
      </c>
    </row>
    <row r="34" spans="1:89" ht="15.75" customHeight="1" x14ac:dyDescent="0.5">
      <c r="A34" s="83" t="s">
        <v>114</v>
      </c>
      <c r="B34" s="59" t="s">
        <v>115</v>
      </c>
      <c r="C34" s="85" t="s">
        <v>72</v>
      </c>
      <c r="D34" s="85"/>
      <c r="E34" s="62">
        <f>'Avg master'!H23</f>
        <v>25311.666666666668</v>
      </c>
      <c r="F34" s="66">
        <f t="shared" si="0"/>
        <v>9.362750960811704E-2</v>
      </c>
      <c r="G34" s="85"/>
      <c r="H34" s="64">
        <v>13810</v>
      </c>
      <c r="I34" s="64">
        <v>10427</v>
      </c>
      <c r="J34" s="64">
        <v>8092</v>
      </c>
      <c r="K34" s="65">
        <f t="shared" si="1"/>
        <v>10776.333333333334</v>
      </c>
      <c r="L34" s="66">
        <f t="shared" si="2"/>
        <v>9.2547584899935018E-2</v>
      </c>
      <c r="M34" s="18"/>
      <c r="N34" s="67">
        <v>12271.218120000003</v>
      </c>
      <c r="O34" s="22"/>
      <c r="P34" s="68">
        <v>13068.847297800003</v>
      </c>
      <c r="Q34" s="22"/>
      <c r="R34" s="68">
        <v>13330.224243756003</v>
      </c>
      <c r="S34" s="69">
        <f t="shared" si="3"/>
        <v>0.52664348102018843</v>
      </c>
      <c r="T34" s="46"/>
      <c r="U34" s="68">
        <f t="shared" si="4"/>
        <v>13730.130971068684</v>
      </c>
      <c r="V34" s="68">
        <f t="shared" si="5"/>
        <v>399.90672731268023</v>
      </c>
      <c r="W34" s="71">
        <f t="shared" si="6"/>
        <v>3.0000000000000009E-2</v>
      </c>
      <c r="X34" s="22"/>
      <c r="Y34" s="74">
        <f>'Options 1-3'!AQ25</f>
        <v>20749.102311311621</v>
      </c>
      <c r="Z34" s="75">
        <f t="shared" si="7"/>
        <v>7018.971340242937</v>
      </c>
      <c r="AA34" s="69">
        <f t="shared" si="8"/>
        <v>0.8197446096521348</v>
      </c>
      <c r="AB34" s="22"/>
      <c r="AC34" s="76">
        <v>20302.74491529497</v>
      </c>
      <c r="AD34" s="75">
        <f t="shared" si="9"/>
        <v>6572.6139442262865</v>
      </c>
      <c r="AE34" s="69">
        <f t="shared" si="10"/>
        <v>0.80211015665878593</v>
      </c>
      <c r="AF34" s="69">
        <f t="shared" si="11"/>
        <v>1.8840123339999661</v>
      </c>
      <c r="AG34" s="77"/>
      <c r="AH34" s="76">
        <f>SUM('Options 1-3'!T25*Summary!$AH$3)</f>
        <v>12751.444000000001</v>
      </c>
      <c r="AI34" s="75">
        <f t="shared" si="12"/>
        <v>-978.6869710686824</v>
      </c>
      <c r="AJ34" s="22"/>
      <c r="AK34" s="74">
        <f>'Op4'!AQ25</f>
        <v>18048.902656631304</v>
      </c>
      <c r="AL34" s="75">
        <f t="shared" si="13"/>
        <v>4318.7716855626204</v>
      </c>
      <c r="AM34" s="22"/>
      <c r="AN34" s="74">
        <f>'Op5'!AQ25</f>
        <v>20060.394246784796</v>
      </c>
      <c r="AO34" s="75">
        <f t="shared" si="14"/>
        <v>6330.2632757161118</v>
      </c>
      <c r="AP34" s="22"/>
      <c r="AQ34" s="74">
        <f>'Op6'!AQ25</f>
        <v>14596.471553356074</v>
      </c>
      <c r="AR34" s="75">
        <f t="shared" si="15"/>
        <v>866.34058228739013</v>
      </c>
      <c r="AS34" s="22"/>
      <c r="AT34" s="74">
        <f>'Op7'!AQ25</f>
        <v>20060.394246784796</v>
      </c>
      <c r="AU34" s="75">
        <f t="shared" si="16"/>
        <v>6330.2632757161118</v>
      </c>
      <c r="AV34" s="22"/>
      <c r="AW34" s="74">
        <f>'Op8'!AQ25</f>
        <v>19165.320756940051</v>
      </c>
      <c r="AX34" s="75">
        <f t="shared" si="17"/>
        <v>5435.1897858713673</v>
      </c>
      <c r="AY34" s="75"/>
      <c r="AZ34" s="74">
        <v>18794.459743660827</v>
      </c>
      <c r="BA34" s="75">
        <v>5464.2354999048239</v>
      </c>
      <c r="BB34" s="75"/>
      <c r="BC34" s="75">
        <v>19355.728006480778</v>
      </c>
      <c r="BD34" s="75">
        <v>6025.5037627247748</v>
      </c>
      <c r="BE34" s="75"/>
      <c r="BF34" s="74">
        <v>17610.284017924299</v>
      </c>
      <c r="BG34" s="75">
        <v>4280.0597741682959</v>
      </c>
      <c r="BH34" s="75"/>
      <c r="BI34" s="74">
        <v>17971.1915454013</v>
      </c>
      <c r="BJ34" s="75">
        <v>4640.9673016452962</v>
      </c>
      <c r="BK34" s="74">
        <v>15133.071393219685</v>
      </c>
      <c r="BL34" s="75">
        <v>1802.8471494636815</v>
      </c>
      <c r="BM34" s="75"/>
      <c r="BN34" s="74">
        <v>15296.163927405654</v>
      </c>
      <c r="BO34" s="75">
        <v>1965.9396836496508</v>
      </c>
      <c r="BP34" s="75"/>
      <c r="BQ34" s="22"/>
      <c r="BR34" s="74">
        <f>'Op9'!AQ25</f>
        <v>19316.311817577178</v>
      </c>
      <c r="BS34" s="75">
        <f t="shared" si="18"/>
        <v>5586.1808465084941</v>
      </c>
      <c r="BT34" s="22"/>
      <c r="BU34" s="74">
        <v>18861.889150159896</v>
      </c>
      <c r="BV34" s="75">
        <v>5531.664906403892</v>
      </c>
      <c r="BW34" s="22"/>
      <c r="BX34" s="74">
        <v>19434.395647396359</v>
      </c>
      <c r="BY34" s="75">
        <v>6104.1714036403555</v>
      </c>
      <c r="BZ34" s="22"/>
      <c r="CA34" s="74">
        <v>17688.95165883988</v>
      </c>
      <c r="CB34" s="75">
        <v>4358.7274150838766</v>
      </c>
      <c r="CC34" s="22"/>
      <c r="CD34" s="74">
        <v>18027.382717483859</v>
      </c>
      <c r="CE34" s="75">
        <v>4697.1584737278554</v>
      </c>
      <c r="CF34" s="22"/>
      <c r="CG34" s="74">
        <v>15245.205719474605</v>
      </c>
      <c r="CH34" s="75">
        <v>1914.9814757186014</v>
      </c>
      <c r="CI34" s="22"/>
      <c r="CJ34" s="74">
        <v>15408.794289480971</v>
      </c>
      <c r="CK34" s="75">
        <v>2078.5700457249677</v>
      </c>
    </row>
    <row r="35" spans="1:89" ht="15.75" customHeight="1" x14ac:dyDescent="0.5">
      <c r="A35" s="83" t="s">
        <v>116</v>
      </c>
      <c r="B35" s="59" t="s">
        <v>117</v>
      </c>
      <c r="C35" s="104" t="s">
        <v>118</v>
      </c>
      <c r="D35" s="85"/>
      <c r="E35" s="62">
        <f>'Avg master'!H24</f>
        <v>2288.3333333333335</v>
      </c>
      <c r="F35" s="66">
        <f t="shared" si="0"/>
        <v>8.4645137744086864E-3</v>
      </c>
      <c r="G35" s="85"/>
      <c r="H35" s="64">
        <v>2373</v>
      </c>
      <c r="I35" s="64">
        <v>2279</v>
      </c>
      <c r="J35" s="64">
        <v>2213</v>
      </c>
      <c r="K35" s="65">
        <f t="shared" si="1"/>
        <v>2288.3333333333335</v>
      </c>
      <c r="L35" s="66">
        <f t="shared" si="2"/>
        <v>1.965229887525299E-2</v>
      </c>
      <c r="M35" s="18"/>
      <c r="N35" s="67">
        <v>2454.2436240000002</v>
      </c>
      <c r="O35" s="22"/>
      <c r="P35" s="68">
        <v>2613.7694595600001</v>
      </c>
      <c r="Q35" s="22"/>
      <c r="R35" s="68">
        <v>2666.0448487512003</v>
      </c>
      <c r="S35" s="69">
        <f t="shared" si="3"/>
        <v>1.1650596571381793</v>
      </c>
      <c r="T35" s="46"/>
      <c r="U35" s="68">
        <f t="shared" si="4"/>
        <v>2746.0261942137363</v>
      </c>
      <c r="V35" s="68">
        <f t="shared" si="5"/>
        <v>79.981345462535955</v>
      </c>
      <c r="W35" s="71">
        <f t="shared" si="6"/>
        <v>2.9999999999999978E-2</v>
      </c>
      <c r="X35" s="22"/>
      <c r="Y35" s="74">
        <f>'Options 1-3'!AQ26</f>
        <v>1875.8489150873022</v>
      </c>
      <c r="Z35" s="75">
        <f t="shared" si="7"/>
        <v>-870.17727912643409</v>
      </c>
      <c r="AA35" s="69">
        <f t="shared" si="8"/>
        <v>0.81974460965213491</v>
      </c>
      <c r="AB35" s="22"/>
      <c r="AC35" s="76">
        <v>4311.2482243032564</v>
      </c>
      <c r="AD35" s="75">
        <f t="shared" si="9"/>
        <v>1565.2220300895201</v>
      </c>
      <c r="AE35" s="69">
        <f t="shared" si="10"/>
        <v>1.8840123339999661</v>
      </c>
      <c r="AF35" s="69">
        <f t="shared" si="11"/>
        <v>1.8840123339999661</v>
      </c>
      <c r="AG35" s="77"/>
      <c r="AH35" s="76">
        <f>SUM('Options 1-3'!T26*Summary!$AH$3)</f>
        <v>3237.3455000000004</v>
      </c>
      <c r="AI35" s="75">
        <f t="shared" si="12"/>
        <v>491.31930578626407</v>
      </c>
      <c r="AJ35" s="22"/>
      <c r="AK35" s="74">
        <f>'Op4'!AQ26</f>
        <v>4317.5218802037562</v>
      </c>
      <c r="AL35" s="75">
        <f t="shared" si="13"/>
        <v>1571.4956859900199</v>
      </c>
      <c r="AM35" s="22"/>
      <c r="AN35" s="74">
        <f>'Op5'!AQ26</f>
        <v>3713.1118756094556</v>
      </c>
      <c r="AO35" s="75">
        <f t="shared" si="14"/>
        <v>967.08568139571935</v>
      </c>
      <c r="AP35" s="22"/>
      <c r="AQ35" s="74">
        <f>'Op6'!AQ26</f>
        <v>2936.9760273438351</v>
      </c>
      <c r="AR35" s="75">
        <f t="shared" si="15"/>
        <v>190.9498331300988</v>
      </c>
      <c r="AS35" s="22"/>
      <c r="AT35" s="74">
        <f>'Op7'!AQ26</f>
        <v>3713.1118756094556</v>
      </c>
      <c r="AU35" s="75">
        <f t="shared" si="16"/>
        <v>967.08568139571935</v>
      </c>
      <c r="AV35" s="22"/>
      <c r="AW35" s="74">
        <f>'Op8'!AQ26</f>
        <v>2590.1797758824537</v>
      </c>
      <c r="AX35" s="75">
        <f t="shared" si="17"/>
        <v>-155.84641833128262</v>
      </c>
      <c r="AY35" s="75"/>
      <c r="AZ35" s="74">
        <v>2625.2325021291595</v>
      </c>
      <c r="BA35" s="75">
        <v>-40.812346622040877</v>
      </c>
      <c r="BB35" s="75"/>
      <c r="BC35" s="75">
        <v>2710.0786457163849</v>
      </c>
      <c r="BD35" s="75">
        <v>44.033796965184592</v>
      </c>
      <c r="BE35" s="75"/>
      <c r="BF35" s="74">
        <v>2998.7771905751133</v>
      </c>
      <c r="BG35" s="75">
        <v>332.73234182391298</v>
      </c>
      <c r="BH35" s="75"/>
      <c r="BI35" s="74">
        <v>2688.8739984138406</v>
      </c>
      <c r="BJ35" s="75">
        <v>22.829149662640248</v>
      </c>
      <c r="BK35" s="74">
        <v>3657.5181076109111</v>
      </c>
      <c r="BL35" s="75">
        <v>991.47325885971077</v>
      </c>
      <c r="BM35" s="75"/>
      <c r="BN35" s="74">
        <v>3620.2731124901902</v>
      </c>
      <c r="BO35" s="75">
        <v>954.22826373898988</v>
      </c>
      <c r="BP35" s="75"/>
      <c r="BQ35" s="22"/>
      <c r="BR35" s="74">
        <f>'Op9'!AQ26</f>
        <v>1940.1353173264031</v>
      </c>
      <c r="BS35" s="75">
        <f t="shared" si="18"/>
        <v>-805.89087688733321</v>
      </c>
      <c r="BT35" s="22"/>
      <c r="BU35" s="74">
        <v>2009.740339264333</v>
      </c>
      <c r="BV35" s="75">
        <v>-656.30450948686735</v>
      </c>
      <c r="BW35" s="22"/>
      <c r="BX35" s="74">
        <v>1992.0044557074202</v>
      </c>
      <c r="BY35" s="75">
        <v>-674.04039304378011</v>
      </c>
      <c r="BZ35" s="22"/>
      <c r="CA35" s="74">
        <v>2280.7030005661491</v>
      </c>
      <c r="CB35" s="75">
        <v>-385.34184818505128</v>
      </c>
      <c r="CC35" s="22"/>
      <c r="CD35" s="74">
        <v>2175.9638626931514</v>
      </c>
      <c r="CE35" s="75">
        <v>-490.08098605804889</v>
      </c>
      <c r="CF35" s="22"/>
      <c r="CG35" s="74">
        <v>2633.9617309285704</v>
      </c>
      <c r="CH35" s="75">
        <v>-32.083117822629902</v>
      </c>
      <c r="CI35" s="22"/>
      <c r="CJ35" s="74">
        <v>2592.1889462897748</v>
      </c>
      <c r="CK35" s="75">
        <v>-73.855902461425558</v>
      </c>
    </row>
    <row r="36" spans="1:89" ht="17.25" customHeight="1" x14ac:dyDescent="0.5">
      <c r="A36" s="105" t="s">
        <v>119</v>
      </c>
      <c r="B36" s="106" t="s">
        <v>120</v>
      </c>
      <c r="C36" s="107" t="s">
        <v>84</v>
      </c>
      <c r="D36" s="85"/>
      <c r="E36" s="62">
        <f>'Avg master'!H25</f>
        <v>128.33333333333334</v>
      </c>
      <c r="F36" s="66">
        <f t="shared" si="0"/>
        <v>4.7470324881971509E-4</v>
      </c>
      <c r="G36" s="85"/>
      <c r="H36" s="64">
        <v>131</v>
      </c>
      <c r="I36" s="64">
        <v>128</v>
      </c>
      <c r="J36" s="64">
        <v>126</v>
      </c>
      <c r="K36" s="65">
        <f t="shared" si="1"/>
        <v>128.33333333333334</v>
      </c>
      <c r="L36" s="66">
        <f t="shared" si="2"/>
        <v>1.10213183786925E-3</v>
      </c>
      <c r="M36" s="18"/>
      <c r="N36" s="67">
        <v>923.26307760000009</v>
      </c>
      <c r="O36" s="22"/>
      <c r="P36" s="68">
        <v>983.275177644</v>
      </c>
      <c r="Q36" s="22"/>
      <c r="R36" s="68">
        <v>1002.9406811968801</v>
      </c>
      <c r="S36" s="69">
        <f t="shared" si="3"/>
        <v>7.8151221911445194</v>
      </c>
      <c r="T36" s="46"/>
      <c r="U36" s="68">
        <f t="shared" si="4"/>
        <v>1033.0289016327865</v>
      </c>
      <c r="V36" s="68">
        <f t="shared" si="5"/>
        <v>30.088220435906464</v>
      </c>
      <c r="W36" s="71">
        <f t="shared" si="6"/>
        <v>3.0000000000000061E-2</v>
      </c>
      <c r="X36" s="22"/>
      <c r="Y36" s="74">
        <f>'Options 1-3'!AQ27</f>
        <v>105.20055823869065</v>
      </c>
      <c r="Z36" s="75">
        <f t="shared" si="7"/>
        <v>-927.8283433940959</v>
      </c>
      <c r="AA36" s="69">
        <f t="shared" si="8"/>
        <v>0.8197446096521348</v>
      </c>
      <c r="AB36" s="22"/>
      <c r="AC36" s="76">
        <v>241.78158286332902</v>
      </c>
      <c r="AD36" s="75">
        <f t="shared" si="9"/>
        <v>-791.24731876945748</v>
      </c>
      <c r="AE36" s="69">
        <f t="shared" si="10"/>
        <v>1.8840123339999661</v>
      </c>
      <c r="AF36" s="69">
        <f t="shared" si="11"/>
        <v>1.8840123339999661</v>
      </c>
      <c r="AG36" s="77"/>
      <c r="AH36" s="76">
        <f>SUM('Options 1-3'!T27*Summary!$AH$3)</f>
        <v>1848.4695000000002</v>
      </c>
      <c r="AI36" s="75">
        <f t="shared" si="12"/>
        <v>815.44059836721362</v>
      </c>
      <c r="AJ36" s="22"/>
      <c r="AK36" s="74">
        <f>'Op4'!AQ27</f>
        <v>823.20254972737746</v>
      </c>
      <c r="AL36" s="75">
        <f t="shared" si="13"/>
        <v>-209.82635190540907</v>
      </c>
      <c r="AM36" s="22"/>
      <c r="AN36" s="74">
        <f>'Op5'!AQ27</f>
        <v>698.7167079468685</v>
      </c>
      <c r="AO36" s="75">
        <f t="shared" si="14"/>
        <v>-334.31219368591803</v>
      </c>
      <c r="AP36" s="22"/>
      <c r="AQ36" s="74">
        <f>'Op6'!AQ27</f>
        <v>1864.1951936529108</v>
      </c>
      <c r="AR36" s="75">
        <f t="shared" si="15"/>
        <v>831.16629202012427</v>
      </c>
      <c r="AS36" s="22"/>
      <c r="AT36" s="74">
        <f>'Op7'!AQ27</f>
        <v>698.7167079468685</v>
      </c>
      <c r="AU36" s="75">
        <f t="shared" si="16"/>
        <v>-334.31219368591803</v>
      </c>
      <c r="AV36" s="22"/>
      <c r="AW36" s="74">
        <f>'Op8'!AQ27</f>
        <v>1119.3596690964487</v>
      </c>
      <c r="AX36" s="75">
        <f t="shared" si="17"/>
        <v>86.330767463662141</v>
      </c>
      <c r="AY36" s="75"/>
      <c r="AZ36" s="74">
        <v>1213.6680201296558</v>
      </c>
      <c r="BA36" s="75">
        <v>210.72733893277575</v>
      </c>
      <c r="BB36" s="75"/>
      <c r="BC36" s="75">
        <v>1027.7935146961029</v>
      </c>
      <c r="BD36" s="75">
        <v>24.852833499222811</v>
      </c>
      <c r="BE36" s="75"/>
      <c r="BF36" s="74">
        <v>1359.0097259936567</v>
      </c>
      <c r="BG36" s="75">
        <v>356.06904479677667</v>
      </c>
      <c r="BH36" s="75"/>
      <c r="BI36" s="74">
        <v>1353.5253327279338</v>
      </c>
      <c r="BJ36" s="75">
        <v>350.58465153105374</v>
      </c>
      <c r="BK36" s="74">
        <v>1833.2288593409776</v>
      </c>
      <c r="BL36" s="75">
        <v>830.28817814409751</v>
      </c>
      <c r="BM36" s="75"/>
      <c r="BN36" s="74">
        <v>1844.3272827755768</v>
      </c>
      <c r="BO36" s="75">
        <v>841.38660157869674</v>
      </c>
      <c r="BP36" s="75"/>
      <c r="BQ36" s="22"/>
      <c r="BR36" s="74">
        <f>'Op9'!AQ27</f>
        <v>1088.0398474979088</v>
      </c>
      <c r="BS36" s="75">
        <f t="shared" si="18"/>
        <v>55.010945865122267</v>
      </c>
      <c r="BT36" s="22"/>
      <c r="BU36" s="74">
        <v>1179.1502513455396</v>
      </c>
      <c r="BV36" s="75">
        <v>176.20957014865951</v>
      </c>
      <c r="BW36" s="22"/>
      <c r="BX36" s="74">
        <v>987.52278444796718</v>
      </c>
      <c r="BY36" s="75">
        <v>-15.417896748912881</v>
      </c>
      <c r="BZ36" s="22"/>
      <c r="CA36" s="74">
        <v>1318.7389957455212</v>
      </c>
      <c r="CB36" s="75">
        <v>315.79831454864109</v>
      </c>
      <c r="CC36" s="22"/>
      <c r="CD36" s="74">
        <v>1324.7605254078371</v>
      </c>
      <c r="CE36" s="75">
        <v>321.81984421095706</v>
      </c>
      <c r="CF36" s="22"/>
      <c r="CG36" s="74">
        <v>1775.826207480424</v>
      </c>
      <c r="CH36" s="75">
        <v>772.88552628354398</v>
      </c>
      <c r="CI36" s="22"/>
      <c r="CJ36" s="74">
        <v>1786.6707053557429</v>
      </c>
      <c r="CK36" s="75">
        <v>783.73002415886288</v>
      </c>
    </row>
    <row r="37" spans="1:89" ht="15.75" customHeight="1" x14ac:dyDescent="0.5">
      <c r="A37" s="108" t="s">
        <v>121</v>
      </c>
      <c r="B37" s="106" t="s">
        <v>122</v>
      </c>
      <c r="C37" s="109" t="s">
        <v>69</v>
      </c>
      <c r="D37" s="61"/>
      <c r="E37" s="62">
        <f>'Avg master'!H26</f>
        <v>860</v>
      </c>
      <c r="F37" s="66">
        <f t="shared" si="0"/>
        <v>3.1811282648178305E-3</v>
      </c>
      <c r="G37" s="61"/>
      <c r="H37" s="64">
        <v>385</v>
      </c>
      <c r="I37" s="64">
        <v>316</v>
      </c>
      <c r="J37" s="64">
        <v>237</v>
      </c>
      <c r="K37" s="65">
        <f t="shared" si="1"/>
        <v>312.66666666666669</v>
      </c>
      <c r="L37" s="66">
        <f t="shared" si="2"/>
        <v>2.6851939322632638E-3</v>
      </c>
      <c r="M37" s="18"/>
      <c r="N37" s="110"/>
      <c r="O37" s="22"/>
      <c r="P37" s="111">
        <v>1568.7449999999999</v>
      </c>
      <c r="Q37" s="22"/>
      <c r="R37" s="111">
        <v>1600.1198999999999</v>
      </c>
      <c r="S37" s="69">
        <f t="shared" si="3"/>
        <v>1.8606045348837208</v>
      </c>
      <c r="T37" s="46"/>
      <c r="U37" s="68">
        <f t="shared" si="4"/>
        <v>1648.123497</v>
      </c>
      <c r="V37" s="68">
        <f t="shared" si="5"/>
        <v>48.003597000000127</v>
      </c>
      <c r="W37" s="71">
        <f t="shared" si="6"/>
        <v>3.0000000000000082E-2</v>
      </c>
      <c r="X37" s="22"/>
      <c r="Y37" s="74">
        <f>'Options 1-3'!AQ28</f>
        <v>704.98036430083596</v>
      </c>
      <c r="Z37" s="75">
        <f t="shared" si="7"/>
        <v>-943.14313269916408</v>
      </c>
      <c r="AA37" s="69">
        <f t="shared" si="8"/>
        <v>0.8197446096521348</v>
      </c>
      <c r="AB37" s="22"/>
      <c r="AC37" s="76">
        <v>589.06785643065621</v>
      </c>
      <c r="AD37" s="75">
        <f t="shared" si="9"/>
        <v>-1059.0556405693437</v>
      </c>
      <c r="AE37" s="69">
        <f t="shared" si="10"/>
        <v>0.68496262375657702</v>
      </c>
      <c r="AF37" s="69">
        <f t="shared" si="11"/>
        <v>1.8840123339999664</v>
      </c>
      <c r="AG37" s="77"/>
      <c r="AH37" s="76">
        <f>SUM('Options 1-3'!T28*Summary!$AH$3)</f>
        <v>662</v>
      </c>
      <c r="AI37" s="75">
        <f t="shared" si="12"/>
        <v>-986.12349700000004</v>
      </c>
      <c r="AJ37" s="22"/>
      <c r="AK37" s="74">
        <f>'Op4'!AQ28</f>
        <v>1121.4060358004388</v>
      </c>
      <c r="AL37" s="75">
        <f t="shared" si="13"/>
        <v>-526.71746119956128</v>
      </c>
      <c r="AM37" s="22"/>
      <c r="AN37" s="74">
        <f>'Op5'!AQ28</f>
        <v>1171.5317921722335</v>
      </c>
      <c r="AO37" s="75">
        <f t="shared" si="14"/>
        <v>-476.59170482776653</v>
      </c>
      <c r="AP37" s="22"/>
      <c r="AQ37" s="74">
        <f>'Op6'!AQ28</f>
        <v>1224.8064096300852</v>
      </c>
      <c r="AR37" s="75">
        <f t="shared" si="15"/>
        <v>-423.31708736991482</v>
      </c>
      <c r="AS37" s="22"/>
      <c r="AT37" s="74">
        <f>'Op7'!AQ28</f>
        <v>1171.5317921722335</v>
      </c>
      <c r="AU37" s="75">
        <f t="shared" si="16"/>
        <v>-476.59170482776653</v>
      </c>
      <c r="AV37" s="22"/>
      <c r="AW37" s="74">
        <f>'Op8'!AQ28</f>
        <v>1288.7758970044997</v>
      </c>
      <c r="AX37" s="75">
        <f t="shared" si="17"/>
        <v>-359.34759999550033</v>
      </c>
      <c r="AY37" s="75"/>
      <c r="AZ37" s="74">
        <v>1433.70431168099</v>
      </c>
      <c r="BA37" s="75">
        <v>-166.41558831900988</v>
      </c>
      <c r="BB37" s="75"/>
      <c r="BC37" s="75">
        <v>1151.0738403066525</v>
      </c>
      <c r="BD37" s="75">
        <v>-449.04605969334739</v>
      </c>
      <c r="BE37" s="75"/>
      <c r="BF37" s="74">
        <v>1461.650987670783</v>
      </c>
      <c r="BG37" s="75">
        <v>-138.46891232921689</v>
      </c>
      <c r="BH37" s="75"/>
      <c r="BI37" s="74">
        <v>1447.1982717134977</v>
      </c>
      <c r="BJ37" s="75">
        <v>-152.92162828650225</v>
      </c>
      <c r="BK37" s="74">
        <v>2170.7212188321319</v>
      </c>
      <c r="BL37" s="75">
        <v>570.60131883213194</v>
      </c>
      <c r="BM37" s="75"/>
      <c r="BN37" s="74">
        <v>2245.2230511461921</v>
      </c>
      <c r="BO37" s="75">
        <v>645.1031511461922</v>
      </c>
      <c r="BP37" s="75"/>
      <c r="BQ37" s="22"/>
      <c r="BR37" s="74">
        <f>'Op9'!AQ28</f>
        <v>1351.8854305690702</v>
      </c>
      <c r="BS37" s="75">
        <f t="shared" si="18"/>
        <v>-296.23806643092985</v>
      </c>
      <c r="BT37" s="22"/>
      <c r="BU37" s="74">
        <v>1482.5186599762026</v>
      </c>
      <c r="BV37" s="75">
        <v>-117.60124002379735</v>
      </c>
      <c r="BW37" s="22"/>
      <c r="BX37" s="74">
        <v>1208.0239133177338</v>
      </c>
      <c r="BY37" s="75">
        <v>-392.09598668226613</v>
      </c>
      <c r="BZ37" s="22"/>
      <c r="CA37" s="74">
        <v>1518.6010606818645</v>
      </c>
      <c r="CB37" s="75">
        <v>-81.518839318135406</v>
      </c>
      <c r="CC37" s="22"/>
      <c r="CD37" s="74">
        <v>1487.8768952928415</v>
      </c>
      <c r="CE37" s="75">
        <v>-112.24300470715843</v>
      </c>
      <c r="CF37" s="22"/>
      <c r="CG37" s="74">
        <v>2251.8989177301933</v>
      </c>
      <c r="CH37" s="75">
        <v>651.77901773019335</v>
      </c>
      <c r="CI37" s="22"/>
      <c r="CJ37" s="74">
        <v>2326.7598465655055</v>
      </c>
      <c r="CK37" s="75">
        <v>726.63994656550562</v>
      </c>
    </row>
    <row r="38" spans="1:89" ht="15.75" customHeight="1" x14ac:dyDescent="0.5">
      <c r="A38" s="83" t="s">
        <v>123</v>
      </c>
      <c r="B38" s="90" t="s">
        <v>124</v>
      </c>
      <c r="C38" s="61" t="s">
        <v>89</v>
      </c>
      <c r="D38" s="85"/>
      <c r="E38" s="62">
        <f>'Avg master'!H27</f>
        <v>2</v>
      </c>
      <c r="F38" s="66">
        <f t="shared" si="0"/>
        <v>7.3979727088786762E-6</v>
      </c>
      <c r="G38" s="85"/>
      <c r="H38" s="64">
        <v>2</v>
      </c>
      <c r="I38" s="64">
        <v>2</v>
      </c>
      <c r="J38" s="64">
        <v>2</v>
      </c>
      <c r="K38" s="65">
        <f t="shared" si="1"/>
        <v>2</v>
      </c>
      <c r="L38" s="66">
        <f t="shared" si="2"/>
        <v>1.717608059017013E-5</v>
      </c>
      <c r="M38" s="18"/>
      <c r="N38" s="67">
        <v>368.1365436000001</v>
      </c>
      <c r="O38" s="22"/>
      <c r="P38" s="68">
        <v>392.06541893400009</v>
      </c>
      <c r="Q38" s="22"/>
      <c r="R38" s="68">
        <v>399.90672731268012</v>
      </c>
      <c r="S38" s="69">
        <f t="shared" si="3"/>
        <v>199.95336365634006</v>
      </c>
      <c r="T38" s="46"/>
      <c r="U38" s="68">
        <f t="shared" si="4"/>
        <v>411.90392913206051</v>
      </c>
      <c r="V38" s="68">
        <f t="shared" si="5"/>
        <v>11.997201819380393</v>
      </c>
      <c r="W38" s="71">
        <f t="shared" si="6"/>
        <v>2.9999999999999975E-2</v>
      </c>
      <c r="X38" s="22"/>
      <c r="Y38" s="74">
        <f>'Options 1-3'!AQ29</f>
        <v>1.6394892193042698</v>
      </c>
      <c r="Z38" s="75">
        <f t="shared" si="7"/>
        <v>-410.26443991275625</v>
      </c>
      <c r="AA38" s="69">
        <f t="shared" si="8"/>
        <v>0.81974460965213491</v>
      </c>
      <c r="AB38" s="22"/>
      <c r="AC38" s="76">
        <v>3.7680246679999327</v>
      </c>
      <c r="AD38" s="75">
        <f t="shared" si="9"/>
        <v>-408.13590446406056</v>
      </c>
      <c r="AE38" s="69">
        <f t="shared" si="10"/>
        <v>1.8840123339999664</v>
      </c>
      <c r="AF38" s="69">
        <f t="shared" si="11"/>
        <v>1.8840123339999664</v>
      </c>
      <c r="AG38" s="77"/>
      <c r="AH38" s="76">
        <f>SUM('Options 1-3'!T29*Summary!$AH$3)</f>
        <v>323.387</v>
      </c>
      <c r="AI38" s="75">
        <f t="shared" si="12"/>
        <v>-88.516929132060511</v>
      </c>
      <c r="AJ38" s="22"/>
      <c r="AK38" s="74">
        <f>'Op4'!AQ29</f>
        <v>618.82800863933005</v>
      </c>
      <c r="AL38" s="75">
        <f t="shared" si="13"/>
        <v>206.92407950726954</v>
      </c>
      <c r="AM38" s="22"/>
      <c r="AN38" s="74">
        <f>'Op5'!AQ29</f>
        <v>565.2397464808389</v>
      </c>
      <c r="AO38" s="75">
        <f t="shared" si="14"/>
        <v>153.33581734877839</v>
      </c>
      <c r="AP38" s="22"/>
      <c r="AQ38" s="74">
        <f>'Op6'!AQ29</f>
        <v>797.060389128314</v>
      </c>
      <c r="AR38" s="75">
        <f t="shared" si="15"/>
        <v>385.15645999625349</v>
      </c>
      <c r="AS38" s="22"/>
      <c r="AT38" s="74">
        <f>'Op7'!AQ29</f>
        <v>565.2397464808389</v>
      </c>
      <c r="AU38" s="75">
        <f t="shared" si="16"/>
        <v>153.33581734877839</v>
      </c>
      <c r="AV38" s="22"/>
      <c r="AW38" s="93">
        <f>'Op8'!AQ29</f>
        <v>793.53622544658322</v>
      </c>
      <c r="AX38" s="75">
        <f t="shared" si="17"/>
        <v>381.6322963145227</v>
      </c>
      <c r="AY38" s="75"/>
      <c r="AZ38" s="93">
        <v>952.91137609938198</v>
      </c>
      <c r="BA38" s="75">
        <v>553.00464878670186</v>
      </c>
      <c r="BB38" s="75"/>
      <c r="BC38" s="75">
        <v>634.03794373415019</v>
      </c>
      <c r="BD38" s="75">
        <v>234.13121642147007</v>
      </c>
      <c r="BE38" s="75"/>
      <c r="BF38" s="93">
        <v>979.81499970253492</v>
      </c>
      <c r="BG38" s="75">
        <v>579.9082723898548</v>
      </c>
      <c r="BH38" s="75"/>
      <c r="BI38" s="93">
        <v>980.06126182180355</v>
      </c>
      <c r="BJ38" s="75">
        <v>580.15453450912344</v>
      </c>
      <c r="BK38" s="93">
        <v>1756.4960558147345</v>
      </c>
      <c r="BL38" s="75">
        <v>1356.5893285020543</v>
      </c>
      <c r="BM38" s="75"/>
      <c r="BN38" s="93">
        <v>1796.1466637605167</v>
      </c>
      <c r="BO38" s="75">
        <v>1396.2399364478365</v>
      </c>
      <c r="BP38" s="75"/>
      <c r="BQ38" s="22"/>
      <c r="BR38" s="74">
        <f>'Op9'!AQ29</f>
        <v>810.64277033641417</v>
      </c>
      <c r="BS38" s="75">
        <f t="shared" si="18"/>
        <v>398.73884120435366</v>
      </c>
      <c r="BT38" s="22"/>
      <c r="BU38" s="74">
        <v>952.37343684560346</v>
      </c>
      <c r="BV38" s="75">
        <v>552.46670953292335</v>
      </c>
      <c r="BW38" s="22"/>
      <c r="BX38" s="74">
        <v>633.41034793807535</v>
      </c>
      <c r="BY38" s="75">
        <v>233.50362062539523</v>
      </c>
      <c r="BZ38" s="22"/>
      <c r="CA38" s="74">
        <v>979.18740390646008</v>
      </c>
      <c r="CB38" s="75">
        <v>579.28067659377996</v>
      </c>
      <c r="CC38" s="22"/>
      <c r="CD38" s="74">
        <v>979.61297911032148</v>
      </c>
      <c r="CE38" s="75">
        <v>579.70625179764136</v>
      </c>
      <c r="CF38" s="22"/>
      <c r="CG38" s="74">
        <v>1755.6014690324921</v>
      </c>
      <c r="CH38" s="75">
        <v>1355.6947417198121</v>
      </c>
      <c r="CI38" s="22"/>
      <c r="CJ38" s="74">
        <v>1795.2481196968311</v>
      </c>
      <c r="CK38" s="75">
        <v>1395.3413923841508</v>
      </c>
    </row>
    <row r="39" spans="1:89" ht="15.75" customHeight="1" x14ac:dyDescent="0.5">
      <c r="A39" s="83" t="s">
        <v>125</v>
      </c>
      <c r="B39" s="59" t="s">
        <v>126</v>
      </c>
      <c r="C39" s="112" t="s">
        <v>69</v>
      </c>
      <c r="D39" s="85"/>
      <c r="E39" s="62">
        <f>'Avg master'!H28</f>
        <v>1120</v>
      </c>
      <c r="F39" s="66">
        <f t="shared" si="0"/>
        <v>4.1428647169720586E-3</v>
      </c>
      <c r="G39" s="85"/>
      <c r="H39" s="64">
        <v>827</v>
      </c>
      <c r="I39" s="64">
        <v>608</v>
      </c>
      <c r="J39" s="64">
        <v>475</v>
      </c>
      <c r="K39" s="65">
        <f t="shared" si="1"/>
        <v>636.66666666666663</v>
      </c>
      <c r="L39" s="66">
        <f t="shared" si="2"/>
        <v>5.4677189878708241E-3</v>
      </c>
      <c r="M39" s="18"/>
      <c r="N39" s="67">
        <v>1473</v>
      </c>
      <c r="O39" s="22"/>
      <c r="P39" s="68">
        <v>1568.7449999999999</v>
      </c>
      <c r="Q39" s="22"/>
      <c r="R39" s="68">
        <v>1600.1198999999999</v>
      </c>
      <c r="S39" s="69">
        <f t="shared" si="3"/>
        <v>1.4286784821428571</v>
      </c>
      <c r="T39" s="46"/>
      <c r="U39" s="68">
        <f t="shared" si="4"/>
        <v>1648.123497</v>
      </c>
      <c r="V39" s="68">
        <f t="shared" si="5"/>
        <v>48.003597000000127</v>
      </c>
      <c r="W39" s="71">
        <f t="shared" si="6"/>
        <v>3.0000000000000082E-2</v>
      </c>
      <c r="X39" s="22"/>
      <c r="Y39" s="74">
        <f>'Options 1-3'!AQ30</f>
        <v>918.11396281039106</v>
      </c>
      <c r="Z39" s="75">
        <f t="shared" si="7"/>
        <v>-730.00953418960898</v>
      </c>
      <c r="AA39" s="69">
        <f t="shared" si="8"/>
        <v>0.81974460965213491</v>
      </c>
      <c r="AB39" s="22"/>
      <c r="AC39" s="76">
        <v>1199.487852646645</v>
      </c>
      <c r="AD39" s="75">
        <f t="shared" si="9"/>
        <v>-448.63564435335502</v>
      </c>
      <c r="AE39" s="69">
        <f t="shared" si="10"/>
        <v>1.0709712970059331</v>
      </c>
      <c r="AF39" s="69">
        <f t="shared" si="11"/>
        <v>1.8840123339999661</v>
      </c>
      <c r="AG39" s="77"/>
      <c r="AH39" s="76">
        <f>SUM('Options 1-3'!T30*Summary!$AH$3)</f>
        <v>2367.8085000000001</v>
      </c>
      <c r="AI39" s="75">
        <f t="shared" si="12"/>
        <v>719.68500300000005</v>
      </c>
      <c r="AJ39" s="22"/>
      <c r="AK39" s="74">
        <f>'Op4'!AQ30</f>
        <v>1645.5539353718955</v>
      </c>
      <c r="AL39" s="75">
        <f t="shared" si="13"/>
        <v>-2.5695616281045659</v>
      </c>
      <c r="AM39" s="22"/>
      <c r="AN39" s="74">
        <f>'Op5'!AQ30</f>
        <v>2141.8937902906664</v>
      </c>
      <c r="AO39" s="75">
        <f t="shared" si="14"/>
        <v>493.77029329066636</v>
      </c>
      <c r="AP39" s="22"/>
      <c r="AQ39" s="74">
        <f>'Op6'!AQ30</f>
        <v>2990.0397766333226</v>
      </c>
      <c r="AR39" s="75">
        <f t="shared" si="15"/>
        <v>1341.9162796333226</v>
      </c>
      <c r="AS39" s="22"/>
      <c r="AT39" s="74">
        <f>'Op7'!AQ30</f>
        <v>2141.8937902906664</v>
      </c>
      <c r="AU39" s="75">
        <f t="shared" si="16"/>
        <v>493.77029329066636</v>
      </c>
      <c r="AV39" s="22"/>
      <c r="AW39" s="74">
        <f>'Op8'!AQ30</f>
        <v>2625.4097297526732</v>
      </c>
      <c r="AX39" s="75">
        <f t="shared" si="17"/>
        <v>977.28623275267319</v>
      </c>
      <c r="AY39" s="75"/>
      <c r="AZ39" s="74">
        <v>2697.5607701829199</v>
      </c>
      <c r="BA39" s="75">
        <v>1097.44087018292</v>
      </c>
      <c r="BB39" s="75"/>
      <c r="BC39" s="75">
        <v>2526.2756549627265</v>
      </c>
      <c r="BD39" s="75">
        <v>926.15575496272663</v>
      </c>
      <c r="BE39" s="75"/>
      <c r="BF39" s="74">
        <v>2716.3935478500161</v>
      </c>
      <c r="BG39" s="75">
        <v>1116.2736478500162</v>
      </c>
      <c r="BH39" s="75"/>
      <c r="BI39" s="74">
        <v>2770.3596165694153</v>
      </c>
      <c r="BJ39" s="75">
        <v>1170.2397165694154</v>
      </c>
      <c r="BK39" s="74">
        <v>2857.8744871567715</v>
      </c>
      <c r="BL39" s="75">
        <v>1257.7545871567715</v>
      </c>
      <c r="BM39" s="75"/>
      <c r="BN39" s="74">
        <v>3134.5248066875338</v>
      </c>
      <c r="BO39" s="75">
        <v>1534.4049066875339</v>
      </c>
      <c r="BP39" s="75"/>
      <c r="BQ39" s="22"/>
      <c r="BR39" s="74">
        <f>'Op9'!AQ30</f>
        <v>2688.4178565234433</v>
      </c>
      <c r="BS39" s="75">
        <f t="shared" si="18"/>
        <v>1040.2943595234433</v>
      </c>
      <c r="BT39" s="22"/>
      <c r="BU39" s="74">
        <v>2676.4727719381162</v>
      </c>
      <c r="BV39" s="75">
        <v>1076.3528719381163</v>
      </c>
      <c r="BW39" s="22"/>
      <c r="BX39" s="74">
        <v>2501.672990343789</v>
      </c>
      <c r="BY39" s="75">
        <v>901.55309034378911</v>
      </c>
      <c r="BZ39" s="22"/>
      <c r="CA39" s="74">
        <v>2691.7908832310786</v>
      </c>
      <c r="CB39" s="75">
        <v>1091.6709832310787</v>
      </c>
      <c r="CC39" s="22"/>
      <c r="CD39" s="74">
        <v>2752.7862846987455</v>
      </c>
      <c r="CE39" s="75">
        <v>1152.6663846987456</v>
      </c>
      <c r="CF39" s="22"/>
      <c r="CG39" s="74">
        <v>2822.805388998856</v>
      </c>
      <c r="CH39" s="75">
        <v>1222.685488998856</v>
      </c>
      <c r="CI39" s="22"/>
      <c r="CJ39" s="74">
        <v>3099.3005773627719</v>
      </c>
      <c r="CK39" s="75">
        <v>1499.180677362772</v>
      </c>
    </row>
    <row r="40" spans="1:89" ht="15.75" customHeight="1" x14ac:dyDescent="0.5">
      <c r="A40" s="95" t="s">
        <v>127</v>
      </c>
      <c r="B40" s="90" t="s">
        <v>128</v>
      </c>
      <c r="C40" s="61" t="s">
        <v>89</v>
      </c>
      <c r="D40" s="61"/>
      <c r="E40" s="62">
        <f>'Avg master'!H29</f>
        <v>1</v>
      </c>
      <c r="F40" s="66">
        <f t="shared" si="0"/>
        <v>3.6989863544393381E-6</v>
      </c>
      <c r="G40" s="61"/>
      <c r="H40" s="64">
        <v>1</v>
      </c>
      <c r="I40" s="64">
        <v>1</v>
      </c>
      <c r="J40" s="64">
        <v>1</v>
      </c>
      <c r="K40" s="65">
        <f t="shared" si="1"/>
        <v>1</v>
      </c>
      <c r="L40" s="66">
        <f t="shared" si="2"/>
        <v>8.5880402950850649E-6</v>
      </c>
      <c r="M40" s="18"/>
      <c r="N40" s="67">
        <v>368.1365436000001</v>
      </c>
      <c r="O40" s="22"/>
      <c r="P40" s="68">
        <v>392.06541893400009</v>
      </c>
      <c r="Q40" s="22"/>
      <c r="R40" s="68">
        <v>399.90672731268012</v>
      </c>
      <c r="S40" s="69">
        <f t="shared" si="3"/>
        <v>399.90672731268012</v>
      </c>
      <c r="T40" s="46"/>
      <c r="U40" s="68">
        <f t="shared" si="4"/>
        <v>411.90392913206051</v>
      </c>
      <c r="V40" s="68">
        <f t="shared" si="5"/>
        <v>11.997201819380393</v>
      </c>
      <c r="W40" s="71">
        <f t="shared" si="6"/>
        <v>2.9999999999999975E-2</v>
      </c>
      <c r="X40" s="22"/>
      <c r="Y40" s="74">
        <f>'Options 1-3'!AQ31</f>
        <v>0.81974460965213491</v>
      </c>
      <c r="Z40" s="75">
        <f t="shared" si="7"/>
        <v>-411.08418452240835</v>
      </c>
      <c r="AA40" s="69">
        <f t="shared" si="8"/>
        <v>0.81974460965213491</v>
      </c>
      <c r="AB40" s="22"/>
      <c r="AC40" s="76">
        <v>1.8840123339999664</v>
      </c>
      <c r="AD40" s="75">
        <f t="shared" si="9"/>
        <v>-410.01991679806054</v>
      </c>
      <c r="AE40" s="69">
        <f t="shared" si="10"/>
        <v>1.8840123339999664</v>
      </c>
      <c r="AF40" s="69">
        <f t="shared" si="11"/>
        <v>1.8840123339999664</v>
      </c>
      <c r="AG40" s="77"/>
      <c r="AH40" s="76">
        <f>SUM('Options 1-3'!T31*Summary!$AH$3)</f>
        <v>317.09800000000001</v>
      </c>
      <c r="AI40" s="75">
        <f t="shared" si="12"/>
        <v>-94.805929132060498</v>
      </c>
      <c r="AJ40" s="22"/>
      <c r="AK40" s="74">
        <f>'Op4'!AQ31</f>
        <v>617.21026820855388</v>
      </c>
      <c r="AL40" s="75">
        <f t="shared" si="13"/>
        <v>205.30633907649337</v>
      </c>
      <c r="AM40" s="22"/>
      <c r="AN40" s="74">
        <f>'Op5'!AQ31</f>
        <v>520.88209257191772</v>
      </c>
      <c r="AO40" s="75">
        <f t="shared" si="14"/>
        <v>108.97816343985721</v>
      </c>
      <c r="AP40" s="22"/>
      <c r="AQ40" s="74">
        <f>'Op6'!AQ31</f>
        <v>749.5066105671192</v>
      </c>
      <c r="AR40" s="75">
        <f t="shared" si="15"/>
        <v>337.60268143505868</v>
      </c>
      <c r="AS40" s="22"/>
      <c r="AT40" s="74">
        <f>'Op7'!AQ31</f>
        <v>520.88209257191772</v>
      </c>
      <c r="AU40" s="75">
        <f t="shared" si="16"/>
        <v>108.97816343985721</v>
      </c>
      <c r="AV40" s="22"/>
      <c r="AW40" s="93">
        <f>'Op8'!AQ31</f>
        <v>747.28620901503155</v>
      </c>
      <c r="AX40" s="75">
        <f t="shared" si="17"/>
        <v>335.38227988297103</v>
      </c>
      <c r="AY40" s="75"/>
      <c r="AZ40" s="93">
        <v>906.92967636729259</v>
      </c>
      <c r="BA40" s="75">
        <v>507.02294905461247</v>
      </c>
      <c r="BB40" s="75"/>
      <c r="BC40" s="75">
        <v>587.72305102974622</v>
      </c>
      <c r="BD40" s="75">
        <v>187.8163237170661</v>
      </c>
      <c r="BE40" s="75"/>
      <c r="BF40" s="93">
        <v>934.06760658530175</v>
      </c>
      <c r="BG40" s="75">
        <v>534.16087927262163</v>
      </c>
      <c r="BH40" s="75"/>
      <c r="BI40" s="93">
        <v>933.90698785135066</v>
      </c>
      <c r="BJ40" s="75">
        <v>534.00026053867055</v>
      </c>
      <c r="BK40" s="93">
        <v>1728.7023398314579</v>
      </c>
      <c r="BL40" s="75">
        <v>1328.7956125187779</v>
      </c>
      <c r="BM40" s="75"/>
      <c r="BN40" s="93">
        <v>1736.3494030636084</v>
      </c>
      <c r="BO40" s="75">
        <v>1336.4426757509282</v>
      </c>
      <c r="BP40" s="75"/>
      <c r="BQ40" s="22"/>
      <c r="BR40" s="74">
        <f>'Op9'!AQ31</f>
        <v>748.66048415708201</v>
      </c>
      <c r="BS40" s="75">
        <f t="shared" si="18"/>
        <v>336.7565550250215</v>
      </c>
      <c r="BT40" s="22"/>
      <c r="BU40" s="74">
        <v>906.66070674040338</v>
      </c>
      <c r="BV40" s="75">
        <v>506.75397942772327</v>
      </c>
      <c r="BW40" s="22"/>
      <c r="BX40" s="74">
        <v>587.40925313170885</v>
      </c>
      <c r="BY40" s="75">
        <v>187.50252581902873</v>
      </c>
      <c r="BZ40" s="22"/>
      <c r="CA40" s="74">
        <v>933.75380868726438</v>
      </c>
      <c r="CB40" s="75">
        <v>533.84708137458426</v>
      </c>
      <c r="CC40" s="22"/>
      <c r="CD40" s="74">
        <v>933.68284649560974</v>
      </c>
      <c r="CE40" s="75">
        <v>533.77611918292962</v>
      </c>
      <c r="CF40" s="22"/>
      <c r="CG40" s="74">
        <v>1728.2550464403369</v>
      </c>
      <c r="CH40" s="75">
        <v>1328.3483191276569</v>
      </c>
      <c r="CI40" s="22"/>
      <c r="CJ40" s="74">
        <v>1735.9001310317656</v>
      </c>
      <c r="CK40" s="75">
        <v>1335.9934037190856</v>
      </c>
    </row>
    <row r="41" spans="1:89" ht="15.75" customHeight="1" x14ac:dyDescent="0.5">
      <c r="A41" s="86" t="s">
        <v>129</v>
      </c>
      <c r="B41" s="89" t="s">
        <v>130</v>
      </c>
      <c r="C41" s="113" t="s">
        <v>78</v>
      </c>
      <c r="D41" s="114"/>
      <c r="E41" s="62">
        <f>'Avg master'!H30</f>
        <v>1470</v>
      </c>
      <c r="F41" s="66">
        <f t="shared" si="0"/>
        <v>5.4375099410258268E-3</v>
      </c>
      <c r="G41" s="114"/>
      <c r="H41" s="64">
        <v>2443</v>
      </c>
      <c r="I41" s="64">
        <v>1271</v>
      </c>
      <c r="J41" s="64">
        <v>696</v>
      </c>
      <c r="K41" s="65">
        <f t="shared" si="1"/>
        <v>1470</v>
      </c>
      <c r="L41" s="66">
        <f t="shared" si="2"/>
        <v>1.2624419233775044E-2</v>
      </c>
      <c r="M41" s="18"/>
      <c r="N41" s="67">
        <v>4908.4872480000004</v>
      </c>
      <c r="O41" s="22"/>
      <c r="P41" s="68">
        <v>5227.5389191200002</v>
      </c>
      <c r="Q41" s="22"/>
      <c r="R41" s="68">
        <v>5332.0896975024007</v>
      </c>
      <c r="S41" s="69">
        <f t="shared" si="3"/>
        <v>3.6272719030628577</v>
      </c>
      <c r="T41" s="46"/>
      <c r="U41" s="68">
        <f t="shared" si="4"/>
        <v>5492.0523884274726</v>
      </c>
      <c r="V41" s="68">
        <f t="shared" si="5"/>
        <v>159.96269092507191</v>
      </c>
      <c r="W41" s="71">
        <f t="shared" si="6"/>
        <v>2.9999999999999978E-2</v>
      </c>
      <c r="X41" s="22"/>
      <c r="Y41" s="74">
        <f>'Options 1-3'!AQ32</f>
        <v>1205.0245761886383</v>
      </c>
      <c r="Z41" s="75">
        <f t="shared" si="7"/>
        <v>-4287.0278122388345</v>
      </c>
      <c r="AA41" s="69">
        <f t="shared" si="8"/>
        <v>0.81974460965213491</v>
      </c>
      <c r="AB41" s="22"/>
      <c r="AC41" s="76">
        <v>2769.49813097995</v>
      </c>
      <c r="AD41" s="75">
        <f t="shared" si="9"/>
        <v>-2722.5542574475226</v>
      </c>
      <c r="AE41" s="69">
        <f t="shared" si="10"/>
        <v>1.8840123339999659</v>
      </c>
      <c r="AF41" s="69">
        <f t="shared" si="11"/>
        <v>1.8840123339999659</v>
      </c>
      <c r="AG41" s="77"/>
      <c r="AH41" s="76">
        <f>SUM('Options 1-3'!T32*Summary!$AH$3)</f>
        <v>1263.2615000000001</v>
      </c>
      <c r="AI41" s="75">
        <f t="shared" si="12"/>
        <v>-4228.790888427473</v>
      </c>
      <c r="AJ41" s="22"/>
      <c r="AK41" s="74">
        <f>'Op4'!AQ32</f>
        <v>2993.6709610186463</v>
      </c>
      <c r="AL41" s="75">
        <f t="shared" si="13"/>
        <v>-2498.3814274088263</v>
      </c>
      <c r="AM41" s="22"/>
      <c r="AN41" s="74">
        <f>'Op5'!AQ32</f>
        <v>2463.2792382814087</v>
      </c>
      <c r="AO41" s="75">
        <f t="shared" si="14"/>
        <v>-3028.7731501460639</v>
      </c>
      <c r="AP41" s="22"/>
      <c r="AQ41" s="74">
        <f>'Op6'!AQ32</f>
        <v>1372.5861375339671</v>
      </c>
      <c r="AR41" s="75">
        <f t="shared" si="15"/>
        <v>-4119.4662508935053</v>
      </c>
      <c r="AS41" s="22"/>
      <c r="AT41" s="74">
        <f>'Op7'!AQ32</f>
        <v>2463.2792382814087</v>
      </c>
      <c r="AU41" s="75">
        <f t="shared" si="16"/>
        <v>-3028.7731501460639</v>
      </c>
      <c r="AV41" s="22"/>
      <c r="AW41" s="74">
        <f>'Op8'!AQ32</f>
        <v>1650.6560989188365</v>
      </c>
      <c r="AX41" s="75">
        <f t="shared" si="17"/>
        <v>-3841.3962895086361</v>
      </c>
      <c r="AY41" s="75"/>
      <c r="AZ41" s="74">
        <v>1769.9320249335822</v>
      </c>
      <c r="BA41" s="75">
        <v>-3562.1576725688183</v>
      </c>
      <c r="BB41" s="75"/>
      <c r="BC41" s="75">
        <v>1633.2313357244557</v>
      </c>
      <c r="BD41" s="75">
        <v>-3698.858361777945</v>
      </c>
      <c r="BE41" s="75"/>
      <c r="BF41" s="74">
        <v>1947.1686780126242</v>
      </c>
      <c r="BG41" s="75">
        <v>-3384.9210194897764</v>
      </c>
      <c r="BH41" s="75"/>
      <c r="BI41" s="74">
        <v>1743.4663523718948</v>
      </c>
      <c r="BJ41" s="75">
        <v>-3588.6233451305061</v>
      </c>
      <c r="BK41" s="74">
        <v>2931.1746727688164</v>
      </c>
      <c r="BL41" s="75">
        <v>-2400.9150247335842</v>
      </c>
      <c r="BM41" s="75"/>
      <c r="BN41" s="74">
        <v>2767.0289203260754</v>
      </c>
      <c r="BO41" s="75">
        <v>-2565.0607771763252</v>
      </c>
      <c r="BP41" s="75"/>
      <c r="BQ41" s="22"/>
      <c r="BR41" s="74">
        <f>'Op9'!AQ32</f>
        <v>1161.8066412424198</v>
      </c>
      <c r="BS41" s="75">
        <f t="shared" si="18"/>
        <v>-4330.245747185053</v>
      </c>
      <c r="BT41" s="22"/>
      <c r="BU41" s="74">
        <v>1374.5466734064319</v>
      </c>
      <c r="BV41" s="75">
        <v>-3957.5430240959686</v>
      </c>
      <c r="BW41" s="22"/>
      <c r="BX41" s="74">
        <v>1171.9484256094472</v>
      </c>
      <c r="BY41" s="75">
        <v>-4160.1412718929532</v>
      </c>
      <c r="BZ41" s="22"/>
      <c r="CA41" s="74">
        <v>1485.8857678976156</v>
      </c>
      <c r="CB41" s="75">
        <v>-3846.2039296047851</v>
      </c>
      <c r="CC41" s="22"/>
      <c r="CD41" s="74">
        <v>1413.9785594326029</v>
      </c>
      <c r="CE41" s="75">
        <v>-3918.1111380697976</v>
      </c>
      <c r="CF41" s="22"/>
      <c r="CG41" s="74">
        <v>2273.653387820656</v>
      </c>
      <c r="CH41" s="75">
        <v>-3058.4363096817447</v>
      </c>
      <c r="CI41" s="22"/>
      <c r="CJ41" s="74">
        <v>2106.5990335170682</v>
      </c>
      <c r="CK41" s="75">
        <v>-3225.4906639853325</v>
      </c>
    </row>
    <row r="42" spans="1:89" ht="15.75" customHeight="1" x14ac:dyDescent="0.5">
      <c r="A42" s="83" t="s">
        <v>131</v>
      </c>
      <c r="B42" s="59" t="s">
        <v>132</v>
      </c>
      <c r="C42" s="85" t="s">
        <v>72</v>
      </c>
      <c r="D42" s="85"/>
      <c r="E42" s="62">
        <f>'Avg master'!H31</f>
        <v>20858.333333333332</v>
      </c>
      <c r="F42" s="66">
        <f t="shared" si="0"/>
        <v>7.7154690376347188E-2</v>
      </c>
      <c r="G42" s="85"/>
      <c r="H42" s="64">
        <v>14795</v>
      </c>
      <c r="I42" s="64">
        <v>9432</v>
      </c>
      <c r="J42" s="64">
        <v>7407</v>
      </c>
      <c r="K42" s="65">
        <f t="shared" si="1"/>
        <v>10544.666666666666</v>
      </c>
      <c r="L42" s="66">
        <f t="shared" si="2"/>
        <v>9.0558022231573637E-2</v>
      </c>
      <c r="M42" s="18"/>
      <c r="N42" s="67">
        <v>12271.218120000003</v>
      </c>
      <c r="O42" s="22"/>
      <c r="P42" s="68">
        <v>13068.847297800003</v>
      </c>
      <c r="Q42" s="22"/>
      <c r="R42" s="68">
        <v>13330.224243756003</v>
      </c>
      <c r="S42" s="69">
        <f t="shared" si="3"/>
        <v>0.63908386306461062</v>
      </c>
      <c r="T42" s="46"/>
      <c r="U42" s="68">
        <f t="shared" si="4"/>
        <v>13730.130971068684</v>
      </c>
      <c r="V42" s="68">
        <f t="shared" si="5"/>
        <v>399.90672731268023</v>
      </c>
      <c r="W42" s="71">
        <f t="shared" si="6"/>
        <v>3.0000000000000009E-2</v>
      </c>
      <c r="X42" s="22"/>
      <c r="Y42" s="74">
        <f>'Options 1-3'!AQ33</f>
        <v>17098.506316327446</v>
      </c>
      <c r="Z42" s="75">
        <f t="shared" si="7"/>
        <v>3368.3753452587625</v>
      </c>
      <c r="AA42" s="69">
        <f t="shared" si="8"/>
        <v>0.81974460965213491</v>
      </c>
      <c r="AB42" s="22"/>
      <c r="AC42" s="76">
        <v>19866.28205791831</v>
      </c>
      <c r="AD42" s="75">
        <f t="shared" si="9"/>
        <v>6136.1510868496262</v>
      </c>
      <c r="AE42" s="69">
        <f t="shared" si="10"/>
        <v>0.95243861244514472</v>
      </c>
      <c r="AF42" s="69">
        <f t="shared" si="11"/>
        <v>1.8840123339999664</v>
      </c>
      <c r="AG42" s="77"/>
      <c r="AH42" s="76">
        <f>SUM('Options 1-3'!T33*Summary!$AH$3)</f>
        <v>9780.5535</v>
      </c>
      <c r="AI42" s="75">
        <f t="shared" si="12"/>
        <v>-3949.5774710686837</v>
      </c>
      <c r="AJ42" s="22"/>
      <c r="AK42" s="74">
        <f>'Op4'!AQ33</f>
        <v>17674.126123501504</v>
      </c>
      <c r="AL42" s="75">
        <f t="shared" si="13"/>
        <v>3943.9951524328208</v>
      </c>
      <c r="AM42" s="22"/>
      <c r="AN42" s="74">
        <f>'Op5'!AQ33</f>
        <v>19137.797285310182</v>
      </c>
      <c r="AO42" s="75">
        <f t="shared" si="14"/>
        <v>5407.6663142414982</v>
      </c>
      <c r="AP42" s="22"/>
      <c r="AQ42" s="74">
        <f>'Op6'!AQ33</f>
        <v>11835.3859060625</v>
      </c>
      <c r="AR42" s="75">
        <f t="shared" si="15"/>
        <v>-1894.7450650061837</v>
      </c>
      <c r="AS42" s="22"/>
      <c r="AT42" s="74">
        <f>'Op7'!AQ33</f>
        <v>19137.797285310182</v>
      </c>
      <c r="AU42" s="75">
        <f t="shared" si="16"/>
        <v>5407.6663142414982</v>
      </c>
      <c r="AV42" s="22"/>
      <c r="AW42" s="74">
        <f>'Op8'!AQ33</f>
        <v>17469.471616524745</v>
      </c>
      <c r="AX42" s="75">
        <f t="shared" si="17"/>
        <v>3739.3406454560609</v>
      </c>
      <c r="AY42" s="75"/>
      <c r="AZ42" s="74">
        <v>17225.361999878325</v>
      </c>
      <c r="BA42" s="75">
        <v>3895.1377561223217</v>
      </c>
      <c r="BB42" s="75"/>
      <c r="BC42" s="75">
        <v>17593.001685309195</v>
      </c>
      <c r="BD42" s="75">
        <v>4262.7774415531912</v>
      </c>
      <c r="BE42" s="75"/>
      <c r="BF42" s="74">
        <v>16004.516135204438</v>
      </c>
      <c r="BG42" s="75">
        <v>2674.2918914484344</v>
      </c>
      <c r="BH42" s="75"/>
      <c r="BI42" s="74">
        <v>16245.675230928387</v>
      </c>
      <c r="BJ42" s="75">
        <v>2915.450987172384</v>
      </c>
      <c r="BK42" s="74">
        <v>13419.843737289104</v>
      </c>
      <c r="BL42" s="75">
        <v>89.619493533100467</v>
      </c>
      <c r="BM42" s="75"/>
      <c r="BN42" s="74">
        <v>15424.615079483707</v>
      </c>
      <c r="BO42" s="75">
        <v>2094.3908357277032</v>
      </c>
      <c r="BP42" s="75"/>
      <c r="BQ42" s="22"/>
      <c r="BR42" s="74">
        <f>'Op9'!AQ33</f>
        <v>17724.890910209993</v>
      </c>
      <c r="BS42" s="75">
        <f t="shared" si="18"/>
        <v>3994.7599391413096</v>
      </c>
      <c r="BT42" s="22"/>
      <c r="BU42" s="74">
        <v>16433.942493403818</v>
      </c>
      <c r="BV42" s="75">
        <v>3103.7182496478144</v>
      </c>
      <c r="BW42" s="22"/>
      <c r="BX42" s="74">
        <v>16669.678927755602</v>
      </c>
      <c r="BY42" s="75">
        <v>3339.4546839995983</v>
      </c>
      <c r="BZ42" s="22"/>
      <c r="CA42" s="74">
        <v>15081.193377650849</v>
      </c>
      <c r="CB42" s="75">
        <v>1750.9691338948451</v>
      </c>
      <c r="CC42" s="22"/>
      <c r="CD42" s="74">
        <v>15586.158975532968</v>
      </c>
      <c r="CE42" s="75">
        <v>2255.9347317769643</v>
      </c>
      <c r="CF42" s="22"/>
      <c r="CG42" s="74">
        <v>12103.722214778874</v>
      </c>
      <c r="CH42" s="75">
        <v>-1226.5020289771292</v>
      </c>
      <c r="CI42" s="22"/>
      <c r="CJ42" s="74">
        <v>14102.671580412252</v>
      </c>
      <c r="CK42" s="75">
        <v>772.44733665624881</v>
      </c>
    </row>
    <row r="43" spans="1:89" ht="15.75" customHeight="1" x14ac:dyDescent="0.5">
      <c r="A43" s="83" t="s">
        <v>133</v>
      </c>
      <c r="B43" s="59" t="s">
        <v>134</v>
      </c>
      <c r="C43" s="115" t="s">
        <v>135</v>
      </c>
      <c r="D43" s="85"/>
      <c r="E43" s="62">
        <f>'Avg master'!H32</f>
        <v>8105</v>
      </c>
      <c r="F43" s="66">
        <f t="shared" si="0"/>
        <v>2.9980284402730834E-2</v>
      </c>
      <c r="G43" s="85"/>
      <c r="H43" s="64">
        <v>3859</v>
      </c>
      <c r="I43" s="64">
        <v>3089</v>
      </c>
      <c r="J43" s="64">
        <v>2117</v>
      </c>
      <c r="K43" s="65">
        <f t="shared" si="1"/>
        <v>3021.6666666666665</v>
      </c>
      <c r="L43" s="66">
        <f t="shared" si="2"/>
        <v>2.5950195091648701E-2</v>
      </c>
      <c r="M43" s="18"/>
      <c r="N43" s="67">
        <v>9793.6007472000019</v>
      </c>
      <c r="O43" s="22"/>
      <c r="P43" s="68">
        <v>10430.184795768002</v>
      </c>
      <c r="Q43" s="22"/>
      <c r="R43" s="68">
        <v>10638.788491683363</v>
      </c>
      <c r="S43" s="69">
        <f t="shared" si="3"/>
        <v>1.3126204184680275</v>
      </c>
      <c r="T43" s="46"/>
      <c r="U43" s="68">
        <f t="shared" si="4"/>
        <v>10957.952146433863</v>
      </c>
      <c r="V43" s="68">
        <f t="shared" si="5"/>
        <v>319.16365475050043</v>
      </c>
      <c r="W43" s="71">
        <f t="shared" si="6"/>
        <v>2.9999999999999957E-2</v>
      </c>
      <c r="X43" s="22"/>
      <c r="Y43" s="74">
        <f>'Options 1-3'!AQ34</f>
        <v>6644.0300612305527</v>
      </c>
      <c r="Z43" s="75">
        <f t="shared" si="7"/>
        <v>-4313.9220852033104</v>
      </c>
      <c r="AA43" s="69">
        <f t="shared" si="8"/>
        <v>0.8197446096521348</v>
      </c>
      <c r="AB43" s="22"/>
      <c r="AC43" s="76">
        <v>5692.8572692365642</v>
      </c>
      <c r="AD43" s="75">
        <f t="shared" si="9"/>
        <v>-5265.094877197299</v>
      </c>
      <c r="AE43" s="69">
        <f t="shared" si="10"/>
        <v>0.70238831205879881</v>
      </c>
      <c r="AF43" s="69">
        <f t="shared" si="11"/>
        <v>1.8840123339999661</v>
      </c>
      <c r="AG43" s="77"/>
      <c r="AH43" s="76">
        <f>SUM('Options 1-3'!T34*Summary!$AH$3)</f>
        <v>7962.0395000000008</v>
      </c>
      <c r="AI43" s="75">
        <f t="shared" si="12"/>
        <v>-2995.9126464338624</v>
      </c>
      <c r="AJ43" s="22"/>
      <c r="AK43" s="74">
        <f>'Op4'!AQ34</f>
        <v>5503.8648627728962</v>
      </c>
      <c r="AL43" s="75">
        <f t="shared" si="13"/>
        <v>-5454.0872836609669</v>
      </c>
      <c r="AM43" s="22"/>
      <c r="AN43" s="74">
        <f>'Op5'!AQ34</f>
        <v>6352.4142381552037</v>
      </c>
      <c r="AO43" s="75">
        <f t="shared" si="14"/>
        <v>-4605.5379082786594</v>
      </c>
      <c r="AP43" s="22"/>
      <c r="AQ43" s="74">
        <f>'Op6'!AQ34</f>
        <v>8001.8879478105318</v>
      </c>
      <c r="AR43" s="75">
        <f t="shared" si="15"/>
        <v>-2956.0641986233313</v>
      </c>
      <c r="AS43" s="22"/>
      <c r="AT43" s="74">
        <f>'Op7'!AQ34</f>
        <v>6352.4142381552037</v>
      </c>
      <c r="AU43" s="75">
        <f t="shared" si="16"/>
        <v>-4605.5379082786594</v>
      </c>
      <c r="AV43" s="22"/>
      <c r="AW43" s="74">
        <f>'Op8'!AQ34</f>
        <v>6931.7552211616576</v>
      </c>
      <c r="AX43" s="75">
        <f t="shared" si="17"/>
        <v>-4026.1969252722056</v>
      </c>
      <c r="AY43" s="75"/>
      <c r="AZ43" s="74">
        <v>6765.2314964544721</v>
      </c>
      <c r="BA43" s="75">
        <v>-3873.5569952288906</v>
      </c>
      <c r="BB43" s="75"/>
      <c r="BC43" s="75">
        <v>7054.8302188480557</v>
      </c>
      <c r="BD43" s="75">
        <v>-3583.9582728353071</v>
      </c>
      <c r="BE43" s="75"/>
      <c r="BF43" s="74">
        <v>6828.9410459397996</v>
      </c>
      <c r="BG43" s="75">
        <v>-3809.8474457435632</v>
      </c>
      <c r="BH43" s="75"/>
      <c r="BI43" s="74">
        <v>6915.8384999813716</v>
      </c>
      <c r="BJ43" s="75">
        <v>-3722.9499917019912</v>
      </c>
      <c r="BK43" s="74">
        <v>5559.9240105702165</v>
      </c>
      <c r="BL43" s="75">
        <v>-5078.8644811131462</v>
      </c>
      <c r="BM43" s="75"/>
      <c r="BN43" s="74">
        <v>6172.0284721128137</v>
      </c>
      <c r="BO43" s="75">
        <v>-4466.760019570549</v>
      </c>
      <c r="BP43" s="75"/>
      <c r="BQ43" s="22"/>
      <c r="BR43" s="74">
        <f>'Op9'!AQ34</f>
        <v>7466.7780754319137</v>
      </c>
      <c r="BS43" s="75">
        <f t="shared" si="18"/>
        <v>-3491.1740710019494</v>
      </c>
      <c r="BT43" s="22"/>
      <c r="BU43" s="74">
        <v>7022.6047906903341</v>
      </c>
      <c r="BV43" s="75">
        <v>-3616.1837009930287</v>
      </c>
      <c r="BW43" s="22"/>
      <c r="BX43" s="74">
        <v>7355.0990621232277</v>
      </c>
      <c r="BY43" s="75">
        <v>-3283.6894295601351</v>
      </c>
      <c r="BZ43" s="22"/>
      <c r="CA43" s="74">
        <v>7129.2098892149706</v>
      </c>
      <c r="CB43" s="75">
        <v>-3509.5786024683921</v>
      </c>
      <c r="CC43" s="22"/>
      <c r="CD43" s="74">
        <v>7130.3162451779226</v>
      </c>
      <c r="CE43" s="75">
        <v>-3508.4722465054401</v>
      </c>
      <c r="CF43" s="22"/>
      <c r="CG43" s="74">
        <v>5987.9328340728352</v>
      </c>
      <c r="CH43" s="75">
        <v>-4650.8556576105275</v>
      </c>
      <c r="CI43" s="22"/>
      <c r="CJ43" s="74">
        <v>6601.9306293964009</v>
      </c>
      <c r="CK43" s="75">
        <v>-4036.8578622869618</v>
      </c>
    </row>
    <row r="44" spans="1:89" ht="15.75" customHeight="1" x14ac:dyDescent="0.5">
      <c r="A44" s="80" t="s">
        <v>136</v>
      </c>
      <c r="B44" s="59" t="s">
        <v>137</v>
      </c>
      <c r="C44" s="82" t="s">
        <v>135</v>
      </c>
      <c r="D44" s="82"/>
      <c r="E44" s="62">
        <f>'Avg master'!H33</f>
        <v>10140.333333333334</v>
      </c>
      <c r="F44" s="66">
        <f t="shared" si="0"/>
        <v>3.7508954629466372E-2</v>
      </c>
      <c r="G44" s="82"/>
      <c r="H44" s="64">
        <v>4864</v>
      </c>
      <c r="I44" s="64">
        <v>4164</v>
      </c>
      <c r="J44" s="64">
        <v>3092</v>
      </c>
      <c r="K44" s="65">
        <f t="shared" si="1"/>
        <v>4040</v>
      </c>
      <c r="L44" s="66">
        <f t="shared" si="2"/>
        <v>3.4695682792143662E-2</v>
      </c>
      <c r="M44" s="18"/>
      <c r="N44" s="67">
        <v>9793.6007472000019</v>
      </c>
      <c r="O44" s="22"/>
      <c r="P44" s="68">
        <v>10430.184795768002</v>
      </c>
      <c r="Q44" s="22"/>
      <c r="R44" s="68">
        <v>10638.788491683363</v>
      </c>
      <c r="S44" s="69">
        <f t="shared" si="3"/>
        <v>1.0491556975461058</v>
      </c>
      <c r="T44" s="46"/>
      <c r="U44" s="68">
        <f t="shared" si="4"/>
        <v>10957.952146433863</v>
      </c>
      <c r="V44" s="68">
        <f t="shared" si="5"/>
        <v>319.16365475050043</v>
      </c>
      <c r="W44" s="71">
        <f t="shared" si="6"/>
        <v>2.9999999999999957E-2</v>
      </c>
      <c r="X44" s="22"/>
      <c r="Y44" s="74">
        <f>'Options 1-3'!AQ35</f>
        <v>8312.4835900758662</v>
      </c>
      <c r="Z44" s="75">
        <f t="shared" si="7"/>
        <v>-2645.4685563579969</v>
      </c>
      <c r="AA44" s="69">
        <f t="shared" si="8"/>
        <v>0.81974460965213491</v>
      </c>
      <c r="AB44" s="22"/>
      <c r="AC44" s="76">
        <v>7611.4098293598636</v>
      </c>
      <c r="AD44" s="75">
        <f t="shared" si="9"/>
        <v>-3346.5423170739996</v>
      </c>
      <c r="AE44" s="69">
        <f t="shared" si="10"/>
        <v>0.75060745827157516</v>
      </c>
      <c r="AF44" s="69">
        <f t="shared" si="11"/>
        <v>1.8840123339999661</v>
      </c>
      <c r="AG44" s="77"/>
      <c r="AH44" s="76">
        <f>SUM('Options 1-3'!T35*Summary!$AH$3)</f>
        <v>5560.6345000000001</v>
      </c>
      <c r="AI44" s="75">
        <f t="shared" si="12"/>
        <v>-5397.317646433863</v>
      </c>
      <c r="AJ44" s="22"/>
      <c r="AK44" s="74">
        <f>'Op4'!AQ35</f>
        <v>7151.2638681132266</v>
      </c>
      <c r="AL44" s="75">
        <f t="shared" si="13"/>
        <v>-3806.6882783206365</v>
      </c>
      <c r="AM44" s="22"/>
      <c r="AN44" s="74">
        <f>'Op5'!AQ35</f>
        <v>7764.9386817326822</v>
      </c>
      <c r="AO44" s="75">
        <f t="shared" si="14"/>
        <v>-3193.013464701181</v>
      </c>
      <c r="AP44" s="22"/>
      <c r="AQ44" s="74">
        <f>'Op6'!AQ35</f>
        <v>6282.3949722976231</v>
      </c>
      <c r="AR44" s="75">
        <f t="shared" si="15"/>
        <v>-4675.5571741362401</v>
      </c>
      <c r="AS44" s="22"/>
      <c r="AT44" s="74">
        <f>'Op7'!AQ35</f>
        <v>7764.9386817326822</v>
      </c>
      <c r="AU44" s="75">
        <f t="shared" si="16"/>
        <v>-3193.013464701181</v>
      </c>
      <c r="AV44" s="22"/>
      <c r="AW44" s="74">
        <f>'Op8'!AQ35</f>
        <v>7382.3431610007483</v>
      </c>
      <c r="AX44" s="75">
        <f t="shared" si="17"/>
        <v>-3575.6089854331149</v>
      </c>
      <c r="AY44" s="75"/>
      <c r="AZ44" s="74">
        <v>7318.2740496934839</v>
      </c>
      <c r="BA44" s="75">
        <v>-3320.5144419898788</v>
      </c>
      <c r="BB44" s="75"/>
      <c r="BC44" s="75">
        <v>7426.8304243665762</v>
      </c>
      <c r="BD44" s="75">
        <v>-3211.9580673167866</v>
      </c>
      <c r="BE44" s="75"/>
      <c r="BF44" s="74">
        <v>7085.1115988768197</v>
      </c>
      <c r="BG44" s="75">
        <v>-3553.676892806543</v>
      </c>
      <c r="BH44" s="75"/>
      <c r="BI44" s="74">
        <v>7124.2752947596891</v>
      </c>
      <c r="BJ44" s="75">
        <v>-3514.5131969236736</v>
      </c>
      <c r="BK44" s="74">
        <v>6516.2884177207097</v>
      </c>
      <c r="BL44" s="75">
        <v>-4122.500073962653</v>
      </c>
      <c r="BM44" s="75"/>
      <c r="BN44" s="74">
        <v>6895.7525793116856</v>
      </c>
      <c r="BO44" s="75">
        <v>-3743.0359123716771</v>
      </c>
      <c r="BP44" s="75"/>
      <c r="BQ44" s="22"/>
      <c r="BR44" s="74">
        <f>'Op9'!AQ35</f>
        <v>7731.7627238112646</v>
      </c>
      <c r="BS44" s="75">
        <f t="shared" si="18"/>
        <v>-3226.1894226225986</v>
      </c>
      <c r="BT44" s="22"/>
      <c r="BU44" s="74">
        <v>7506.5434923292705</v>
      </c>
      <c r="BV44" s="75">
        <v>-3132.2449993540922</v>
      </c>
      <c r="BW44" s="22"/>
      <c r="BX44" s="74">
        <v>7646.4781074416605</v>
      </c>
      <c r="BY44" s="75">
        <v>-2992.3103842417022</v>
      </c>
      <c r="BZ44" s="22"/>
      <c r="CA44" s="74">
        <v>7304.7592819519041</v>
      </c>
      <c r="CB44" s="75">
        <v>-3334.0292097314586</v>
      </c>
      <c r="CC44" s="22"/>
      <c r="CD44" s="74">
        <v>7281.1664969561789</v>
      </c>
      <c r="CE44" s="75">
        <v>-3357.6219947271838</v>
      </c>
      <c r="CF44" s="22"/>
      <c r="CG44" s="74">
        <v>6829.3783320542116</v>
      </c>
      <c r="CH44" s="75">
        <v>-3809.4101596291512</v>
      </c>
      <c r="CI44" s="22"/>
      <c r="CJ44" s="74">
        <v>7210.2274737641419</v>
      </c>
      <c r="CK44" s="75">
        <v>-3428.5610179192208</v>
      </c>
    </row>
    <row r="45" spans="1:89" ht="15.75" customHeight="1" x14ac:dyDescent="0.5">
      <c r="A45" s="96" t="s">
        <v>138</v>
      </c>
      <c r="B45" s="59" t="s">
        <v>139</v>
      </c>
      <c r="C45" s="60" t="s">
        <v>64</v>
      </c>
      <c r="D45" s="61"/>
      <c r="E45" s="62">
        <f>'Avg master'!H34</f>
        <v>699</v>
      </c>
      <c r="F45" s="66">
        <f t="shared" si="0"/>
        <v>2.5855914617530971E-3</v>
      </c>
      <c r="G45" s="61"/>
      <c r="H45" s="64">
        <v>126</v>
      </c>
      <c r="I45" s="64">
        <v>126</v>
      </c>
      <c r="J45" s="64">
        <v>112</v>
      </c>
      <c r="K45" s="65">
        <f t="shared" si="1"/>
        <v>121.33333333333333</v>
      </c>
      <c r="L45" s="66">
        <f t="shared" si="2"/>
        <v>1.0420155558036545E-3</v>
      </c>
      <c r="M45" s="18"/>
      <c r="N45" s="67">
        <v>1227.1218120000001</v>
      </c>
      <c r="O45" s="22"/>
      <c r="P45" s="68">
        <v>1306.88472978</v>
      </c>
      <c r="Q45" s="22"/>
      <c r="R45" s="68">
        <v>1333.0224243756002</v>
      </c>
      <c r="S45" s="69">
        <f t="shared" si="3"/>
        <v>1.9070420949579401</v>
      </c>
      <c r="T45" s="46"/>
      <c r="U45" s="68">
        <f t="shared" si="4"/>
        <v>1373.0130971068681</v>
      </c>
      <c r="V45" s="68">
        <f t="shared" si="5"/>
        <v>39.990672731267978</v>
      </c>
      <c r="W45" s="71">
        <f t="shared" si="6"/>
        <v>2.9999999999999978E-2</v>
      </c>
      <c r="X45" s="22"/>
      <c r="Y45" s="74">
        <f>'Options 1-3'!AQ36</f>
        <v>573.00148214684225</v>
      </c>
      <c r="Z45" s="75">
        <f t="shared" si="7"/>
        <v>-800.0116149600259</v>
      </c>
      <c r="AA45" s="69">
        <f t="shared" si="8"/>
        <v>0.8197446096521348</v>
      </c>
      <c r="AB45" s="22"/>
      <c r="AC45" s="76">
        <v>228.59349652532924</v>
      </c>
      <c r="AD45" s="75">
        <f t="shared" si="9"/>
        <v>-1144.4196005815388</v>
      </c>
      <c r="AE45" s="69">
        <f t="shared" si="10"/>
        <v>0.32702932263995599</v>
      </c>
      <c r="AF45" s="69">
        <f t="shared" si="11"/>
        <v>1.8840123339999664</v>
      </c>
      <c r="AG45" s="77"/>
      <c r="AH45" s="76">
        <f>SUM('Options 1-3'!T36*Summary!$AH$3)</f>
        <v>1035.037</v>
      </c>
      <c r="AI45" s="75">
        <f t="shared" si="12"/>
        <v>-337.97609710686811</v>
      </c>
      <c r="AJ45" s="22"/>
      <c r="AK45" s="74">
        <f>'Op4'!AQ36</f>
        <v>811.87836671194475</v>
      </c>
      <c r="AL45" s="75">
        <f t="shared" si="13"/>
        <v>-561.13473039492339</v>
      </c>
      <c r="AM45" s="22"/>
      <c r="AN45" s="74">
        <f>'Op5'!AQ36</f>
        <v>771.24148594671146</v>
      </c>
      <c r="AO45" s="75">
        <f t="shared" si="14"/>
        <v>-601.77161116015668</v>
      </c>
      <c r="AP45" s="22"/>
      <c r="AQ45" s="74">
        <f>'Op6'!AQ36</f>
        <v>1356.2977909658207</v>
      </c>
      <c r="AR45" s="75">
        <f t="shared" si="15"/>
        <v>-16.715306141047449</v>
      </c>
      <c r="AS45" s="22"/>
      <c r="AT45" s="74">
        <f>'Op7'!AQ36</f>
        <v>771.24148594671146</v>
      </c>
      <c r="AU45" s="75">
        <f t="shared" si="16"/>
        <v>-601.77161116015668</v>
      </c>
      <c r="AV45" s="22"/>
      <c r="AW45" s="74">
        <f>'Op8'!AQ36</f>
        <v>1115.2566215343245</v>
      </c>
      <c r="AX45" s="75">
        <f t="shared" si="17"/>
        <v>-257.75647557254365</v>
      </c>
      <c r="AY45" s="75"/>
      <c r="AZ45" s="74">
        <v>1244.269619353239</v>
      </c>
      <c r="BA45" s="75">
        <v>-88.752805022361144</v>
      </c>
      <c r="BB45" s="75"/>
      <c r="BC45" s="75">
        <v>979.08977999044873</v>
      </c>
      <c r="BD45" s="75">
        <v>-353.93264438515143</v>
      </c>
      <c r="BE45" s="75"/>
      <c r="BF45" s="74">
        <v>1291.6382417100149</v>
      </c>
      <c r="BG45" s="75">
        <v>-41.384182665585286</v>
      </c>
      <c r="BH45" s="75"/>
      <c r="BI45" s="74">
        <v>1305.9459291599378</v>
      </c>
      <c r="BJ45" s="75">
        <v>-27.076495215662362</v>
      </c>
      <c r="BK45" s="74">
        <v>1927.0798944101148</v>
      </c>
      <c r="BL45" s="75">
        <v>594.05747003451461</v>
      </c>
      <c r="BM45" s="75"/>
      <c r="BN45" s="74">
        <v>1903.4035048492915</v>
      </c>
      <c r="BO45" s="75">
        <v>570.38108047369133</v>
      </c>
      <c r="BP45" s="75"/>
      <c r="BQ45" s="22"/>
      <c r="BR45" s="74">
        <f>'Op9'!AQ36</f>
        <v>1188.4507396120705</v>
      </c>
      <c r="BS45" s="75">
        <f t="shared" si="18"/>
        <v>-184.56235749479765</v>
      </c>
      <c r="BT45" s="22"/>
      <c r="BU45" s="74">
        <v>1330.4963089789592</v>
      </c>
      <c r="BV45" s="75">
        <v>-2.5261153966409893</v>
      </c>
      <c r="BW45" s="22"/>
      <c r="BX45" s="74">
        <v>1079.6875845537891</v>
      </c>
      <c r="BY45" s="75">
        <v>-253.3348398218111</v>
      </c>
      <c r="BZ45" s="22"/>
      <c r="CA45" s="74">
        <v>1392.2360462733552</v>
      </c>
      <c r="CB45" s="75">
        <v>59.213621897755047</v>
      </c>
      <c r="CC45" s="22"/>
      <c r="CD45" s="74">
        <v>1377.8015038480378</v>
      </c>
      <c r="CE45" s="75">
        <v>44.779079472437616</v>
      </c>
      <c r="CF45" s="22"/>
      <c r="CG45" s="74">
        <v>2070.4738859693507</v>
      </c>
      <c r="CH45" s="75">
        <v>737.45146159375054</v>
      </c>
      <c r="CI45" s="22"/>
      <c r="CJ45" s="74">
        <v>2047.4318120424562</v>
      </c>
      <c r="CK45" s="75">
        <v>714.40938766685599</v>
      </c>
    </row>
    <row r="46" spans="1:89" ht="15.75" customHeight="1" x14ac:dyDescent="0.5">
      <c r="A46" s="83" t="s">
        <v>140</v>
      </c>
      <c r="B46" s="59" t="s">
        <v>141</v>
      </c>
      <c r="C46" s="94" t="s">
        <v>92</v>
      </c>
      <c r="D46" s="85"/>
      <c r="E46" s="62">
        <f>'Avg master'!H35</f>
        <v>3305</v>
      </c>
      <c r="F46" s="66">
        <f t="shared" si="0"/>
        <v>1.2225149901422011E-2</v>
      </c>
      <c r="G46" s="85"/>
      <c r="H46" s="64">
        <v>1348</v>
      </c>
      <c r="I46" s="64">
        <v>1119</v>
      </c>
      <c r="J46" s="64">
        <v>807</v>
      </c>
      <c r="K46" s="65">
        <f t="shared" si="1"/>
        <v>1091.3333333333333</v>
      </c>
      <c r="L46" s="66">
        <f t="shared" si="2"/>
        <v>9.3724146420361663E-3</v>
      </c>
      <c r="M46" s="18"/>
      <c r="N46" s="67">
        <v>1659.5361648000001</v>
      </c>
      <c r="O46" s="22"/>
      <c r="P46" s="68">
        <v>1767.4060155120001</v>
      </c>
      <c r="Q46" s="22"/>
      <c r="R46" s="68">
        <v>1802.7541358222402</v>
      </c>
      <c r="S46" s="69">
        <f t="shared" si="3"/>
        <v>0.54546267347117705</v>
      </c>
      <c r="T46" s="46"/>
      <c r="U46" s="68">
        <f t="shared" si="4"/>
        <v>1856.8367598969076</v>
      </c>
      <c r="V46" s="68">
        <f t="shared" si="5"/>
        <v>54.082624074667365</v>
      </c>
      <c r="W46" s="71">
        <f t="shared" si="6"/>
        <v>3.0000000000000089E-2</v>
      </c>
      <c r="X46" s="22"/>
      <c r="Y46" s="74">
        <f>'Options 1-3'!AQ37</f>
        <v>2709.2559349003054</v>
      </c>
      <c r="Z46" s="75">
        <f t="shared" si="7"/>
        <v>852.41917500339787</v>
      </c>
      <c r="AA46" s="69">
        <f t="shared" si="8"/>
        <v>0.8197446096521348</v>
      </c>
      <c r="AB46" s="22"/>
      <c r="AC46" s="76">
        <v>2056.0854605052964</v>
      </c>
      <c r="AD46" s="75">
        <f t="shared" si="9"/>
        <v>199.24870060838884</v>
      </c>
      <c r="AE46" s="69">
        <f t="shared" si="10"/>
        <v>0.6221136037837508</v>
      </c>
      <c r="AF46" s="69">
        <f t="shared" si="11"/>
        <v>1.8840123339999664</v>
      </c>
      <c r="AG46" s="77"/>
      <c r="AH46" s="76">
        <f>SUM('Options 1-3'!T37*Summary!$AH$3)</f>
        <v>4670.5754999999999</v>
      </c>
      <c r="AI46" s="75">
        <f t="shared" si="12"/>
        <v>2813.7387401030924</v>
      </c>
      <c r="AJ46" s="22"/>
      <c r="AK46" s="74">
        <f>'Op4'!AQ37</f>
        <v>2381.0865845647627</v>
      </c>
      <c r="AL46" s="75">
        <f t="shared" si="13"/>
        <v>524.24982466785514</v>
      </c>
      <c r="AM46" s="22"/>
      <c r="AN46" s="74">
        <f>'Op5'!AQ37</f>
        <v>2624.550459267979</v>
      </c>
      <c r="AO46" s="75">
        <f t="shared" si="14"/>
        <v>767.71369937107147</v>
      </c>
      <c r="AP46" s="22"/>
      <c r="AQ46" s="74">
        <f>'Op6'!AQ37</f>
        <v>4522.1453010307159</v>
      </c>
      <c r="AR46" s="75">
        <f t="shared" si="15"/>
        <v>2665.3085411338084</v>
      </c>
      <c r="AS46" s="22"/>
      <c r="AT46" s="74">
        <f>'Op7'!AQ37</f>
        <v>2624.550459267979</v>
      </c>
      <c r="AU46" s="75">
        <f t="shared" si="16"/>
        <v>767.71369937107147</v>
      </c>
      <c r="AV46" s="22"/>
      <c r="AW46" s="74">
        <f>'Op8'!AQ37</f>
        <v>3270.1364332479257</v>
      </c>
      <c r="AX46" s="75">
        <f t="shared" si="17"/>
        <v>1413.2996733510181</v>
      </c>
      <c r="AY46" s="75"/>
      <c r="AZ46" s="74">
        <v>3244.0411958803434</v>
      </c>
      <c r="BA46" s="75">
        <v>1441.2870600581032</v>
      </c>
      <c r="BB46" s="75"/>
      <c r="BC46" s="75">
        <v>3277.305510984007</v>
      </c>
      <c r="BD46" s="75">
        <v>1474.5513751617668</v>
      </c>
      <c r="BE46" s="75"/>
      <c r="BF46" s="74">
        <v>3410.5091689579272</v>
      </c>
      <c r="BG46" s="75">
        <v>1607.755033135687</v>
      </c>
      <c r="BH46" s="75"/>
      <c r="BI46" s="74">
        <v>3448.361488220929</v>
      </c>
      <c r="BJ46" s="75">
        <v>1645.6073523986888</v>
      </c>
      <c r="BK46" s="74">
        <v>3134.9985118945024</v>
      </c>
      <c r="BL46" s="75">
        <v>1332.2443760722622</v>
      </c>
      <c r="BM46" s="75"/>
      <c r="BN46" s="74">
        <v>3311.5104945565213</v>
      </c>
      <c r="BO46" s="75">
        <v>1508.7563587342811</v>
      </c>
      <c r="BP46" s="75"/>
      <c r="BQ46" s="22"/>
      <c r="BR46" s="74">
        <f>'Op9'!AQ37</f>
        <v>3518.9098795381128</v>
      </c>
      <c r="BS46" s="75">
        <f t="shared" si="18"/>
        <v>1662.0731196412053</v>
      </c>
      <c r="BT46" s="22"/>
      <c r="BU46" s="74">
        <v>3417.5078596814496</v>
      </c>
      <c r="BV46" s="75">
        <v>1614.7537238592095</v>
      </c>
      <c r="BW46" s="22"/>
      <c r="BX46" s="74">
        <v>3479.6832854186305</v>
      </c>
      <c r="BY46" s="75">
        <v>1676.9291495963903</v>
      </c>
      <c r="BZ46" s="22"/>
      <c r="CA46" s="74">
        <v>3612.8869433925506</v>
      </c>
      <c r="CB46" s="75">
        <v>1810.1328075703104</v>
      </c>
      <c r="CC46" s="22"/>
      <c r="CD46" s="74">
        <v>3592.9170413885176</v>
      </c>
      <c r="CE46" s="75">
        <v>1790.1629055662775</v>
      </c>
      <c r="CF46" s="22"/>
      <c r="CG46" s="74">
        <v>3423.4715755465381</v>
      </c>
      <c r="CH46" s="75">
        <v>1620.7174397242979</v>
      </c>
      <c r="CI46" s="22"/>
      <c r="CJ46" s="74">
        <v>3601.2596435748405</v>
      </c>
      <c r="CK46" s="75">
        <v>1798.5055077526004</v>
      </c>
    </row>
    <row r="47" spans="1:89" ht="15.75" customHeight="1" x14ac:dyDescent="0.5">
      <c r="A47" s="83" t="s">
        <v>142</v>
      </c>
      <c r="B47" s="59" t="s">
        <v>143</v>
      </c>
      <c r="C47" s="85" t="s">
        <v>72</v>
      </c>
      <c r="D47" s="85"/>
      <c r="E47" s="62">
        <f>'Avg master'!H36</f>
        <v>26715</v>
      </c>
      <c r="F47" s="66">
        <f t="shared" si="0"/>
        <v>9.8818420458846909E-2</v>
      </c>
      <c r="G47" s="85"/>
      <c r="H47" s="64">
        <v>7591</v>
      </c>
      <c r="I47" s="64">
        <v>5625</v>
      </c>
      <c r="J47" s="64">
        <v>3928</v>
      </c>
      <c r="K47" s="65">
        <f t="shared" si="1"/>
        <v>5714.666666666667</v>
      </c>
      <c r="L47" s="66">
        <f t="shared" si="2"/>
        <v>4.9077787606312782E-2</v>
      </c>
      <c r="M47" s="18"/>
      <c r="N47" s="67">
        <v>12271.218120000003</v>
      </c>
      <c r="O47" s="22"/>
      <c r="P47" s="68">
        <v>13068.847297800003</v>
      </c>
      <c r="Q47" s="22"/>
      <c r="R47" s="68">
        <v>13330.224243756003</v>
      </c>
      <c r="S47" s="69">
        <f t="shared" si="3"/>
        <v>0.49897900968579462</v>
      </c>
      <c r="T47" s="46"/>
      <c r="U47" s="68">
        <f t="shared" si="4"/>
        <v>13730.130971068684</v>
      </c>
      <c r="V47" s="68">
        <f t="shared" si="5"/>
        <v>399.90672731268023</v>
      </c>
      <c r="W47" s="71">
        <f t="shared" si="6"/>
        <v>3.0000000000000009E-2</v>
      </c>
      <c r="X47" s="22"/>
      <c r="Y47" s="74">
        <f>'Options 1-3'!AQ38</f>
        <v>21899.477246856783</v>
      </c>
      <c r="Z47" s="75">
        <f t="shared" si="7"/>
        <v>8169.3462757880989</v>
      </c>
      <c r="AA47" s="69">
        <f t="shared" si="8"/>
        <v>0.8197446096521348</v>
      </c>
      <c r="AB47" s="22"/>
      <c r="AC47" s="76">
        <v>10766.502484698474</v>
      </c>
      <c r="AD47" s="75">
        <f t="shared" si="9"/>
        <v>-2963.6284863702094</v>
      </c>
      <c r="AE47" s="69">
        <f t="shared" si="10"/>
        <v>0.40301338142236476</v>
      </c>
      <c r="AF47" s="69">
        <f t="shared" si="11"/>
        <v>1.8840123339999661</v>
      </c>
      <c r="AG47" s="77"/>
      <c r="AH47" s="76">
        <f>SUM('Options 1-3'!T38*Summary!$AH$3)</f>
        <v>20234.692000000003</v>
      </c>
      <c r="AI47" s="75">
        <f t="shared" si="12"/>
        <v>6504.561028931319</v>
      </c>
      <c r="AJ47" s="22"/>
      <c r="AK47" s="74">
        <f>'Op4'!AQ38</f>
        <v>9860.4398428529385</v>
      </c>
      <c r="AL47" s="75">
        <f t="shared" si="13"/>
        <v>-3869.6911282157453</v>
      </c>
      <c r="AM47" s="22"/>
      <c r="AN47" s="74">
        <f>'Op5'!AQ38</f>
        <v>9238.7912256175987</v>
      </c>
      <c r="AO47" s="75">
        <f t="shared" si="14"/>
        <v>-4491.339745451085</v>
      </c>
      <c r="AP47" s="22"/>
      <c r="AQ47" s="74">
        <f>'Op6'!AQ38</f>
        <v>16112.922395938236</v>
      </c>
      <c r="AR47" s="75">
        <f t="shared" si="15"/>
        <v>2382.7914248695524</v>
      </c>
      <c r="AS47" s="22"/>
      <c r="AT47" s="74">
        <f>'Op7'!AQ38</f>
        <v>9238.7912256175987</v>
      </c>
      <c r="AU47" s="75">
        <f t="shared" si="16"/>
        <v>-4491.339745451085</v>
      </c>
      <c r="AV47" s="22"/>
      <c r="AW47" s="74">
        <f>'Op8'!AQ38</f>
        <v>11330.199836558855</v>
      </c>
      <c r="AX47" s="75">
        <f t="shared" si="17"/>
        <v>-2399.9311345098286</v>
      </c>
      <c r="AY47" s="75"/>
      <c r="AZ47" s="74">
        <v>10640.070194782673</v>
      </c>
      <c r="BA47" s="75">
        <v>-2690.1540489733306</v>
      </c>
      <c r="BB47" s="75"/>
      <c r="BC47" s="75">
        <v>11893.715706248648</v>
      </c>
      <c r="BD47" s="75">
        <v>-1436.5085375073559</v>
      </c>
      <c r="BE47" s="75"/>
      <c r="BF47" s="74">
        <v>11068.950192678873</v>
      </c>
      <c r="BG47" s="75">
        <v>-2261.2740510771309</v>
      </c>
      <c r="BH47" s="75"/>
      <c r="BI47" s="74">
        <v>11322.177736851652</v>
      </c>
      <c r="BJ47" s="75">
        <v>-2008.0465069043512</v>
      </c>
      <c r="BK47" s="74">
        <v>7611.3854798622833</v>
      </c>
      <c r="BL47" s="75">
        <v>-5718.8387638937202</v>
      </c>
      <c r="BM47" s="75"/>
      <c r="BN47" s="74">
        <v>6865.5358552153075</v>
      </c>
      <c r="BO47" s="75">
        <v>-6464.688388540696</v>
      </c>
      <c r="BP47" s="75"/>
      <c r="BQ47" s="22"/>
      <c r="BR47" s="74">
        <f>'Op9'!AQ38</f>
        <v>13763.302640438182</v>
      </c>
      <c r="BS47" s="75">
        <f t="shared" si="18"/>
        <v>33.171669369497977</v>
      </c>
      <c r="BT47" s="22"/>
      <c r="BU47" s="74">
        <v>13527.916856473172</v>
      </c>
      <c r="BV47" s="75">
        <v>197.69261271716823</v>
      </c>
      <c r="BW47" s="22"/>
      <c r="BX47" s="74">
        <v>15262.870144887562</v>
      </c>
      <c r="BY47" s="75">
        <v>1932.6459011315583</v>
      </c>
      <c r="BZ47" s="22"/>
      <c r="CA47" s="74">
        <v>14438.104631317789</v>
      </c>
      <c r="CB47" s="75">
        <v>1107.880387561785</v>
      </c>
      <c r="CC47" s="22"/>
      <c r="CD47" s="74">
        <v>13728.716621593732</v>
      </c>
      <c r="CE47" s="75">
        <v>398.49237783772878</v>
      </c>
      <c r="CF47" s="22"/>
      <c r="CG47" s="74">
        <v>12413.84121170445</v>
      </c>
      <c r="CH47" s="75">
        <v>-916.38303205155353</v>
      </c>
      <c r="CI47" s="22"/>
      <c r="CJ47" s="74">
        <v>11689.235662341469</v>
      </c>
      <c r="CK47" s="75">
        <v>-1640.9885814145346</v>
      </c>
    </row>
    <row r="48" spans="1:89" ht="15.75" customHeight="1" x14ac:dyDescent="0.5">
      <c r="A48" s="83" t="s">
        <v>144</v>
      </c>
      <c r="B48" s="59" t="s">
        <v>145</v>
      </c>
      <c r="C48" s="104" t="s">
        <v>118</v>
      </c>
      <c r="D48" s="85"/>
      <c r="E48" s="62">
        <f>'Avg master'!H37</f>
        <v>914.33333333333337</v>
      </c>
      <c r="F48" s="66">
        <f t="shared" si="0"/>
        <v>3.3821065234090346E-3</v>
      </c>
      <c r="G48" s="85"/>
      <c r="H48" s="64">
        <v>952</v>
      </c>
      <c r="I48" s="64">
        <v>904</v>
      </c>
      <c r="J48" s="64">
        <v>887</v>
      </c>
      <c r="K48" s="65">
        <f t="shared" si="1"/>
        <v>914.33333333333337</v>
      </c>
      <c r="L48" s="66">
        <f t="shared" si="2"/>
        <v>7.8523315098061111E-3</v>
      </c>
      <c r="M48" s="18"/>
      <c r="N48" s="67">
        <v>2454.2436240000002</v>
      </c>
      <c r="O48" s="22"/>
      <c r="P48" s="68">
        <v>2613.7694595600001</v>
      </c>
      <c r="Q48" s="22"/>
      <c r="R48" s="68">
        <v>2666.0448487512003</v>
      </c>
      <c r="S48" s="69">
        <f t="shared" si="3"/>
        <v>2.9158346869316807</v>
      </c>
      <c r="T48" s="46"/>
      <c r="U48" s="68">
        <f t="shared" si="4"/>
        <v>2746.0261942137363</v>
      </c>
      <c r="V48" s="68">
        <f t="shared" si="5"/>
        <v>79.981345462535955</v>
      </c>
      <c r="W48" s="71">
        <f t="shared" si="6"/>
        <v>2.9999999999999978E-2</v>
      </c>
      <c r="X48" s="22"/>
      <c r="Y48" s="74">
        <f>'Options 1-3'!AQ39</f>
        <v>749.51982142526867</v>
      </c>
      <c r="Z48" s="75">
        <f t="shared" si="7"/>
        <v>-1996.5063727884676</v>
      </c>
      <c r="AA48" s="69">
        <f t="shared" si="8"/>
        <v>0.81974460965213491</v>
      </c>
      <c r="AB48" s="22"/>
      <c r="AC48" s="76">
        <v>1722.6152773873025</v>
      </c>
      <c r="AD48" s="75">
        <f t="shared" si="9"/>
        <v>-1023.4109168264338</v>
      </c>
      <c r="AE48" s="69">
        <f t="shared" si="10"/>
        <v>1.8840123339999661</v>
      </c>
      <c r="AF48" s="69">
        <f t="shared" si="11"/>
        <v>1.8840123339999661</v>
      </c>
      <c r="AG48" s="77"/>
      <c r="AH48" s="76">
        <f>SUM('Options 1-3'!T39*Summary!$AH$3)</f>
        <v>2174.0080000000003</v>
      </c>
      <c r="AI48" s="75">
        <f t="shared" si="12"/>
        <v>-572.01819421373602</v>
      </c>
      <c r="AJ48" s="22"/>
      <c r="AK48" s="74">
        <f>'Op4'!AQ39</f>
        <v>2094.7465283173933</v>
      </c>
      <c r="AL48" s="75">
        <f t="shared" si="13"/>
        <v>-651.27966589634298</v>
      </c>
      <c r="AM48" s="22"/>
      <c r="AN48" s="74">
        <f>'Op5'!AQ39</f>
        <v>1869.5208648089306</v>
      </c>
      <c r="AO48" s="75">
        <f t="shared" si="14"/>
        <v>-876.50532940480571</v>
      </c>
      <c r="AP48" s="22"/>
      <c r="AQ48" s="74">
        <f>'Op6'!AQ39</f>
        <v>2198.0172235486657</v>
      </c>
      <c r="AR48" s="75">
        <f t="shared" si="15"/>
        <v>-548.00897066507059</v>
      </c>
      <c r="AS48" s="22"/>
      <c r="AT48" s="74">
        <f>'Op7'!AQ39</f>
        <v>1869.5208648089306</v>
      </c>
      <c r="AU48" s="75">
        <f t="shared" si="16"/>
        <v>-876.50532940480571</v>
      </c>
      <c r="AV48" s="22"/>
      <c r="AW48" s="74">
        <f>'Op8'!AQ39</f>
        <v>1681.3824591295443</v>
      </c>
      <c r="AX48" s="75">
        <f t="shared" si="17"/>
        <v>-1064.643735084192</v>
      </c>
      <c r="AY48" s="75"/>
      <c r="AZ48" s="74">
        <v>1761.8018904826934</v>
      </c>
      <c r="BA48" s="75">
        <v>-904.24295826850698</v>
      </c>
      <c r="BB48" s="75"/>
      <c r="BC48" s="75">
        <v>1661.8254299651383</v>
      </c>
      <c r="BD48" s="75">
        <v>-1004.2194187860621</v>
      </c>
      <c r="BE48" s="75"/>
      <c r="BF48" s="74">
        <v>1983.0357274888906</v>
      </c>
      <c r="BG48" s="75">
        <v>-683.00912126230969</v>
      </c>
      <c r="BH48" s="75"/>
      <c r="BI48" s="74">
        <v>1861.3109231114047</v>
      </c>
      <c r="BJ48" s="75">
        <v>-804.73392563979564</v>
      </c>
      <c r="BK48" s="74">
        <v>2549.0278066462683</v>
      </c>
      <c r="BL48" s="75">
        <v>-117.01704210493199</v>
      </c>
      <c r="BM48" s="75"/>
      <c r="BN48" s="74">
        <v>2586.4123749954597</v>
      </c>
      <c r="BO48" s="75">
        <v>-79.632473755740648</v>
      </c>
      <c r="BP48" s="75"/>
      <c r="BQ48" s="22"/>
      <c r="BR48" s="74">
        <f>'Op9'!AQ39</f>
        <v>1446.7505788499393</v>
      </c>
      <c r="BS48" s="75">
        <f t="shared" si="18"/>
        <v>-1299.275615363797</v>
      </c>
      <c r="BT48" s="22"/>
      <c r="BU48" s="74">
        <v>1515.8739949636517</v>
      </c>
      <c r="BV48" s="75">
        <v>-1150.1708537875486</v>
      </c>
      <c r="BW48" s="22"/>
      <c r="BX48" s="74">
        <v>1374.9095518595896</v>
      </c>
      <c r="BY48" s="75">
        <v>-1291.1352968916108</v>
      </c>
      <c r="BZ48" s="22"/>
      <c r="CA48" s="74">
        <v>1696.1198493833422</v>
      </c>
      <c r="CB48" s="75">
        <v>-969.92499936785816</v>
      </c>
      <c r="CC48" s="22"/>
      <c r="CD48" s="74">
        <v>1656.3710101788702</v>
      </c>
      <c r="CE48" s="75">
        <v>-1009.6738385723302</v>
      </c>
      <c r="CF48" s="22"/>
      <c r="CG48" s="74">
        <v>2140.0525493644536</v>
      </c>
      <c r="CH48" s="75">
        <v>-525.99229938674671</v>
      </c>
      <c r="CI48" s="22"/>
      <c r="CJ48" s="74">
        <v>2175.6279805471363</v>
      </c>
      <c r="CK48" s="75">
        <v>-490.41686820406403</v>
      </c>
    </row>
    <row r="49" spans="1:89" ht="15.75" customHeight="1" x14ac:dyDescent="0.5">
      <c r="A49" s="83" t="s">
        <v>146</v>
      </c>
      <c r="B49" s="90" t="s">
        <v>147</v>
      </c>
      <c r="C49" s="104" t="s">
        <v>81</v>
      </c>
      <c r="D49" s="85"/>
      <c r="E49" s="62">
        <f>'Avg master'!H38</f>
        <v>369.33333333333331</v>
      </c>
      <c r="F49" s="66">
        <f t="shared" si="0"/>
        <v>1.3661589602395954E-3</v>
      </c>
      <c r="G49" s="85"/>
      <c r="H49" s="64">
        <v>371</v>
      </c>
      <c r="I49" s="64">
        <v>369</v>
      </c>
      <c r="J49" s="64">
        <v>368</v>
      </c>
      <c r="K49" s="65">
        <f t="shared" si="1"/>
        <v>369.33333333333331</v>
      </c>
      <c r="L49" s="66">
        <f t="shared" si="2"/>
        <v>3.1718495489847505E-3</v>
      </c>
      <c r="M49" s="18"/>
      <c r="N49" s="67">
        <v>1227.1218120000001</v>
      </c>
      <c r="O49" s="22"/>
      <c r="P49" s="68">
        <v>1306.88472978</v>
      </c>
      <c r="Q49" s="22"/>
      <c r="R49" s="68">
        <v>1333.0224243756002</v>
      </c>
      <c r="S49" s="69">
        <f t="shared" si="3"/>
        <v>3.6092664919916975</v>
      </c>
      <c r="T49" s="46"/>
      <c r="U49" s="68">
        <f t="shared" si="4"/>
        <v>1373.0130971068681</v>
      </c>
      <c r="V49" s="68">
        <f t="shared" si="5"/>
        <v>39.990672731267978</v>
      </c>
      <c r="W49" s="71">
        <f t="shared" si="6"/>
        <v>2.9999999999999978E-2</v>
      </c>
      <c r="X49" s="22"/>
      <c r="Y49" s="74">
        <f>'Options 1-3'!AQ40</f>
        <v>302.75900916485512</v>
      </c>
      <c r="Z49" s="75">
        <f t="shared" si="7"/>
        <v>-1070.254087942013</v>
      </c>
      <c r="AA49" s="69">
        <f t="shared" si="8"/>
        <v>0.8197446096521348</v>
      </c>
      <c r="AB49" s="22"/>
      <c r="AC49" s="76">
        <v>695.82855535732085</v>
      </c>
      <c r="AD49" s="75">
        <f t="shared" si="9"/>
        <v>-677.18454174954729</v>
      </c>
      <c r="AE49" s="69">
        <f t="shared" si="10"/>
        <v>1.8840123339999664</v>
      </c>
      <c r="AF49" s="69">
        <f t="shared" si="11"/>
        <v>1.8840123339999664</v>
      </c>
      <c r="AG49" s="77"/>
      <c r="AH49" s="76">
        <f>SUM('Options 1-3'!T40*Summary!$AH$3)</f>
        <v>2353.9065000000001</v>
      </c>
      <c r="AI49" s="75">
        <f t="shared" si="12"/>
        <v>980.89340289313191</v>
      </c>
      <c r="AJ49" s="22"/>
      <c r="AK49" s="74">
        <f>'Op4'!AQ40</f>
        <v>1213.077993544418</v>
      </c>
      <c r="AL49" s="75">
        <f t="shared" si="13"/>
        <v>-159.93510356245019</v>
      </c>
      <c r="AM49" s="22"/>
      <c r="AN49" s="74">
        <f>'Op5'!AQ40</f>
        <v>1022.4136492250705</v>
      </c>
      <c r="AO49" s="75">
        <f t="shared" si="14"/>
        <v>-350.59944788179769</v>
      </c>
      <c r="AP49" s="22"/>
      <c r="AQ49" s="74">
        <f>'Op6'!AQ40</f>
        <v>2225.455879555449</v>
      </c>
      <c r="AR49" s="75">
        <f t="shared" si="15"/>
        <v>852.44278244858083</v>
      </c>
      <c r="AS49" s="22"/>
      <c r="AT49" s="74">
        <f>'Op7'!AQ40</f>
        <v>1022.4136492250705</v>
      </c>
      <c r="AU49" s="75">
        <f t="shared" si="16"/>
        <v>-350.59944788179769</v>
      </c>
      <c r="AV49" s="22"/>
      <c r="AW49" s="74">
        <f>'Op8'!AQ40</f>
        <v>1343.9220322119236</v>
      </c>
      <c r="AX49" s="75">
        <f t="shared" si="17"/>
        <v>-29.091064894944566</v>
      </c>
      <c r="AY49" s="75"/>
      <c r="AZ49" s="74">
        <v>1416.6661937672977</v>
      </c>
      <c r="BA49" s="75">
        <v>83.64376939169756</v>
      </c>
      <c r="BB49" s="75"/>
      <c r="BC49" s="75">
        <v>1288.6898254341647</v>
      </c>
      <c r="BD49" s="75">
        <v>-44.332598941435435</v>
      </c>
      <c r="BE49" s="75"/>
      <c r="BF49" s="74">
        <v>1610.7364381390114</v>
      </c>
      <c r="BG49" s="75">
        <v>277.71401376341123</v>
      </c>
      <c r="BH49" s="75"/>
      <c r="BI49" s="74">
        <v>1575.712528583781</v>
      </c>
      <c r="BJ49" s="75">
        <v>242.69010420818086</v>
      </c>
      <c r="BK49" s="74">
        <v>2025.5167605387956</v>
      </c>
      <c r="BL49" s="75">
        <v>692.49433616319538</v>
      </c>
      <c r="BM49" s="75"/>
      <c r="BN49" s="74">
        <v>2028.4694599586578</v>
      </c>
      <c r="BO49" s="75">
        <v>695.44703558305764</v>
      </c>
      <c r="BP49" s="75"/>
      <c r="BQ49" s="22"/>
      <c r="BR49" s="74">
        <f>'Op9'!AQ40</f>
        <v>1242.3539558130954</v>
      </c>
      <c r="BS49" s="75">
        <f t="shared" si="18"/>
        <v>-130.65914129377279</v>
      </c>
      <c r="BT49" s="22"/>
      <c r="BU49" s="74">
        <v>1317.3267449028797</v>
      </c>
      <c r="BV49" s="75">
        <v>-15.695679472720485</v>
      </c>
      <c r="BW49" s="22"/>
      <c r="BX49" s="74">
        <v>1172.7938017590106</v>
      </c>
      <c r="BY49" s="75">
        <v>-160.22862261658952</v>
      </c>
      <c r="BZ49" s="22"/>
      <c r="CA49" s="74">
        <v>1494.8404144638573</v>
      </c>
      <c r="CB49" s="75">
        <v>161.81799008825715</v>
      </c>
      <c r="CC49" s="22"/>
      <c r="CD49" s="74">
        <v>1492.9296545300992</v>
      </c>
      <c r="CE49" s="75">
        <v>159.90723015449908</v>
      </c>
      <c r="CF49" s="22"/>
      <c r="CG49" s="74">
        <v>1860.3164014180331</v>
      </c>
      <c r="CH49" s="75">
        <v>527.29397704243297</v>
      </c>
      <c r="CI49" s="22"/>
      <c r="CJ49" s="74">
        <v>1862.538322864694</v>
      </c>
      <c r="CK49" s="75">
        <v>529.51589848909384</v>
      </c>
    </row>
    <row r="50" spans="1:89" ht="15.75" customHeight="1" x14ac:dyDescent="0.5">
      <c r="A50" s="83" t="s">
        <v>148</v>
      </c>
      <c r="B50" s="59" t="s">
        <v>149</v>
      </c>
      <c r="C50" s="115" t="s">
        <v>135</v>
      </c>
      <c r="D50" s="85"/>
      <c r="E50" s="62">
        <f>'Avg master'!H39</f>
        <v>10354</v>
      </c>
      <c r="F50" s="66">
        <f t="shared" si="0"/>
        <v>3.8299304713864904E-2</v>
      </c>
      <c r="G50" s="85"/>
      <c r="H50" s="64">
        <v>4494</v>
      </c>
      <c r="I50" s="64">
        <v>3364</v>
      </c>
      <c r="J50" s="64">
        <v>2719</v>
      </c>
      <c r="K50" s="65">
        <f t="shared" si="1"/>
        <v>3525.6666666666665</v>
      </c>
      <c r="L50" s="66">
        <f t="shared" si="2"/>
        <v>3.0278567400371575E-2</v>
      </c>
      <c r="M50" s="18"/>
      <c r="N50" s="67">
        <v>9793.6007472000019</v>
      </c>
      <c r="O50" s="22"/>
      <c r="P50" s="68">
        <v>10430.184795768002</v>
      </c>
      <c r="Q50" s="22"/>
      <c r="R50" s="68">
        <v>10638.788491683363</v>
      </c>
      <c r="S50" s="69">
        <f t="shared" si="3"/>
        <v>1.027505166281955</v>
      </c>
      <c r="T50" s="46"/>
      <c r="U50" s="68">
        <f t="shared" si="4"/>
        <v>10957.952146433863</v>
      </c>
      <c r="V50" s="68">
        <f t="shared" si="5"/>
        <v>319.16365475050043</v>
      </c>
      <c r="W50" s="71">
        <f t="shared" si="6"/>
        <v>2.9999999999999957E-2</v>
      </c>
      <c r="X50" s="22"/>
      <c r="Y50" s="74">
        <f>'Options 1-3'!AQ41</f>
        <v>8487.635688338205</v>
      </c>
      <c r="Z50" s="75">
        <f t="shared" si="7"/>
        <v>-2470.3164580956582</v>
      </c>
      <c r="AA50" s="69">
        <f t="shared" si="8"/>
        <v>0.81974460965213491</v>
      </c>
      <c r="AB50" s="22"/>
      <c r="AC50" s="76">
        <v>6642.3994855725477</v>
      </c>
      <c r="AD50" s="75">
        <f t="shared" si="9"/>
        <v>-4315.5526608613154</v>
      </c>
      <c r="AE50" s="69">
        <f t="shared" si="10"/>
        <v>0.64152979385479503</v>
      </c>
      <c r="AF50" s="69">
        <f t="shared" si="11"/>
        <v>1.8840123339999664</v>
      </c>
      <c r="AG50" s="77"/>
      <c r="AH50" s="76">
        <f>SUM('Options 1-3'!T41*Summary!$AH$3)</f>
        <v>7196.6020000000008</v>
      </c>
      <c r="AI50" s="75">
        <f t="shared" si="12"/>
        <v>-3761.3501464338624</v>
      </c>
      <c r="AJ50" s="22"/>
      <c r="AK50" s="74">
        <f>'Op4'!AQ41</f>
        <v>6319.2060398840513</v>
      </c>
      <c r="AL50" s="75">
        <f t="shared" si="13"/>
        <v>-4638.7461065498119</v>
      </c>
      <c r="AM50" s="22"/>
      <c r="AN50" s="74">
        <f>'Op5'!AQ41</f>
        <v>6922.2773322005596</v>
      </c>
      <c r="AO50" s="75">
        <f t="shared" si="14"/>
        <v>-4035.6748142333036</v>
      </c>
      <c r="AP50" s="22"/>
      <c r="AQ50" s="74">
        <f>'Op6'!AQ41</f>
        <v>7328.4919515246893</v>
      </c>
      <c r="AR50" s="75">
        <f t="shared" si="15"/>
        <v>-3629.4601949091739</v>
      </c>
      <c r="AS50" s="22"/>
      <c r="AT50" s="74">
        <f>'Op7'!AQ41</f>
        <v>6922.2773322005596</v>
      </c>
      <c r="AU50" s="75">
        <f t="shared" si="16"/>
        <v>-4035.6748142333036</v>
      </c>
      <c r="AV50" s="22"/>
      <c r="AW50" s="74">
        <f>'Op8'!AQ41</f>
        <v>6369.5951696153406</v>
      </c>
      <c r="AX50" s="75">
        <f t="shared" si="17"/>
        <v>-4588.3569768185225</v>
      </c>
      <c r="AY50" s="75"/>
      <c r="AZ50" s="74">
        <v>6235.7284116190194</v>
      </c>
      <c r="BA50" s="75">
        <v>-4403.0600800643433</v>
      </c>
      <c r="BB50" s="75"/>
      <c r="BC50" s="75">
        <v>6593.1856988510099</v>
      </c>
      <c r="BD50" s="75">
        <v>-4045.6027928323529</v>
      </c>
      <c r="BE50" s="75"/>
      <c r="BF50" s="74">
        <v>6552.6896805516662</v>
      </c>
      <c r="BG50" s="75">
        <v>-4086.0988111316965</v>
      </c>
      <c r="BH50" s="75"/>
      <c r="BI50" s="74">
        <v>6373.2421380729711</v>
      </c>
      <c r="BJ50" s="75">
        <v>-4265.5463536103916</v>
      </c>
      <c r="BK50" s="74">
        <v>6068.4567056815949</v>
      </c>
      <c r="BL50" s="75">
        <v>-4570.3317860017678</v>
      </c>
      <c r="BM50" s="75"/>
      <c r="BN50" s="74">
        <v>6236.5977028946163</v>
      </c>
      <c r="BO50" s="75">
        <v>-4402.1907887887464</v>
      </c>
      <c r="BP50" s="75"/>
      <c r="BQ50" s="22"/>
      <c r="BR50" s="74">
        <f>'Op9'!AQ41</f>
        <v>6905.1639552633414</v>
      </c>
      <c r="BS50" s="75">
        <f t="shared" si="18"/>
        <v>-4052.7881911705217</v>
      </c>
      <c r="BT50" s="22"/>
      <c r="BU50" s="74">
        <v>6595.6901290958685</v>
      </c>
      <c r="BV50" s="75">
        <v>-4043.0983625874942</v>
      </c>
      <c r="BW50" s="22"/>
      <c r="BX50" s="74">
        <v>7013.1410359073325</v>
      </c>
      <c r="BY50" s="75">
        <v>-3625.6474557760303</v>
      </c>
      <c r="BZ50" s="22"/>
      <c r="CA50" s="74">
        <v>6972.6450176079888</v>
      </c>
      <c r="CB50" s="75">
        <v>-3666.1434740753739</v>
      </c>
      <c r="CC50" s="22"/>
      <c r="CD50" s="74">
        <v>6673.210235970344</v>
      </c>
      <c r="CE50" s="75">
        <v>-3965.5782557130187</v>
      </c>
      <c r="CF50" s="22"/>
      <c r="CG50" s="74">
        <v>6667.0688952666496</v>
      </c>
      <c r="CH50" s="75">
        <v>-3971.7195964167131</v>
      </c>
      <c r="CI50" s="22"/>
      <c r="CJ50" s="74">
        <v>6837.8579048990559</v>
      </c>
      <c r="CK50" s="75">
        <v>-3800.9305867843068</v>
      </c>
    </row>
    <row r="51" spans="1:89" ht="15.75" customHeight="1" x14ac:dyDescent="0.5">
      <c r="A51" s="80" t="s">
        <v>150</v>
      </c>
      <c r="B51" s="59" t="s">
        <v>151</v>
      </c>
      <c r="C51" s="84" t="s">
        <v>72</v>
      </c>
      <c r="D51" s="82"/>
      <c r="E51" s="62">
        <f>'Avg master'!H40</f>
        <v>24124.333333333332</v>
      </c>
      <c r="F51" s="66">
        <f t="shared" si="0"/>
        <v>8.9235579809946064E-2</v>
      </c>
      <c r="G51" s="82"/>
      <c r="H51" s="64">
        <v>8020</v>
      </c>
      <c r="I51" s="64">
        <v>7378</v>
      </c>
      <c r="J51" s="64">
        <v>6220</v>
      </c>
      <c r="K51" s="65">
        <f t="shared" si="1"/>
        <v>7206</v>
      </c>
      <c r="L51" s="66">
        <f t="shared" si="2"/>
        <v>6.1885418366382977E-2</v>
      </c>
      <c r="M51" s="18"/>
      <c r="N51" s="67">
        <v>12271.218120000003</v>
      </c>
      <c r="O51" s="22"/>
      <c r="P51" s="68">
        <v>13068.847297800003</v>
      </c>
      <c r="Q51" s="22"/>
      <c r="R51" s="68">
        <v>13330.224243756003</v>
      </c>
      <c r="S51" s="69">
        <f t="shared" si="3"/>
        <v>0.5525634246371991</v>
      </c>
      <c r="T51" s="46"/>
      <c r="U51" s="68">
        <f t="shared" si="4"/>
        <v>13730.130971068684</v>
      </c>
      <c r="V51" s="68">
        <f t="shared" si="5"/>
        <v>399.90672731268023</v>
      </c>
      <c r="W51" s="71">
        <f t="shared" si="6"/>
        <v>3.0000000000000009E-2</v>
      </c>
      <c r="X51" s="22"/>
      <c r="Y51" s="74">
        <f>'Options 1-3'!AQ42</f>
        <v>19775.792211451317</v>
      </c>
      <c r="Z51" s="75">
        <f t="shared" si="7"/>
        <v>6045.661240382633</v>
      </c>
      <c r="AA51" s="69">
        <f t="shared" si="8"/>
        <v>0.8197446096521348</v>
      </c>
      <c r="AB51" s="22"/>
      <c r="AC51" s="76">
        <v>13576.192878803757</v>
      </c>
      <c r="AD51" s="75">
        <f t="shared" si="9"/>
        <v>-153.93809226492704</v>
      </c>
      <c r="AE51" s="69">
        <f t="shared" si="10"/>
        <v>0.56275929747849707</v>
      </c>
      <c r="AF51" s="69">
        <f t="shared" si="11"/>
        <v>1.8840123339999661</v>
      </c>
      <c r="AG51" s="77"/>
      <c r="AH51" s="76">
        <f>SUM('Options 1-3'!T42*Summary!$AH$3)</f>
        <v>8660.9459999999999</v>
      </c>
      <c r="AI51" s="75">
        <f t="shared" si="12"/>
        <v>-5069.1849710686838</v>
      </c>
      <c r="AJ51" s="22"/>
      <c r="AK51" s="74">
        <f>'Op4'!AQ42</f>
        <v>12273.030071950361</v>
      </c>
      <c r="AL51" s="75">
        <f t="shared" si="13"/>
        <v>-1457.1008991183226</v>
      </c>
      <c r="AM51" s="22"/>
      <c r="AN51" s="74">
        <f>'Op5'!AQ42</f>
        <v>14154.83381406238</v>
      </c>
      <c r="AO51" s="75">
        <f t="shared" si="14"/>
        <v>424.70284299369632</v>
      </c>
      <c r="AP51" s="22"/>
      <c r="AQ51" s="74">
        <f>'Op6'!AQ42</f>
        <v>10598.521577044075</v>
      </c>
      <c r="AR51" s="75">
        <f t="shared" si="15"/>
        <v>-3131.6093940246083</v>
      </c>
      <c r="AS51" s="22"/>
      <c r="AT51" s="74">
        <f>'Op7'!AQ42</f>
        <v>14154.83381406238</v>
      </c>
      <c r="AU51" s="75">
        <f t="shared" si="16"/>
        <v>424.70284299369632</v>
      </c>
      <c r="AV51" s="22"/>
      <c r="AW51" s="74">
        <f>'Op8'!AQ42</f>
        <v>13607.584147188734</v>
      </c>
      <c r="AX51" s="75">
        <f t="shared" si="17"/>
        <v>-122.54682387994944</v>
      </c>
      <c r="AY51" s="75"/>
      <c r="AZ51" s="74">
        <v>13411.241964012364</v>
      </c>
      <c r="BA51" s="75">
        <v>81.017720256360917</v>
      </c>
      <c r="BB51" s="75"/>
      <c r="BC51" s="75">
        <v>13688.090805092126</v>
      </c>
      <c r="BD51" s="75">
        <v>357.86656133612269</v>
      </c>
      <c r="BE51" s="75"/>
      <c r="BF51" s="74">
        <v>12645.345713250103</v>
      </c>
      <c r="BG51" s="75">
        <v>-684.87853050590093</v>
      </c>
      <c r="BH51" s="75"/>
      <c r="BI51" s="74">
        <v>12877.016763796057</v>
      </c>
      <c r="BJ51" s="75">
        <v>-453.2074799599468</v>
      </c>
      <c r="BK51" s="74">
        <v>10542.034859074703</v>
      </c>
      <c r="BL51" s="75">
        <v>-2788.1893846813</v>
      </c>
      <c r="BM51" s="75"/>
      <c r="BN51" s="74">
        <v>12090.221584023946</v>
      </c>
      <c r="BO51" s="75">
        <v>-1240.0026597320575</v>
      </c>
      <c r="BP51" s="75"/>
      <c r="BQ51" s="22"/>
      <c r="BR51" s="74">
        <f>'Op9'!AQ42</f>
        <v>15924.679064842256</v>
      </c>
      <c r="BS51" s="75">
        <f t="shared" si="18"/>
        <v>2194.548093773572</v>
      </c>
      <c r="BT51" s="22"/>
      <c r="BU51" s="74">
        <v>15012.073254851546</v>
      </c>
      <c r="BV51" s="75">
        <v>1681.8490110955427</v>
      </c>
      <c r="BW51" s="22"/>
      <c r="BX51" s="74">
        <v>15555.72731107117</v>
      </c>
      <c r="BY51" s="75">
        <v>2225.5030673151668</v>
      </c>
      <c r="BZ51" s="22"/>
      <c r="CA51" s="74">
        <v>14512.982219229147</v>
      </c>
      <c r="CB51" s="75">
        <v>1182.7579754731432</v>
      </c>
      <c r="CC51" s="22"/>
      <c r="CD51" s="74">
        <v>14211.042839495374</v>
      </c>
      <c r="CE51" s="75">
        <v>880.81859573937072</v>
      </c>
      <c r="CF51" s="22"/>
      <c r="CG51" s="74">
        <v>13204.198854964474</v>
      </c>
      <c r="CH51" s="75">
        <v>-126.02538879152962</v>
      </c>
      <c r="CI51" s="22"/>
      <c r="CJ51" s="74">
        <v>14764.161890931444</v>
      </c>
      <c r="CK51" s="75">
        <v>1433.9376471754404</v>
      </c>
    </row>
    <row r="52" spans="1:89" ht="15.75" customHeight="1" x14ac:dyDescent="0.5">
      <c r="A52" s="80" t="s">
        <v>152</v>
      </c>
      <c r="B52" s="59" t="s">
        <v>153</v>
      </c>
      <c r="C52" s="116" t="s">
        <v>92</v>
      </c>
      <c r="D52" s="82"/>
      <c r="E52" s="62">
        <f>'Avg master'!H41</f>
        <v>2147.3333333333335</v>
      </c>
      <c r="F52" s="66">
        <f t="shared" si="0"/>
        <v>7.9429566984327397E-3</v>
      </c>
      <c r="G52" s="82"/>
      <c r="H52" s="64">
        <v>776</v>
      </c>
      <c r="I52" s="64">
        <v>591</v>
      </c>
      <c r="J52" s="64">
        <v>429</v>
      </c>
      <c r="K52" s="65">
        <f t="shared" si="1"/>
        <v>598.66666666666663</v>
      </c>
      <c r="L52" s="66">
        <f t="shared" si="2"/>
        <v>5.1413734566575914E-3</v>
      </c>
      <c r="M52" s="18"/>
      <c r="N52" s="67">
        <v>1659.5361648000001</v>
      </c>
      <c r="O52" s="22"/>
      <c r="P52" s="68">
        <v>1767.4060155120001</v>
      </c>
      <c r="Q52" s="22"/>
      <c r="R52" s="68">
        <v>1802.7541358222402</v>
      </c>
      <c r="S52" s="69">
        <f t="shared" si="3"/>
        <v>0.83953157520439614</v>
      </c>
      <c r="T52" s="46"/>
      <c r="U52" s="68">
        <f t="shared" si="4"/>
        <v>1856.8367598969076</v>
      </c>
      <c r="V52" s="68">
        <f t="shared" si="5"/>
        <v>54.082624074667365</v>
      </c>
      <c r="W52" s="71">
        <f t="shared" si="6"/>
        <v>3.0000000000000089E-2</v>
      </c>
      <c r="X52" s="22"/>
      <c r="Y52" s="74">
        <f>'Options 1-3'!AQ43</f>
        <v>1760.2649251263513</v>
      </c>
      <c r="Z52" s="75">
        <f t="shared" si="7"/>
        <v>-96.571834770556279</v>
      </c>
      <c r="AA52" s="69">
        <f t="shared" si="8"/>
        <v>0.81974460965213491</v>
      </c>
      <c r="AB52" s="22"/>
      <c r="AC52" s="76">
        <v>1127.8953839546464</v>
      </c>
      <c r="AD52" s="75">
        <f t="shared" si="9"/>
        <v>-728.94137594226117</v>
      </c>
      <c r="AE52" s="69">
        <f t="shared" si="10"/>
        <v>0.52525398197204887</v>
      </c>
      <c r="AF52" s="69">
        <f t="shared" si="11"/>
        <v>1.8840123339999661</v>
      </c>
      <c r="AG52" s="77"/>
      <c r="AH52" s="76">
        <f>SUM('Options 1-3'!T43*Summary!$AH$3)</f>
        <v>1635.6365000000001</v>
      </c>
      <c r="AI52" s="75">
        <f t="shared" si="12"/>
        <v>-221.20025989690748</v>
      </c>
      <c r="AJ52" s="22"/>
      <c r="AK52" s="74">
        <f>'Op4'!AQ43</f>
        <v>1584.0797990024034</v>
      </c>
      <c r="AL52" s="75">
        <f t="shared" si="13"/>
        <v>-272.75696089450412</v>
      </c>
      <c r="AM52" s="22"/>
      <c r="AN52" s="74">
        <f>'Op5'!AQ43</f>
        <v>1443.5318787852266</v>
      </c>
      <c r="AO52" s="75">
        <f t="shared" si="14"/>
        <v>-413.30488111168097</v>
      </c>
      <c r="AP52" s="22"/>
      <c r="AQ52" s="74">
        <f>'Op6'!AQ43</f>
        <v>1812.5166021636762</v>
      </c>
      <c r="AR52" s="75">
        <f t="shared" si="15"/>
        <v>-44.320157733231326</v>
      </c>
      <c r="AS52" s="22"/>
      <c r="AT52" s="74">
        <f>'Op7'!AQ43</f>
        <v>1443.5318787852266</v>
      </c>
      <c r="AU52" s="75">
        <f t="shared" si="16"/>
        <v>-413.30488111168097</v>
      </c>
      <c r="AV52" s="22"/>
      <c r="AW52" s="74">
        <f>'Op8'!AQ43</f>
        <v>1554.9355658671914</v>
      </c>
      <c r="AX52" s="75">
        <f t="shared" si="17"/>
        <v>-301.90119402971618</v>
      </c>
      <c r="AY52" s="75"/>
      <c r="AZ52" s="74">
        <v>1658.3243188874626</v>
      </c>
      <c r="BA52" s="75">
        <v>-144.42981693477759</v>
      </c>
      <c r="BB52" s="75"/>
      <c r="BC52" s="75">
        <v>1468.3008700844191</v>
      </c>
      <c r="BD52" s="75">
        <v>-334.45326573782108</v>
      </c>
      <c r="BE52" s="75"/>
      <c r="BF52" s="74">
        <v>1751.9964580562469</v>
      </c>
      <c r="BG52" s="75">
        <v>-50.757677765993321</v>
      </c>
      <c r="BH52" s="75"/>
      <c r="BI52" s="74">
        <v>1718.4883435812494</v>
      </c>
      <c r="BJ52" s="75">
        <v>-84.265792240990777</v>
      </c>
      <c r="BK52" s="74">
        <v>2463.4445846637218</v>
      </c>
      <c r="BL52" s="75">
        <v>660.69044884148161</v>
      </c>
      <c r="BM52" s="75"/>
      <c r="BN52" s="74">
        <v>2174.9602050764761</v>
      </c>
      <c r="BO52" s="75">
        <v>372.2060692542359</v>
      </c>
      <c r="BP52" s="75"/>
      <c r="BQ52" s="22"/>
      <c r="BR52" s="74">
        <f>'Op9'!AQ43</f>
        <v>1566.5443353530802</v>
      </c>
      <c r="BS52" s="75">
        <f t="shared" si="18"/>
        <v>-290.29242454382734</v>
      </c>
      <c r="BT52" s="22"/>
      <c r="BU52" s="74">
        <v>1824.8626456011839</v>
      </c>
      <c r="BV52" s="75">
        <v>22.108509778943699</v>
      </c>
      <c r="BW52" s="22"/>
      <c r="BX52" s="74">
        <v>1662.5955845837605</v>
      </c>
      <c r="BY52" s="75">
        <v>-140.15855123847973</v>
      </c>
      <c r="BZ52" s="22"/>
      <c r="CA52" s="74">
        <v>1946.2911725555884</v>
      </c>
      <c r="CB52" s="75">
        <v>143.53703673334826</v>
      </c>
      <c r="CC52" s="22"/>
      <c r="CD52" s="74">
        <v>1857.2702825093506</v>
      </c>
      <c r="CE52" s="75">
        <v>54.516146687110449</v>
      </c>
      <c r="CF52" s="22"/>
      <c r="CG52" s="74">
        <v>2740.3959035504135</v>
      </c>
      <c r="CH52" s="75">
        <v>937.64176772817336</v>
      </c>
      <c r="CI52" s="22"/>
      <c r="CJ52" s="74">
        <v>2453.1366419021883</v>
      </c>
      <c r="CK52" s="75">
        <v>650.38250607994814</v>
      </c>
    </row>
    <row r="53" spans="1:89" ht="15.75" customHeight="1" x14ac:dyDescent="0.5">
      <c r="A53" s="83" t="s">
        <v>154</v>
      </c>
      <c r="B53" s="59" t="s">
        <v>155</v>
      </c>
      <c r="C53" s="112" t="s">
        <v>69</v>
      </c>
      <c r="D53" s="85"/>
      <c r="E53" s="62">
        <f>'Avg master'!H42</f>
        <v>1785</v>
      </c>
      <c r="F53" s="66">
        <f t="shared" si="0"/>
        <v>6.6026906426742181E-3</v>
      </c>
      <c r="G53" s="85"/>
      <c r="H53" s="64">
        <v>1383</v>
      </c>
      <c r="I53" s="64">
        <v>1367</v>
      </c>
      <c r="J53" s="64">
        <v>1141</v>
      </c>
      <c r="K53" s="65">
        <f t="shared" si="1"/>
        <v>1297</v>
      </c>
      <c r="L53" s="66">
        <f t="shared" si="2"/>
        <v>1.1138688262725328E-2</v>
      </c>
      <c r="M53" s="18"/>
      <c r="N53" s="67">
        <v>1472.5461744000004</v>
      </c>
      <c r="O53" s="22"/>
      <c r="P53" s="68">
        <v>1568.2616757360004</v>
      </c>
      <c r="Q53" s="22"/>
      <c r="R53" s="68">
        <v>1599.6269092507205</v>
      </c>
      <c r="S53" s="69">
        <f t="shared" si="3"/>
        <v>0.89614952899200029</v>
      </c>
      <c r="T53" s="46"/>
      <c r="U53" s="68">
        <f t="shared" si="4"/>
        <v>1647.615716528242</v>
      </c>
      <c r="V53" s="68">
        <f t="shared" si="5"/>
        <v>47.988807277521573</v>
      </c>
      <c r="W53" s="71">
        <f t="shared" si="6"/>
        <v>2.9999999999999975E-2</v>
      </c>
      <c r="X53" s="22"/>
      <c r="Y53" s="74">
        <f>'Options 1-3'!AQ44</f>
        <v>1463.2441282290606</v>
      </c>
      <c r="Z53" s="75">
        <f t="shared" si="7"/>
        <v>-184.37158829918144</v>
      </c>
      <c r="AA53" s="69">
        <f t="shared" si="8"/>
        <v>0.8197446096521348</v>
      </c>
      <c r="AB53" s="22"/>
      <c r="AC53" s="76">
        <v>2443.5639971979563</v>
      </c>
      <c r="AD53" s="75">
        <f t="shared" si="9"/>
        <v>795.94828066971422</v>
      </c>
      <c r="AE53" s="69">
        <f t="shared" si="10"/>
        <v>1.3689434157971745</v>
      </c>
      <c r="AF53" s="69">
        <f t="shared" si="11"/>
        <v>1.8840123339999664</v>
      </c>
      <c r="AG53" s="77"/>
      <c r="AH53" s="76">
        <f>SUM('Options 1-3'!T44*Summary!$AH$3)</f>
        <v>3840.7585000000004</v>
      </c>
      <c r="AI53" s="75">
        <f t="shared" si="12"/>
        <v>2193.1427834717583</v>
      </c>
      <c r="AJ53" s="22"/>
      <c r="AK53" s="74">
        <f>'Op4'!AQ44</f>
        <v>2713.8018664943811</v>
      </c>
      <c r="AL53" s="75">
        <f t="shared" si="13"/>
        <v>1066.1861499661391</v>
      </c>
      <c r="AM53" s="22"/>
      <c r="AN53" s="74">
        <f>'Op5'!AQ44</f>
        <v>2394.7168994091621</v>
      </c>
      <c r="AO53" s="75">
        <f t="shared" si="14"/>
        <v>747.10118288092008</v>
      </c>
      <c r="AP53" s="22"/>
      <c r="AQ53" s="74">
        <f>'Op6'!AQ44</f>
        <v>3409.660823679495</v>
      </c>
      <c r="AR53" s="75">
        <f t="shared" si="15"/>
        <v>1762.045107151253</v>
      </c>
      <c r="AS53" s="22"/>
      <c r="AT53" s="74">
        <f>'Op7'!AQ44</f>
        <v>2394.7168994091621</v>
      </c>
      <c r="AU53" s="75">
        <f t="shared" si="16"/>
        <v>747.10118288092008</v>
      </c>
      <c r="AV53" s="22"/>
      <c r="AW53" s="74">
        <f>'Op8'!AQ44</f>
        <v>2633.3205734339072</v>
      </c>
      <c r="AX53" s="75">
        <f t="shared" si="17"/>
        <v>985.70485690566511</v>
      </c>
      <c r="AY53" s="75"/>
      <c r="AZ53" s="74">
        <v>2642.6290184637892</v>
      </c>
      <c r="BA53" s="75">
        <v>1043.0021092130687</v>
      </c>
      <c r="BB53" s="75"/>
      <c r="BC53" s="75">
        <v>2635.5514710651682</v>
      </c>
      <c r="BD53" s="75">
        <v>1035.9245618144478</v>
      </c>
      <c r="BE53" s="75"/>
      <c r="BF53" s="74">
        <v>2796.6522140084335</v>
      </c>
      <c r="BG53" s="75">
        <v>1197.025304757713</v>
      </c>
      <c r="BH53" s="75"/>
      <c r="BI53" s="74">
        <v>2773.5735286861477</v>
      </c>
      <c r="BJ53" s="75">
        <v>1173.9466194354272</v>
      </c>
      <c r="BK53" s="74">
        <v>3002.0669610917926</v>
      </c>
      <c r="BL53" s="75">
        <v>1402.4400518410721</v>
      </c>
      <c r="BM53" s="75"/>
      <c r="BN53" s="74">
        <v>2753.557973190751</v>
      </c>
      <c r="BO53" s="75">
        <v>1153.9310639400305</v>
      </c>
      <c r="BP53" s="75"/>
      <c r="BQ53" s="22"/>
      <c r="BR53" s="74">
        <f>'Op9'!AQ44</f>
        <v>2253.4599086430699</v>
      </c>
      <c r="BS53" s="75">
        <f t="shared" si="18"/>
        <v>605.84419211482782</v>
      </c>
      <c r="BT53" s="22"/>
      <c r="BU53" s="74">
        <v>2399.7929267205859</v>
      </c>
      <c r="BV53" s="75">
        <v>800.16601746986544</v>
      </c>
      <c r="BW53" s="22"/>
      <c r="BX53" s="74">
        <v>2352.2426973647648</v>
      </c>
      <c r="BY53" s="75">
        <v>752.61578811404434</v>
      </c>
      <c r="BZ53" s="22"/>
      <c r="CA53" s="74">
        <v>2513.34344030803</v>
      </c>
      <c r="CB53" s="75">
        <v>913.71653105730957</v>
      </c>
      <c r="CC53" s="22"/>
      <c r="CD53" s="74">
        <v>2571.2101189001451</v>
      </c>
      <c r="CE53" s="75">
        <v>971.58320964942459</v>
      </c>
      <c r="CF53" s="22"/>
      <c r="CG53" s="74">
        <v>2598.2333378731637</v>
      </c>
      <c r="CH53" s="75">
        <v>998.60642862244322</v>
      </c>
      <c r="CI53" s="22"/>
      <c r="CJ53" s="74">
        <v>2347.9379572653693</v>
      </c>
      <c r="CK53" s="75">
        <v>748.3110480146488</v>
      </c>
    </row>
    <row r="54" spans="1:89" ht="15.75" customHeight="1" x14ac:dyDescent="0.5">
      <c r="A54" s="103" t="s">
        <v>156</v>
      </c>
      <c r="B54" s="59" t="s">
        <v>113</v>
      </c>
      <c r="C54" s="91" t="s">
        <v>81</v>
      </c>
      <c r="D54" s="84"/>
      <c r="E54" s="62">
        <f>'Avg master'!H43</f>
        <v>490</v>
      </c>
      <c r="F54" s="66">
        <f t="shared" si="0"/>
        <v>1.8125033136752757E-3</v>
      </c>
      <c r="G54" s="84"/>
      <c r="H54" s="64">
        <v>490</v>
      </c>
      <c r="I54" s="64">
        <v>490</v>
      </c>
      <c r="J54" s="64">
        <v>490</v>
      </c>
      <c r="K54" s="65">
        <f t="shared" si="1"/>
        <v>490</v>
      </c>
      <c r="L54" s="66">
        <f t="shared" si="2"/>
        <v>4.2081397445916813E-3</v>
      </c>
      <c r="M54" s="18"/>
      <c r="N54" s="67">
        <v>1227.1218120000001</v>
      </c>
      <c r="O54" s="22"/>
      <c r="P54" s="68">
        <v>1306.88472978</v>
      </c>
      <c r="Q54" s="22"/>
      <c r="R54" s="68">
        <v>1333.0224243756002</v>
      </c>
      <c r="S54" s="69">
        <f t="shared" si="3"/>
        <v>2.7204539272971431</v>
      </c>
      <c r="T54" s="46"/>
      <c r="U54" s="68">
        <f t="shared" si="4"/>
        <v>1373.0130971068681</v>
      </c>
      <c r="V54" s="68">
        <f t="shared" si="5"/>
        <v>39.990672731267978</v>
      </c>
      <c r="W54" s="71">
        <f t="shared" si="6"/>
        <v>2.9999999999999978E-2</v>
      </c>
      <c r="X54" s="22"/>
      <c r="Y54" s="74">
        <f>'Options 1-3'!AQ45</f>
        <v>401.67485872954609</v>
      </c>
      <c r="Z54" s="75">
        <f t="shared" si="7"/>
        <v>-971.33823837732211</v>
      </c>
      <c r="AA54" s="69">
        <f t="shared" si="8"/>
        <v>0.81974460965213491</v>
      </c>
      <c r="AB54" s="22"/>
      <c r="AC54" s="76">
        <v>923.16604365998342</v>
      </c>
      <c r="AD54" s="75">
        <f t="shared" si="9"/>
        <v>-449.84705344688473</v>
      </c>
      <c r="AE54" s="69">
        <f t="shared" si="10"/>
        <v>1.8840123339999661</v>
      </c>
      <c r="AF54" s="69">
        <f t="shared" si="11"/>
        <v>1.8840123339999661</v>
      </c>
      <c r="AG54" s="77"/>
      <c r="AH54" s="76">
        <f>SUM('Options 1-3'!T45*Summary!$AH$3)</f>
        <v>1126.7240000000002</v>
      </c>
      <c r="AI54" s="75">
        <f t="shared" si="12"/>
        <v>-246.28909710686798</v>
      </c>
      <c r="AJ54" s="22"/>
      <c r="AK54" s="74">
        <f>'Op4'!AQ45</f>
        <v>1408.2853388580675</v>
      </c>
      <c r="AL54" s="75">
        <f t="shared" si="13"/>
        <v>35.272241751199317</v>
      </c>
      <c r="AM54" s="22"/>
      <c r="AN54" s="74">
        <f>'Op5'!AQ45</f>
        <v>1553.6074685592534</v>
      </c>
      <c r="AO54" s="75">
        <f t="shared" si="14"/>
        <v>180.5943714523853</v>
      </c>
      <c r="AP54" s="22"/>
      <c r="AQ54" s="74">
        <f>'Op6'!AQ45</f>
        <v>1701.8383766255818</v>
      </c>
      <c r="AR54" s="75">
        <f t="shared" si="15"/>
        <v>328.82527951871361</v>
      </c>
      <c r="AS54" s="22"/>
      <c r="AT54" s="74">
        <f>'Op7'!AQ45</f>
        <v>1553.6074685592534</v>
      </c>
      <c r="AU54" s="75">
        <f t="shared" si="16"/>
        <v>180.5943714523853</v>
      </c>
      <c r="AV54" s="22"/>
      <c r="AW54" s="74">
        <f>'Op8'!AQ45</f>
        <v>1811.7321625731699</v>
      </c>
      <c r="AX54" s="75">
        <f t="shared" si="17"/>
        <v>438.7190654663018</v>
      </c>
      <c r="AY54" s="75"/>
      <c r="AZ54" s="74">
        <v>1936.8333853525562</v>
      </c>
      <c r="BA54" s="75">
        <v>603.81096097695604</v>
      </c>
      <c r="BB54" s="75"/>
      <c r="BC54" s="75">
        <v>1671.726582238339</v>
      </c>
      <c r="BD54" s="75">
        <v>338.70415786273884</v>
      </c>
      <c r="BE54" s="75"/>
      <c r="BF54" s="74">
        <v>1909.559243046966</v>
      </c>
      <c r="BG54" s="75">
        <v>576.53681867136584</v>
      </c>
      <c r="BH54" s="75"/>
      <c r="BI54" s="74">
        <v>1939.3679581578558</v>
      </c>
      <c r="BJ54" s="75">
        <v>606.34553378225564</v>
      </c>
      <c r="BK54" s="74">
        <v>2358.9120701785123</v>
      </c>
      <c r="BL54" s="75">
        <v>1025.8896458029121</v>
      </c>
      <c r="BM54" s="75"/>
      <c r="BN54" s="74">
        <v>2621.7924983766115</v>
      </c>
      <c r="BO54" s="75">
        <v>1288.7700740010114</v>
      </c>
      <c r="BP54" s="75"/>
      <c r="BQ54" s="22"/>
      <c r="BR54" s="74">
        <f>'Op9'!AQ45</f>
        <v>1806.9641494447576</v>
      </c>
      <c r="BS54" s="75">
        <f t="shared" si="18"/>
        <v>433.95105233788945</v>
      </c>
      <c r="BT54" s="22"/>
      <c r="BU54" s="74">
        <v>1805.0382681768394</v>
      </c>
      <c r="BV54" s="75">
        <v>472.01584380123927</v>
      </c>
      <c r="BW54" s="22"/>
      <c r="BX54" s="74">
        <v>1517.9656122000029</v>
      </c>
      <c r="BY54" s="75">
        <v>184.94318782440268</v>
      </c>
      <c r="BZ54" s="22"/>
      <c r="CA54" s="74">
        <v>1755.7982730086298</v>
      </c>
      <c r="CB54" s="75">
        <v>422.77584863302968</v>
      </c>
      <c r="CC54" s="22"/>
      <c r="CD54" s="74">
        <v>1829.5386938447584</v>
      </c>
      <c r="CE54" s="75">
        <v>496.51626946915826</v>
      </c>
      <c r="CF54" s="22"/>
      <c r="CG54" s="74">
        <v>2139.7383085291253</v>
      </c>
      <c r="CH54" s="75">
        <v>806.71588415352517</v>
      </c>
      <c r="CI54" s="22"/>
      <c r="CJ54" s="74">
        <v>2401.6492027736094</v>
      </c>
      <c r="CK54" s="75">
        <v>1068.6267783980093</v>
      </c>
    </row>
    <row r="55" spans="1:89" ht="15.75" customHeight="1" x14ac:dyDescent="0.5">
      <c r="A55" s="58" t="s">
        <v>157</v>
      </c>
      <c r="B55" s="59" t="s">
        <v>158</v>
      </c>
      <c r="C55" s="116" t="s">
        <v>92</v>
      </c>
      <c r="D55" s="82"/>
      <c r="E55" s="62">
        <f>'Avg master'!H44</f>
        <v>3127</v>
      </c>
      <c r="F55" s="66">
        <f t="shared" si="0"/>
        <v>1.156673033033181E-2</v>
      </c>
      <c r="G55" s="82"/>
      <c r="H55" s="64">
        <v>1119</v>
      </c>
      <c r="I55" s="64">
        <v>999</v>
      </c>
      <c r="J55" s="64">
        <v>817</v>
      </c>
      <c r="K55" s="65">
        <f t="shared" si="1"/>
        <v>978.33333333333337</v>
      </c>
      <c r="L55" s="66">
        <f t="shared" si="2"/>
        <v>8.4019660886915544E-3</v>
      </c>
      <c r="M55" s="18"/>
      <c r="N55" s="67">
        <v>1659.5361648000001</v>
      </c>
      <c r="O55" s="22"/>
      <c r="P55" s="68">
        <v>1767.4060155120001</v>
      </c>
      <c r="Q55" s="22"/>
      <c r="R55" s="68">
        <v>1802.7541358222402</v>
      </c>
      <c r="S55" s="69">
        <f t="shared" si="3"/>
        <v>0.57651235555556135</v>
      </c>
      <c r="T55" s="46"/>
      <c r="U55" s="68">
        <f t="shared" si="4"/>
        <v>1856.8367598969076</v>
      </c>
      <c r="V55" s="68">
        <f t="shared" si="5"/>
        <v>54.082624074667365</v>
      </c>
      <c r="W55" s="71">
        <f t="shared" si="6"/>
        <v>3.0000000000000089E-2</v>
      </c>
      <c r="X55" s="22"/>
      <c r="Y55" s="74">
        <f>'Options 1-3'!AQ46</f>
        <v>2563.3413943822256</v>
      </c>
      <c r="Z55" s="75">
        <f t="shared" si="7"/>
        <v>706.50463448531809</v>
      </c>
      <c r="AA55" s="69">
        <f t="shared" si="8"/>
        <v>0.8197446096521348</v>
      </c>
      <c r="AB55" s="22"/>
      <c r="AC55" s="76">
        <v>1843.1920667633003</v>
      </c>
      <c r="AD55" s="75">
        <f t="shared" si="9"/>
        <v>-13.644693133607234</v>
      </c>
      <c r="AE55" s="69">
        <f t="shared" si="10"/>
        <v>0.58944421706533434</v>
      </c>
      <c r="AF55" s="69">
        <f t="shared" si="11"/>
        <v>1.8840123339999661</v>
      </c>
      <c r="AG55" s="77"/>
      <c r="AH55" s="76">
        <f>SUM('Options 1-3'!T46*Summary!$AH$3)</f>
        <v>1197.8890000000001</v>
      </c>
      <c r="AI55" s="75">
        <f t="shared" si="12"/>
        <v>-658.94775989690743</v>
      </c>
      <c r="AJ55" s="22"/>
      <c r="AK55" s="74">
        <f>'Op4'!AQ46</f>
        <v>2198.2819158870634</v>
      </c>
      <c r="AL55" s="75">
        <f t="shared" si="13"/>
        <v>341.44515599015585</v>
      </c>
      <c r="AM55" s="22"/>
      <c r="AN55" s="74">
        <f>'Op5'!AQ46</f>
        <v>2042.9166280940376</v>
      </c>
      <c r="AO55" s="75">
        <f t="shared" si="14"/>
        <v>186.07986819713005</v>
      </c>
      <c r="AP55" s="22"/>
      <c r="AQ55" s="74">
        <f>'Op6'!AQ46</f>
        <v>1576.0616011359466</v>
      </c>
      <c r="AR55" s="75">
        <f t="shared" si="15"/>
        <v>-280.77515876096095</v>
      </c>
      <c r="AS55" s="22"/>
      <c r="AT55" s="74">
        <f>'Op7'!AQ46</f>
        <v>2042.9166280940376</v>
      </c>
      <c r="AU55" s="75">
        <f t="shared" si="16"/>
        <v>186.07986819713005</v>
      </c>
      <c r="AV55" s="22"/>
      <c r="AW55" s="74">
        <f>'Op8'!AQ46</f>
        <v>2004.1531893290903</v>
      </c>
      <c r="AX55" s="75">
        <f t="shared" si="17"/>
        <v>147.31642943218276</v>
      </c>
      <c r="AY55" s="75"/>
      <c r="AZ55" s="74">
        <v>2126.2181968250879</v>
      </c>
      <c r="BA55" s="75">
        <v>323.46406100284776</v>
      </c>
      <c r="BB55" s="75"/>
      <c r="BC55" s="75">
        <v>1886.0089155117139</v>
      </c>
      <c r="BD55" s="75">
        <v>83.254779689473708</v>
      </c>
      <c r="BE55" s="75"/>
      <c r="BF55" s="74">
        <v>2083.0562770423526</v>
      </c>
      <c r="BG55" s="75">
        <v>280.30214122011239</v>
      </c>
      <c r="BH55" s="75"/>
      <c r="BI55" s="74">
        <v>2075.2148096851101</v>
      </c>
      <c r="BJ55" s="75">
        <v>272.46067386286995</v>
      </c>
      <c r="BK55" s="74">
        <v>2866.7128005473919</v>
      </c>
      <c r="BL55" s="75">
        <v>1063.9586647251517</v>
      </c>
      <c r="BM55" s="75"/>
      <c r="BN55" s="74">
        <v>2543.5742305690178</v>
      </c>
      <c r="BO55" s="75">
        <v>740.82009474677761</v>
      </c>
      <c r="BP55" s="75"/>
      <c r="BQ55" s="22"/>
      <c r="BR55" s="74">
        <f>'Op9'!AQ46</f>
        <v>2018.996773602513</v>
      </c>
      <c r="BS55" s="75">
        <f t="shared" si="18"/>
        <v>162.16001370560548</v>
      </c>
      <c r="BT55" s="22"/>
      <c r="BU55" s="74">
        <v>2291.3330718212133</v>
      </c>
      <c r="BV55" s="75">
        <v>488.57893599897307</v>
      </c>
      <c r="BW55" s="22"/>
      <c r="BX55" s="74">
        <v>2078.6429363405264</v>
      </c>
      <c r="BY55" s="75">
        <v>275.88880051828619</v>
      </c>
      <c r="BZ55" s="22"/>
      <c r="CA55" s="74">
        <v>2275.6902978711655</v>
      </c>
      <c r="CB55" s="75">
        <v>472.93616204892533</v>
      </c>
      <c r="CC55" s="22"/>
      <c r="CD55" s="74">
        <v>2212.8105388485478</v>
      </c>
      <c r="CE55" s="75">
        <v>410.05640302630763</v>
      </c>
      <c r="CF55" s="22"/>
      <c r="CG55" s="74">
        <v>3141.2969356251733</v>
      </c>
      <c r="CH55" s="75">
        <v>1338.5427998029331</v>
      </c>
      <c r="CI55" s="22"/>
      <c r="CJ55" s="74">
        <v>2819.3730121449871</v>
      </c>
      <c r="CK55" s="75">
        <v>1016.6188763227469</v>
      </c>
    </row>
    <row r="56" spans="1:89" ht="15.75" customHeight="1" x14ac:dyDescent="0.5">
      <c r="A56" s="83" t="s">
        <v>159</v>
      </c>
      <c r="B56" s="59" t="s">
        <v>160</v>
      </c>
      <c r="C56" s="61" t="s">
        <v>89</v>
      </c>
      <c r="D56" s="85"/>
      <c r="E56" s="62">
        <f>'Avg master'!H45</f>
        <v>2</v>
      </c>
      <c r="F56" s="66">
        <f t="shared" si="0"/>
        <v>7.3979727088786762E-6</v>
      </c>
      <c r="G56" s="85"/>
      <c r="H56" s="64">
        <v>2</v>
      </c>
      <c r="I56" s="64">
        <v>2</v>
      </c>
      <c r="J56" s="64">
        <v>2</v>
      </c>
      <c r="K56" s="65">
        <f t="shared" si="1"/>
        <v>2</v>
      </c>
      <c r="L56" s="66">
        <f t="shared" si="2"/>
        <v>1.717608059017013E-5</v>
      </c>
      <c r="M56" s="18"/>
      <c r="N56" s="67">
        <v>368.1365436000001</v>
      </c>
      <c r="O56" s="22"/>
      <c r="P56" s="68">
        <v>392.06541893400009</v>
      </c>
      <c r="Q56" s="22"/>
      <c r="R56" s="68">
        <v>399.90672731268012</v>
      </c>
      <c r="S56" s="69">
        <f t="shared" si="3"/>
        <v>199.95336365634006</v>
      </c>
      <c r="T56" s="46"/>
      <c r="U56" s="68">
        <f t="shared" si="4"/>
        <v>411.90392913206051</v>
      </c>
      <c r="V56" s="68">
        <f t="shared" si="5"/>
        <v>11.997201819380393</v>
      </c>
      <c r="W56" s="71">
        <f t="shared" si="6"/>
        <v>2.9999999999999975E-2</v>
      </c>
      <c r="X56" s="22"/>
      <c r="Y56" s="74">
        <f>'Options 1-3'!AQ47</f>
        <v>1.6394892193042698</v>
      </c>
      <c r="Z56" s="75">
        <f t="shared" si="7"/>
        <v>-410.26443991275625</v>
      </c>
      <c r="AA56" s="69">
        <f t="shared" si="8"/>
        <v>0.81974460965213491</v>
      </c>
      <c r="AB56" s="22"/>
      <c r="AC56" s="76">
        <v>3.7680246679999327</v>
      </c>
      <c r="AD56" s="75">
        <f t="shared" si="9"/>
        <v>-408.13590446406056</v>
      </c>
      <c r="AE56" s="69">
        <f t="shared" si="10"/>
        <v>1.8840123339999664</v>
      </c>
      <c r="AF56" s="69">
        <f t="shared" si="11"/>
        <v>1.8840123339999664</v>
      </c>
      <c r="AG56" s="77"/>
      <c r="AH56" s="76">
        <f>SUM('Options 1-3'!T47*Summary!$AH$3)</f>
        <v>187.346</v>
      </c>
      <c r="AI56" s="75">
        <f t="shared" si="12"/>
        <v>-224.55792913206051</v>
      </c>
      <c r="AJ56" s="22"/>
      <c r="AK56" s="74">
        <f>'Op4'!AQ47</f>
        <v>618.82800863933005</v>
      </c>
      <c r="AL56" s="75">
        <f t="shared" si="13"/>
        <v>206.92407950726954</v>
      </c>
      <c r="AM56" s="22"/>
      <c r="AN56" s="74">
        <f>'Op5'!AQ47</f>
        <v>544.6122533920784</v>
      </c>
      <c r="AO56" s="75">
        <f t="shared" si="14"/>
        <v>132.70832426001789</v>
      </c>
      <c r="AP56" s="22"/>
      <c r="AQ56" s="74">
        <f>'Op6'!AQ47</f>
        <v>677.76296029520483</v>
      </c>
      <c r="AR56" s="75">
        <f t="shared" si="15"/>
        <v>265.85903116314432</v>
      </c>
      <c r="AS56" s="22"/>
      <c r="AT56" s="74">
        <f>'Op7'!AQ47</f>
        <v>544.6122533920784</v>
      </c>
      <c r="AU56" s="75">
        <f t="shared" si="16"/>
        <v>132.70832426001789</v>
      </c>
      <c r="AV56" s="22"/>
      <c r="AW56" s="93">
        <f>'Op8'!AQ47</f>
        <v>750.99155225919208</v>
      </c>
      <c r="AX56" s="75">
        <f t="shared" si="17"/>
        <v>339.08762312713156</v>
      </c>
      <c r="AY56" s="75"/>
      <c r="AZ56" s="93">
        <v>916.17081677930548</v>
      </c>
      <c r="BA56" s="75">
        <v>516.26408946662536</v>
      </c>
      <c r="BB56" s="75"/>
      <c r="BC56" s="75">
        <v>585.47261078433985</v>
      </c>
      <c r="BD56" s="75">
        <v>185.56588347165973</v>
      </c>
      <c r="BE56" s="75"/>
      <c r="BF56" s="93">
        <v>930.81657496251523</v>
      </c>
      <c r="BG56" s="75">
        <v>530.90984764983511</v>
      </c>
      <c r="BH56" s="75"/>
      <c r="BI56" s="93">
        <v>931.49592887199321</v>
      </c>
      <c r="BJ56" s="75">
        <v>531.5892015593131</v>
      </c>
      <c r="BK56" s="93">
        <v>1744.868562725974</v>
      </c>
      <c r="BL56" s="75">
        <v>1344.961835413294</v>
      </c>
      <c r="BM56" s="75"/>
      <c r="BN56" s="93">
        <v>1766.5191706717562</v>
      </c>
      <c r="BO56" s="75">
        <v>1366.6124433590762</v>
      </c>
      <c r="BP56" s="75"/>
      <c r="BQ56" s="22"/>
      <c r="BR56" s="74">
        <f>'Op9'!AQ47</f>
        <v>759.04972786783469</v>
      </c>
      <c r="BS56" s="75">
        <f t="shared" si="18"/>
        <v>347.14579873577418</v>
      </c>
      <c r="BT56" s="22"/>
      <c r="BU56" s="74">
        <v>915.63287752552708</v>
      </c>
      <c r="BV56" s="75">
        <v>515.72615021284696</v>
      </c>
      <c r="BW56" s="22"/>
      <c r="BX56" s="74">
        <v>584.84501498826501</v>
      </c>
      <c r="BY56" s="75">
        <v>184.93828767558489</v>
      </c>
      <c r="BZ56" s="22"/>
      <c r="CA56" s="74">
        <v>930.18897916644039</v>
      </c>
      <c r="CB56" s="75">
        <v>530.28225185376027</v>
      </c>
      <c r="CC56" s="22"/>
      <c r="CD56" s="74">
        <v>931.04764616051114</v>
      </c>
      <c r="CE56" s="75">
        <v>531.14091884783102</v>
      </c>
      <c r="CF56" s="22"/>
      <c r="CG56" s="74">
        <v>1743.9739759437316</v>
      </c>
      <c r="CH56" s="75">
        <v>1344.0672486310514</v>
      </c>
      <c r="CI56" s="22"/>
      <c r="CJ56" s="74">
        <v>1765.6206266080706</v>
      </c>
      <c r="CK56" s="75">
        <v>1365.7138992953905</v>
      </c>
    </row>
    <row r="57" spans="1:89" ht="15.75" customHeight="1" x14ac:dyDescent="0.5">
      <c r="A57" s="95" t="s">
        <v>161</v>
      </c>
      <c r="B57" s="59" t="s">
        <v>162</v>
      </c>
      <c r="C57" s="61" t="s">
        <v>89</v>
      </c>
      <c r="D57" s="61"/>
      <c r="E57" s="62">
        <f>'Avg master'!H46</f>
        <v>1</v>
      </c>
      <c r="F57" s="66">
        <f t="shared" si="0"/>
        <v>3.6989863544393381E-6</v>
      </c>
      <c r="G57" s="61"/>
      <c r="H57" s="64">
        <v>1</v>
      </c>
      <c r="I57" s="64">
        <v>1</v>
      </c>
      <c r="J57" s="64">
        <v>1</v>
      </c>
      <c r="K57" s="65">
        <f t="shared" si="1"/>
        <v>1</v>
      </c>
      <c r="L57" s="66">
        <f t="shared" si="2"/>
        <v>8.5880402950850649E-6</v>
      </c>
      <c r="M57" s="18"/>
      <c r="N57" s="67">
        <v>368.1365436000001</v>
      </c>
      <c r="O57" s="22"/>
      <c r="P57" s="68">
        <v>392.06541893400009</v>
      </c>
      <c r="Q57" s="22"/>
      <c r="R57" s="68">
        <v>399.90672731268012</v>
      </c>
      <c r="S57" s="69">
        <f t="shared" si="3"/>
        <v>399.90672731268012</v>
      </c>
      <c r="T57" s="46"/>
      <c r="U57" s="68">
        <f t="shared" si="4"/>
        <v>411.90392913206051</v>
      </c>
      <c r="V57" s="68">
        <f t="shared" si="5"/>
        <v>11.997201819380393</v>
      </c>
      <c r="W57" s="71">
        <f t="shared" si="6"/>
        <v>2.9999999999999975E-2</v>
      </c>
      <c r="X57" s="22"/>
      <c r="Y57" s="74">
        <f>'Options 1-3'!AQ48</f>
        <v>0.81974460965213491</v>
      </c>
      <c r="Z57" s="75">
        <f t="shared" si="7"/>
        <v>-411.08418452240835</v>
      </c>
      <c r="AA57" s="69">
        <f t="shared" si="8"/>
        <v>0.81974460965213491</v>
      </c>
      <c r="AB57" s="22"/>
      <c r="AC57" s="76">
        <v>1.8840123339999664</v>
      </c>
      <c r="AD57" s="75">
        <f t="shared" si="9"/>
        <v>-410.01991679806054</v>
      </c>
      <c r="AE57" s="69">
        <f t="shared" si="10"/>
        <v>1.8840123339999664</v>
      </c>
      <c r="AF57" s="69">
        <f t="shared" si="11"/>
        <v>1.8840123339999664</v>
      </c>
      <c r="AG57" s="77"/>
      <c r="AH57" s="76">
        <f>SUM('Options 1-3'!T48*Summary!$AH$3)</f>
        <v>239.31300000000002</v>
      </c>
      <c r="AI57" s="75">
        <f t="shared" si="12"/>
        <v>-172.5909291320605</v>
      </c>
      <c r="AJ57" s="22"/>
      <c r="AK57" s="74">
        <f>'Op4'!AQ48</f>
        <v>617.21026820855388</v>
      </c>
      <c r="AL57" s="75">
        <f t="shared" si="13"/>
        <v>205.30633907649337</v>
      </c>
      <c r="AM57" s="22"/>
      <c r="AN57" s="74">
        <f>'Op5'!AQ48</f>
        <v>520.88209257191772</v>
      </c>
      <c r="AO57" s="75">
        <f t="shared" si="14"/>
        <v>108.97816343985721</v>
      </c>
      <c r="AP57" s="22"/>
      <c r="AQ57" s="74">
        <f>'Op6'!AQ48</f>
        <v>693.089494022297</v>
      </c>
      <c r="AR57" s="75">
        <f t="shared" si="15"/>
        <v>281.18556489023649</v>
      </c>
      <c r="AS57" s="22"/>
      <c r="AT57" s="74">
        <f>'Op7'!AQ48</f>
        <v>520.88209257191772</v>
      </c>
      <c r="AU57" s="75">
        <f t="shared" si="16"/>
        <v>108.97816343985721</v>
      </c>
      <c r="AV57" s="22"/>
      <c r="AW57" s="93">
        <f>'Op8'!AQ48</f>
        <v>734.01159335742636</v>
      </c>
      <c r="AX57" s="75">
        <f t="shared" si="17"/>
        <v>322.10766422536585</v>
      </c>
      <c r="AY57" s="75"/>
      <c r="AZ57" s="93">
        <v>896.97371462408864</v>
      </c>
      <c r="BA57" s="75">
        <v>497.06698731140852</v>
      </c>
      <c r="BB57" s="75"/>
      <c r="BC57" s="75">
        <v>571.1297814577398</v>
      </c>
      <c r="BD57" s="75">
        <v>171.22305414505968</v>
      </c>
      <c r="BE57" s="75"/>
      <c r="BF57" s="93">
        <v>917.47433701329521</v>
      </c>
      <c r="BG57" s="75">
        <v>517.56760970061509</v>
      </c>
      <c r="BH57" s="75"/>
      <c r="BI57" s="93">
        <v>917.31371827934413</v>
      </c>
      <c r="BJ57" s="75">
        <v>517.40699096666401</v>
      </c>
      <c r="BK57" s="93">
        <v>1728.7023398314579</v>
      </c>
      <c r="BL57" s="75">
        <v>1328.7956125187779</v>
      </c>
      <c r="BM57" s="75"/>
      <c r="BN57" s="93">
        <v>1736.3494030636084</v>
      </c>
      <c r="BO57" s="75">
        <v>1336.4426757509282</v>
      </c>
      <c r="BP57" s="75"/>
      <c r="BQ57" s="22"/>
      <c r="BR57" s="74">
        <f>'Op9'!AQ48</f>
        <v>735.35657259487039</v>
      </c>
      <c r="BS57" s="75">
        <f t="shared" si="18"/>
        <v>323.45264346280987</v>
      </c>
      <c r="BT57" s="22"/>
      <c r="BU57" s="74">
        <v>896.70474499719944</v>
      </c>
      <c r="BV57" s="75">
        <v>496.79801768451932</v>
      </c>
      <c r="BW57" s="22"/>
      <c r="BX57" s="74">
        <v>570.81598355970232</v>
      </c>
      <c r="BY57" s="75">
        <v>170.9092562470222</v>
      </c>
      <c r="BZ57" s="22"/>
      <c r="CA57" s="74">
        <v>917.16053911525785</v>
      </c>
      <c r="CB57" s="75">
        <v>517.25381180257773</v>
      </c>
      <c r="CC57" s="22"/>
      <c r="CD57" s="74">
        <v>917.0895769236032</v>
      </c>
      <c r="CE57" s="75">
        <v>517.18284961092309</v>
      </c>
      <c r="CF57" s="22"/>
      <c r="CG57" s="74">
        <v>1728.2550464403369</v>
      </c>
      <c r="CH57" s="75">
        <v>1328.3483191276569</v>
      </c>
      <c r="CI57" s="22"/>
      <c r="CJ57" s="74">
        <v>1735.9001310317656</v>
      </c>
      <c r="CK57" s="75">
        <v>1335.9934037190856</v>
      </c>
    </row>
    <row r="58" spans="1:89" ht="15.75" customHeight="1" x14ac:dyDescent="0.5">
      <c r="A58" s="83" t="s">
        <v>163</v>
      </c>
      <c r="B58" s="59" t="s">
        <v>164</v>
      </c>
      <c r="C58" s="85" t="s">
        <v>72</v>
      </c>
      <c r="D58" s="85"/>
      <c r="E58" s="62">
        <f>'Avg master'!H47</f>
        <v>26073.333333333332</v>
      </c>
      <c r="F58" s="66">
        <f t="shared" si="0"/>
        <v>9.6444904214748328E-2</v>
      </c>
      <c r="G58" s="85"/>
      <c r="H58" s="64">
        <v>19304</v>
      </c>
      <c r="I58" s="64">
        <v>16605</v>
      </c>
      <c r="J58" s="64">
        <v>9120</v>
      </c>
      <c r="K58" s="65">
        <f t="shared" si="1"/>
        <v>15009.666666666666</v>
      </c>
      <c r="L58" s="66">
        <f t="shared" si="2"/>
        <v>0.12890362214912846</v>
      </c>
      <c r="M58" s="18"/>
      <c r="N58" s="67">
        <v>12271.218120000003</v>
      </c>
      <c r="O58" s="22"/>
      <c r="P58" s="68">
        <v>13068.847297800003</v>
      </c>
      <c r="Q58" s="22"/>
      <c r="R58" s="68">
        <v>13330.224243756003</v>
      </c>
      <c r="S58" s="69">
        <f t="shared" si="3"/>
        <v>0.51125892011337271</v>
      </c>
      <c r="T58" s="46"/>
      <c r="U58" s="68">
        <f t="shared" si="4"/>
        <v>13730.130971068684</v>
      </c>
      <c r="V58" s="68">
        <f t="shared" si="5"/>
        <v>399.90672731268023</v>
      </c>
      <c r="W58" s="71">
        <f t="shared" si="6"/>
        <v>3.0000000000000009E-2</v>
      </c>
      <c r="X58" s="22"/>
      <c r="Y58" s="74">
        <f>'Options 1-3'!AQ49</f>
        <v>21373.474455663327</v>
      </c>
      <c r="Z58" s="75">
        <f t="shared" si="7"/>
        <v>7643.3434845946431</v>
      </c>
      <c r="AA58" s="69">
        <f t="shared" si="8"/>
        <v>0.8197446096521348</v>
      </c>
      <c r="AB58" s="22"/>
      <c r="AC58" s="76">
        <v>28278.39712922816</v>
      </c>
      <c r="AD58" s="75">
        <f t="shared" si="9"/>
        <v>14548.266158159477</v>
      </c>
      <c r="AE58" s="69">
        <f t="shared" si="10"/>
        <v>1.0845716106837699</v>
      </c>
      <c r="AF58" s="69">
        <f t="shared" si="11"/>
        <v>1.8840123339999664</v>
      </c>
      <c r="AG58" s="77"/>
      <c r="AH58" s="76">
        <f>SUM('Options 1-3'!T49*Summary!$AH$3)</f>
        <v>17735.973000000002</v>
      </c>
      <c r="AI58" s="75">
        <f t="shared" si="12"/>
        <v>4005.8420289313181</v>
      </c>
      <c r="AJ58" s="22"/>
      <c r="AK58" s="74">
        <f>'Op4'!AQ49</f>
        <v>24897.337146916798</v>
      </c>
      <c r="AL58" s="75">
        <f t="shared" si="13"/>
        <v>11167.206175848114</v>
      </c>
      <c r="AM58" s="22"/>
      <c r="AN58" s="74">
        <f>'Op5'!AQ49</f>
        <v>23152.661703651062</v>
      </c>
      <c r="AO58" s="75">
        <f t="shared" si="14"/>
        <v>9422.5307325823778</v>
      </c>
      <c r="AP58" s="22"/>
      <c r="AQ58" s="74">
        <f>'Op6'!AQ49</f>
        <v>15524.398409641413</v>
      </c>
      <c r="AR58" s="75">
        <f t="shared" si="15"/>
        <v>1794.2674385727296</v>
      </c>
      <c r="AS58" s="22"/>
      <c r="AT58" s="74">
        <f>'Op7'!AQ49</f>
        <v>23152.661703651062</v>
      </c>
      <c r="AU58" s="75">
        <f t="shared" si="16"/>
        <v>9422.5307325823778</v>
      </c>
      <c r="AV58" s="22"/>
      <c r="AW58" s="74">
        <f>'Op8'!AQ49</f>
        <v>23643.695846004295</v>
      </c>
      <c r="AX58" s="75">
        <f t="shared" si="17"/>
        <v>9913.5648749356114</v>
      </c>
      <c r="AY58" s="75"/>
      <c r="AZ58" s="74">
        <v>23060.17266550392</v>
      </c>
      <c r="BA58" s="75">
        <v>9729.9484217479167</v>
      </c>
      <c r="BB58" s="75"/>
      <c r="BC58" s="75">
        <v>23674.223449970184</v>
      </c>
      <c r="BD58" s="75">
        <v>10343.999206214181</v>
      </c>
      <c r="BE58" s="75"/>
      <c r="BF58" s="74">
        <v>20503.743195428753</v>
      </c>
      <c r="BG58" s="75">
        <v>7173.5189516727496</v>
      </c>
      <c r="BH58" s="75"/>
      <c r="BI58" s="74">
        <v>21609.734348497717</v>
      </c>
      <c r="BJ58" s="75">
        <v>8279.5101047417138</v>
      </c>
      <c r="BK58" s="74">
        <v>17225.841319043164</v>
      </c>
      <c r="BL58" s="75">
        <v>3895.6170752871603</v>
      </c>
      <c r="BM58" s="75"/>
      <c r="BN58" s="74">
        <v>14628.439807603732</v>
      </c>
      <c r="BO58" s="75">
        <v>1298.2155638477288</v>
      </c>
      <c r="BP58" s="75"/>
      <c r="BQ58" s="22"/>
      <c r="BR58" s="74">
        <f>'Op9'!AQ49</f>
        <v>20536.817807297084</v>
      </c>
      <c r="BS58" s="75">
        <f t="shared" si="18"/>
        <v>6806.6868362284004</v>
      </c>
      <c r="BT58" s="22"/>
      <c r="BU58" s="74">
        <v>20866.625961628004</v>
      </c>
      <c r="BV58" s="75">
        <v>7536.4017178720005</v>
      </c>
      <c r="BW58" s="22"/>
      <c r="BX58" s="74">
        <v>21115.08562878161</v>
      </c>
      <c r="BY58" s="75">
        <v>7784.8613850256061</v>
      </c>
      <c r="BZ58" s="22"/>
      <c r="CA58" s="74">
        <v>17944.605374240178</v>
      </c>
      <c r="CB58" s="75">
        <v>4614.3811304841747</v>
      </c>
      <c r="CC58" s="22"/>
      <c r="CD58" s="74">
        <v>19781.778761934449</v>
      </c>
      <c r="CE58" s="75">
        <v>6451.5545181784455</v>
      </c>
      <c r="CF58" s="22"/>
      <c r="CG58" s="74">
        <v>13577.998419058393</v>
      </c>
      <c r="CH58" s="75">
        <v>247.77417530238927</v>
      </c>
      <c r="CI58" s="22"/>
      <c r="CJ58" s="74">
        <v>10964.460361335434</v>
      </c>
      <c r="CK58" s="75">
        <v>-2365.7638824205696</v>
      </c>
    </row>
    <row r="59" spans="1:89" ht="15.75" customHeight="1" x14ac:dyDescent="0.5">
      <c r="A59" s="86" t="s">
        <v>165</v>
      </c>
      <c r="B59" s="89" t="s">
        <v>166</v>
      </c>
      <c r="C59" s="85" t="s">
        <v>75</v>
      </c>
      <c r="D59" s="88"/>
      <c r="E59" s="62">
        <f>'Avg master'!H48</f>
        <v>2487</v>
      </c>
      <c r="F59" s="66">
        <f t="shared" si="0"/>
        <v>9.1993790634906335E-3</v>
      </c>
      <c r="G59" s="88"/>
      <c r="H59" s="64">
        <v>4283</v>
      </c>
      <c r="I59" s="64">
        <v>1955</v>
      </c>
      <c r="J59" s="64">
        <v>1223</v>
      </c>
      <c r="K59" s="65">
        <f t="shared" si="1"/>
        <v>2487</v>
      </c>
      <c r="L59" s="66">
        <f t="shared" si="2"/>
        <v>2.1358456213876557E-2</v>
      </c>
      <c r="M59" s="18"/>
      <c r="N59" s="67">
        <v>6135.6090600000016</v>
      </c>
      <c r="O59" s="22"/>
      <c r="P59" s="68">
        <v>6534.4236489000014</v>
      </c>
      <c r="Q59" s="22"/>
      <c r="R59" s="68">
        <v>6665.1121218780017</v>
      </c>
      <c r="S59" s="69">
        <f t="shared" si="3"/>
        <v>2.6799807486441503</v>
      </c>
      <c r="T59" s="46"/>
      <c r="U59" s="68">
        <f t="shared" si="4"/>
        <v>6865.0654855343419</v>
      </c>
      <c r="V59" s="68">
        <f t="shared" si="5"/>
        <v>199.95336365634012</v>
      </c>
      <c r="W59" s="71">
        <f t="shared" si="6"/>
        <v>3.0000000000000009E-2</v>
      </c>
      <c r="X59" s="22"/>
      <c r="Y59" s="74">
        <f>'Options 1-3'!AQ50</f>
        <v>2038.7048442048595</v>
      </c>
      <c r="Z59" s="75">
        <f t="shared" si="7"/>
        <v>-4826.360641329482</v>
      </c>
      <c r="AA59" s="69">
        <f t="shared" si="8"/>
        <v>0.81974460965213491</v>
      </c>
      <c r="AB59" s="22"/>
      <c r="AC59" s="76">
        <v>4685.5386746579161</v>
      </c>
      <c r="AD59" s="75">
        <f t="shared" si="9"/>
        <v>-2179.5268108764258</v>
      </c>
      <c r="AE59" s="69">
        <f t="shared" si="10"/>
        <v>1.8840123339999664</v>
      </c>
      <c r="AF59" s="69">
        <f t="shared" si="11"/>
        <v>1.8840123339999664</v>
      </c>
      <c r="AG59" s="77"/>
      <c r="AH59" s="76">
        <f>SUM('Options 1-3'!T50*Summary!$AH$3)</f>
        <v>6074.0155000000004</v>
      </c>
      <c r="AI59" s="75">
        <f t="shared" si="12"/>
        <v>-791.04998553434143</v>
      </c>
      <c r="AJ59" s="22"/>
      <c r="AK59" s="74">
        <f>'Op4'!AQ50</f>
        <v>4638.9129791179421</v>
      </c>
      <c r="AL59" s="75">
        <f t="shared" si="13"/>
        <v>-2226.1525064163998</v>
      </c>
      <c r="AM59" s="22"/>
      <c r="AN59" s="74">
        <f>'Op5'!AQ50</f>
        <v>3844.2232377890182</v>
      </c>
      <c r="AO59" s="75">
        <f t="shared" si="14"/>
        <v>-3020.8422477453237</v>
      </c>
      <c r="AP59" s="22"/>
      <c r="AQ59" s="74">
        <f>'Op6'!AQ50</f>
        <v>4854.2800950712772</v>
      </c>
      <c r="AR59" s="75">
        <f t="shared" si="15"/>
        <v>-2010.7853904630647</v>
      </c>
      <c r="AS59" s="22"/>
      <c r="AT59" s="74">
        <f>'Op7'!AQ50</f>
        <v>3844.2232377890182</v>
      </c>
      <c r="AU59" s="75">
        <f t="shared" si="16"/>
        <v>-3020.8422477453237</v>
      </c>
      <c r="AV59" s="22"/>
      <c r="AW59" s="74">
        <f>'Op8'!AQ50</f>
        <v>3123.1224234798233</v>
      </c>
      <c r="AX59" s="75">
        <f t="shared" si="17"/>
        <v>-3741.9430620545186</v>
      </c>
      <c r="AY59" s="75"/>
      <c r="AZ59" s="74">
        <v>3037.1501963375108</v>
      </c>
      <c r="BA59" s="75">
        <v>-3627.9619255404909</v>
      </c>
      <c r="BB59" s="75"/>
      <c r="BC59" s="75">
        <v>3364.4620061931973</v>
      </c>
      <c r="BD59" s="75">
        <v>-3300.6501156848044</v>
      </c>
      <c r="BE59" s="75"/>
      <c r="BF59" s="74">
        <v>3622.0824815544916</v>
      </c>
      <c r="BG59" s="75">
        <v>-3043.0296403235102</v>
      </c>
      <c r="BH59" s="75"/>
      <c r="BI59" s="74">
        <v>3311.3477704123679</v>
      </c>
      <c r="BJ59" s="75">
        <v>-3353.7643514656338</v>
      </c>
      <c r="BK59" s="74">
        <v>3901.8438018957177</v>
      </c>
      <c r="BL59" s="75">
        <v>-2763.2683199822841</v>
      </c>
      <c r="BM59" s="75"/>
      <c r="BN59" s="74">
        <v>3414.8030232165142</v>
      </c>
      <c r="BO59" s="75">
        <v>-3250.3090986614875</v>
      </c>
      <c r="BP59" s="75"/>
      <c r="BQ59" s="22"/>
      <c r="BR59" s="74">
        <f>'Op9'!AQ50</f>
        <v>2194.6960072856727</v>
      </c>
      <c r="BS59" s="75">
        <f t="shared" si="18"/>
        <v>-4670.3694782486691</v>
      </c>
      <c r="BT59" s="22"/>
      <c r="BU59" s="74">
        <v>2368.2227342640258</v>
      </c>
      <c r="BV59" s="75">
        <v>-4296.8893876139755</v>
      </c>
      <c r="BW59" s="22"/>
      <c r="BX59" s="74">
        <v>2584.0466337741318</v>
      </c>
      <c r="BY59" s="75">
        <v>-4081.0654881038699</v>
      </c>
      <c r="BZ59" s="22"/>
      <c r="CA59" s="74">
        <v>2841.667109135426</v>
      </c>
      <c r="CB59" s="75">
        <v>-3823.4450127425757</v>
      </c>
      <c r="CC59" s="22"/>
      <c r="CD59" s="74">
        <v>2753.9082186844639</v>
      </c>
      <c r="CE59" s="75">
        <v>-3911.2039031935378</v>
      </c>
      <c r="CF59" s="22"/>
      <c r="CG59" s="74">
        <v>2789.4251381772988</v>
      </c>
      <c r="CH59" s="75">
        <v>-3875.686983700703</v>
      </c>
      <c r="CI59" s="22"/>
      <c r="CJ59" s="74">
        <v>2297.4634800233162</v>
      </c>
      <c r="CK59" s="75">
        <v>-4367.6486418546856</v>
      </c>
    </row>
    <row r="60" spans="1:89" ht="15.75" customHeight="1" x14ac:dyDescent="0.5">
      <c r="A60" s="80" t="s">
        <v>167</v>
      </c>
      <c r="B60" s="59" t="s">
        <v>168</v>
      </c>
      <c r="C60" s="60" t="s">
        <v>64</v>
      </c>
      <c r="D60" s="61"/>
      <c r="E60" s="62">
        <f>'Avg master'!H49</f>
        <v>342.66666666666669</v>
      </c>
      <c r="F60" s="66">
        <f t="shared" si="0"/>
        <v>1.2675193241212133E-3</v>
      </c>
      <c r="G60" s="61"/>
      <c r="H60" s="64">
        <v>105</v>
      </c>
      <c r="I60" s="64">
        <v>95</v>
      </c>
      <c r="J60" s="64">
        <v>78</v>
      </c>
      <c r="K60" s="65">
        <f t="shared" si="1"/>
        <v>92.666666666666671</v>
      </c>
      <c r="L60" s="66">
        <f t="shared" si="2"/>
        <v>7.9582506734454932E-4</v>
      </c>
      <c r="M60" s="18"/>
      <c r="N60" s="67">
        <v>1227.1218120000001</v>
      </c>
      <c r="O60" s="22"/>
      <c r="P60" s="68">
        <v>1306.88472978</v>
      </c>
      <c r="Q60" s="22"/>
      <c r="R60" s="68">
        <v>1333.0224243756002</v>
      </c>
      <c r="S60" s="69">
        <f t="shared" si="3"/>
        <v>3.8901432617964984</v>
      </c>
      <c r="T60" s="46"/>
      <c r="U60" s="68">
        <f t="shared" si="4"/>
        <v>1373.0130971068681</v>
      </c>
      <c r="V60" s="68">
        <f t="shared" si="5"/>
        <v>39.990672731267978</v>
      </c>
      <c r="W60" s="71">
        <f t="shared" si="6"/>
        <v>2.9999999999999978E-2</v>
      </c>
      <c r="X60" s="22"/>
      <c r="Y60" s="74">
        <f>'Options 1-3'!AQ51</f>
        <v>280.8991529074649</v>
      </c>
      <c r="Z60" s="75">
        <f t="shared" si="7"/>
        <v>-1092.1139441994032</v>
      </c>
      <c r="AA60" s="69">
        <f t="shared" si="8"/>
        <v>0.81974460965213491</v>
      </c>
      <c r="AB60" s="22"/>
      <c r="AC60" s="76">
        <v>174.58514295066354</v>
      </c>
      <c r="AD60" s="75">
        <f t="shared" si="9"/>
        <v>-1198.4279541562046</v>
      </c>
      <c r="AE60" s="69">
        <f t="shared" si="10"/>
        <v>0.50948971678209198</v>
      </c>
      <c r="AF60" s="69">
        <f t="shared" si="11"/>
        <v>1.8840123339999661</v>
      </c>
      <c r="AG60" s="77"/>
      <c r="AH60" s="76">
        <f>SUM('Options 1-3'!T51*Summary!$AH$3)</f>
        <v>1742.2185000000002</v>
      </c>
      <c r="AI60" s="75">
        <f t="shared" si="12"/>
        <v>369.20540289313203</v>
      </c>
      <c r="AJ60" s="22"/>
      <c r="AK60" s="74">
        <f>'Op4'!AQ51</f>
        <v>765.50314102969651</v>
      </c>
      <c r="AL60" s="75">
        <f t="shared" si="13"/>
        <v>-607.50995607717164</v>
      </c>
      <c r="AM60" s="22"/>
      <c r="AN60" s="74">
        <f>'Op5'!AQ51</f>
        <v>773.85773104207681</v>
      </c>
      <c r="AO60" s="75">
        <f t="shared" si="14"/>
        <v>-599.15536606479134</v>
      </c>
      <c r="AP60" s="22"/>
      <c r="AQ60" s="74">
        <f>'Op6'!AQ51</f>
        <v>1910.9670824524308</v>
      </c>
      <c r="AR60" s="75">
        <f t="shared" si="15"/>
        <v>537.95398534556261</v>
      </c>
      <c r="AS60" s="22"/>
      <c r="AT60" s="74">
        <f>'Op7'!AQ51</f>
        <v>773.85773104207681</v>
      </c>
      <c r="AU60" s="75">
        <f t="shared" si="16"/>
        <v>-599.15536606479134</v>
      </c>
      <c r="AV60" s="22"/>
      <c r="AW60" s="74">
        <f>'Op8'!AQ51</f>
        <v>1267.3068997918124</v>
      </c>
      <c r="AX60" s="75">
        <f t="shared" si="17"/>
        <v>-105.70619731505576</v>
      </c>
      <c r="AY60" s="75"/>
      <c r="AZ60" s="74">
        <v>1366.1483908527764</v>
      </c>
      <c r="BA60" s="75">
        <v>33.125966477176235</v>
      </c>
      <c r="BB60" s="75"/>
      <c r="BC60" s="75">
        <v>1158.4418635654174</v>
      </c>
      <c r="BD60" s="75">
        <v>-174.58056081018276</v>
      </c>
      <c r="BE60" s="75"/>
      <c r="BF60" s="74">
        <v>1469.855326110642</v>
      </c>
      <c r="BG60" s="75">
        <v>136.83290173504179</v>
      </c>
      <c r="BH60" s="75"/>
      <c r="BI60" s="74">
        <v>1489.9024164415043</v>
      </c>
      <c r="BJ60" s="75">
        <v>156.87999206590416</v>
      </c>
      <c r="BK60" s="74">
        <v>1952.5061482616347</v>
      </c>
      <c r="BL60" s="75">
        <v>619.48372388603457</v>
      </c>
      <c r="BM60" s="75"/>
      <c r="BN60" s="74">
        <v>1915.4781435766999</v>
      </c>
      <c r="BO60" s="75">
        <v>582.45571920109978</v>
      </c>
      <c r="BP60" s="75"/>
      <c r="BQ60" s="22"/>
      <c r="BR60" s="74">
        <f>'Op9'!AQ51</f>
        <v>1273.8457250317324</v>
      </c>
      <c r="BS60" s="75">
        <f t="shared" si="18"/>
        <v>-99.167372075135745</v>
      </c>
      <c r="BT60" s="22"/>
      <c r="BU60" s="74">
        <v>1401.825583767484</v>
      </c>
      <c r="BV60" s="75">
        <v>68.80315939188381</v>
      </c>
      <c r="BW60" s="22"/>
      <c r="BX60" s="74">
        <v>1200.0652552992431</v>
      </c>
      <c r="BY60" s="75">
        <v>-132.9571690763571</v>
      </c>
      <c r="BZ60" s="22"/>
      <c r="CA60" s="74">
        <v>1511.4787178444674</v>
      </c>
      <c r="CB60" s="75">
        <v>178.45629346886722</v>
      </c>
      <c r="CC60" s="22"/>
      <c r="CD60" s="74">
        <v>1519.6334105370941</v>
      </c>
      <c r="CE60" s="75">
        <v>186.61098616149388</v>
      </c>
      <c r="CF60" s="22"/>
      <c r="CG60" s="74">
        <v>2011.8369090953756</v>
      </c>
      <c r="CH60" s="75">
        <v>678.81448471977546</v>
      </c>
      <c r="CI60" s="22"/>
      <c r="CJ60" s="74">
        <v>1975.0713591253175</v>
      </c>
      <c r="CK60" s="75">
        <v>642.04893474971732</v>
      </c>
    </row>
    <row r="61" spans="1:89" ht="15.75" customHeight="1" x14ac:dyDescent="0.5">
      <c r="A61" s="80" t="s">
        <v>169</v>
      </c>
      <c r="B61" s="59" t="s">
        <v>170</v>
      </c>
      <c r="C61" s="117" t="s">
        <v>135</v>
      </c>
      <c r="D61" s="82"/>
      <c r="E61" s="62">
        <f>'Avg master'!H50</f>
        <v>10480.666666666666</v>
      </c>
      <c r="F61" s="66">
        <f t="shared" si="0"/>
        <v>3.8767842985427216E-2</v>
      </c>
      <c r="G61" s="82"/>
      <c r="H61" s="64">
        <v>2094</v>
      </c>
      <c r="I61" s="64">
        <v>1296</v>
      </c>
      <c r="J61" s="64">
        <v>908</v>
      </c>
      <c r="K61" s="65">
        <f t="shared" si="1"/>
        <v>1432.6666666666667</v>
      </c>
      <c r="L61" s="66">
        <f t="shared" si="2"/>
        <v>1.2303799062758537E-2</v>
      </c>
      <c r="M61" s="18"/>
      <c r="N61" s="67">
        <v>9793.6007472000019</v>
      </c>
      <c r="O61" s="22"/>
      <c r="P61" s="68">
        <v>10430.184795768002</v>
      </c>
      <c r="Q61" s="22"/>
      <c r="R61" s="68">
        <v>10638.788491683363</v>
      </c>
      <c r="S61" s="69">
        <f t="shared" si="3"/>
        <v>1.0150870006694896</v>
      </c>
      <c r="T61" s="46"/>
      <c r="U61" s="68">
        <f t="shared" si="4"/>
        <v>10957.952146433863</v>
      </c>
      <c r="V61" s="68">
        <f t="shared" si="5"/>
        <v>319.16365475050043</v>
      </c>
      <c r="W61" s="71">
        <f t="shared" si="6"/>
        <v>2.9999999999999957E-2</v>
      </c>
      <c r="X61" s="22"/>
      <c r="Y61" s="74">
        <f>'Options 1-3'!AQ52</f>
        <v>8591.4700055608064</v>
      </c>
      <c r="Z61" s="75">
        <f t="shared" si="7"/>
        <v>-2366.4821408730568</v>
      </c>
      <c r="AA61" s="69">
        <f t="shared" si="8"/>
        <v>0.81974460965213469</v>
      </c>
      <c r="AB61" s="22"/>
      <c r="AC61" s="76">
        <v>2699.1616705106185</v>
      </c>
      <c r="AD61" s="75">
        <f t="shared" si="9"/>
        <v>-8258.7904759232442</v>
      </c>
      <c r="AE61" s="69">
        <f t="shared" si="10"/>
        <v>0.25753721174008831</v>
      </c>
      <c r="AF61" s="69">
        <f t="shared" si="11"/>
        <v>1.8840123339999664</v>
      </c>
      <c r="AG61" s="77"/>
      <c r="AH61" s="76">
        <f>SUM('Options 1-3'!T52*Summary!$AH$3)</f>
        <v>4373.3375000000005</v>
      </c>
      <c r="AI61" s="75">
        <f t="shared" si="12"/>
        <v>-6584.6146464338626</v>
      </c>
      <c r="AJ61" s="22"/>
      <c r="AK61" s="74">
        <f>'Op4'!AQ52</f>
        <v>2933.2753182696724</v>
      </c>
      <c r="AL61" s="75">
        <f t="shared" si="13"/>
        <v>-8024.6768281641907</v>
      </c>
      <c r="AM61" s="22"/>
      <c r="AN61" s="74">
        <f>'Op5'!AQ52</f>
        <v>2531.2760153166055</v>
      </c>
      <c r="AO61" s="75">
        <f t="shared" si="14"/>
        <v>-8426.6761311172577</v>
      </c>
      <c r="AP61" s="22"/>
      <c r="AQ61" s="74">
        <f>'Op6'!AQ52</f>
        <v>3747.2769632570898</v>
      </c>
      <c r="AR61" s="75">
        <f t="shared" si="15"/>
        <v>-7210.6751831767733</v>
      </c>
      <c r="AS61" s="22"/>
      <c r="AT61" s="74">
        <f>'Op7'!AQ52</f>
        <v>2531.2760153166055</v>
      </c>
      <c r="AU61" s="75">
        <f t="shared" si="16"/>
        <v>-8426.6761311172577</v>
      </c>
      <c r="AV61" s="22"/>
      <c r="AW61" s="74">
        <f>'Op8'!AQ52</f>
        <v>2887.0194211111534</v>
      </c>
      <c r="AX61" s="75">
        <f t="shared" si="17"/>
        <v>-8070.9327253227093</v>
      </c>
      <c r="AY61" s="75"/>
      <c r="AZ61" s="74">
        <v>2873.6056782760497</v>
      </c>
      <c r="BA61" s="75">
        <v>-7765.182813407313</v>
      </c>
      <c r="BB61" s="75"/>
      <c r="BC61" s="75">
        <v>2898.517598177556</v>
      </c>
      <c r="BD61" s="75">
        <v>-7740.2708935058072</v>
      </c>
      <c r="BE61" s="75"/>
      <c r="BF61" s="74">
        <v>3010.9179160217659</v>
      </c>
      <c r="BG61" s="75">
        <v>-7627.8705756615964</v>
      </c>
      <c r="BH61" s="75"/>
      <c r="BI61" s="74">
        <v>3014.7490475591699</v>
      </c>
      <c r="BJ61" s="75">
        <v>-7624.0394441241933</v>
      </c>
      <c r="BK61" s="74">
        <v>3306.9915487493049</v>
      </c>
      <c r="BL61" s="75">
        <v>-7331.7969429340574</v>
      </c>
      <c r="BM61" s="75"/>
      <c r="BN61" s="74">
        <v>2569.2134603309769</v>
      </c>
      <c r="BO61" s="75">
        <v>-8069.5750313523858</v>
      </c>
      <c r="BP61" s="75"/>
      <c r="BQ61" s="22"/>
      <c r="BR61" s="74">
        <f>'Op9'!AQ52</f>
        <v>4006.1343112433287</v>
      </c>
      <c r="BS61" s="75">
        <f t="shared" si="18"/>
        <v>-6951.8178351905344</v>
      </c>
      <c r="BT61" s="22"/>
      <c r="BU61" s="74">
        <v>4321.0023833518726</v>
      </c>
      <c r="BV61" s="75">
        <v>-6317.7861083314901</v>
      </c>
      <c r="BW61" s="22"/>
      <c r="BX61" s="74">
        <v>4587.1470874326824</v>
      </c>
      <c r="BY61" s="75">
        <v>-6051.6414042506804</v>
      </c>
      <c r="BZ61" s="22"/>
      <c r="CA61" s="74">
        <v>4699.5474052768923</v>
      </c>
      <c r="CB61" s="75">
        <v>-5939.2410864064705</v>
      </c>
      <c r="CC61" s="22"/>
      <c r="CD61" s="74">
        <v>4220.9129684556892</v>
      </c>
      <c r="CE61" s="75">
        <v>-6417.8755232276735</v>
      </c>
      <c r="CF61" s="22"/>
      <c r="CG61" s="74">
        <v>5713.9955960042971</v>
      </c>
      <c r="CH61" s="75">
        <v>-4924.7928956790656</v>
      </c>
      <c r="CI61" s="22"/>
      <c r="CJ61" s="74">
        <v>4986.8650966620598</v>
      </c>
      <c r="CK61" s="75">
        <v>-5651.9233950213029</v>
      </c>
    </row>
    <row r="62" spans="1:89" ht="15.75" customHeight="1" x14ac:dyDescent="0.5">
      <c r="A62" s="83" t="s">
        <v>171</v>
      </c>
      <c r="B62" s="59" t="s">
        <v>172</v>
      </c>
      <c r="C62" s="94" t="s">
        <v>92</v>
      </c>
      <c r="D62" s="85"/>
      <c r="E62" s="62">
        <f>'Avg master'!H51</f>
        <v>3394</v>
      </c>
      <c r="F62" s="66">
        <f t="shared" si="0"/>
        <v>1.2554359686967113E-2</v>
      </c>
      <c r="G62" s="85"/>
      <c r="H62" s="64">
        <v>2081</v>
      </c>
      <c r="I62" s="64">
        <v>930</v>
      </c>
      <c r="J62" s="64">
        <v>713</v>
      </c>
      <c r="K62" s="65">
        <f t="shared" si="1"/>
        <v>1241.3333333333333</v>
      </c>
      <c r="L62" s="66">
        <f t="shared" si="2"/>
        <v>1.0660620686298927E-2</v>
      </c>
      <c r="M62" s="18"/>
      <c r="N62" s="67">
        <v>1659.5361648000001</v>
      </c>
      <c r="O62" s="22"/>
      <c r="P62" s="68">
        <v>1767.4060155120001</v>
      </c>
      <c r="Q62" s="22"/>
      <c r="R62" s="68">
        <v>1802.7541358222402</v>
      </c>
      <c r="S62" s="69">
        <f t="shared" si="3"/>
        <v>0.53115914432004718</v>
      </c>
      <c r="T62" s="46"/>
      <c r="U62" s="68">
        <f t="shared" si="4"/>
        <v>1856.8367598969076</v>
      </c>
      <c r="V62" s="68">
        <f t="shared" si="5"/>
        <v>54.082624074667365</v>
      </c>
      <c r="W62" s="71">
        <f t="shared" si="6"/>
        <v>3.0000000000000089E-2</v>
      </c>
      <c r="X62" s="22"/>
      <c r="Y62" s="74">
        <f>'Options 1-3'!AQ53</f>
        <v>2782.2132051593458</v>
      </c>
      <c r="Z62" s="75">
        <f t="shared" si="7"/>
        <v>925.37644526243821</v>
      </c>
      <c r="AA62" s="69">
        <f t="shared" si="8"/>
        <v>0.81974460965213491</v>
      </c>
      <c r="AB62" s="22"/>
      <c r="AC62" s="76">
        <v>2338.6873106052913</v>
      </c>
      <c r="AD62" s="75">
        <f t="shared" si="9"/>
        <v>481.85055070838371</v>
      </c>
      <c r="AE62" s="69">
        <f t="shared" si="10"/>
        <v>0.68906520642465863</v>
      </c>
      <c r="AF62" s="69">
        <f t="shared" si="11"/>
        <v>1.8840123339999661</v>
      </c>
      <c r="AG62" s="77"/>
      <c r="AH62" s="76">
        <f>SUM('Options 1-3'!T53*Summary!$AH$3)</f>
        <v>3649.6060000000002</v>
      </c>
      <c r="AI62" s="75">
        <f t="shared" si="12"/>
        <v>1792.7692401030927</v>
      </c>
      <c r="AJ62" s="22"/>
      <c r="AK62" s="74">
        <f>'Op4'!AQ53</f>
        <v>2623.7476491811781</v>
      </c>
      <c r="AL62" s="75">
        <f t="shared" si="13"/>
        <v>766.91088928427052</v>
      </c>
      <c r="AM62" s="22"/>
      <c r="AN62" s="74">
        <f>'Op5'!AQ53</f>
        <v>2454.5899916866247</v>
      </c>
      <c r="AO62" s="75">
        <f t="shared" si="14"/>
        <v>597.75323178971712</v>
      </c>
      <c r="AP62" s="22"/>
      <c r="AQ62" s="74">
        <f>'Op6'!AQ53</f>
        <v>3406.8912839063732</v>
      </c>
      <c r="AR62" s="75">
        <f t="shared" si="15"/>
        <v>1550.0545240094657</v>
      </c>
      <c r="AS62" s="22"/>
      <c r="AT62" s="74">
        <f>'Op7'!AQ53</f>
        <v>2454.5899916866247</v>
      </c>
      <c r="AU62" s="75">
        <f t="shared" si="16"/>
        <v>597.75323178971712</v>
      </c>
      <c r="AV62" s="22"/>
      <c r="AW62" s="74">
        <f>'Op8'!AQ53</f>
        <v>2798.6695578499894</v>
      </c>
      <c r="AX62" s="75">
        <f t="shared" si="17"/>
        <v>941.83279795308181</v>
      </c>
      <c r="AY62" s="75"/>
      <c r="AZ62" s="74">
        <v>2816.1334183503677</v>
      </c>
      <c r="BA62" s="75">
        <v>1013.3792825281275</v>
      </c>
      <c r="BB62" s="75"/>
      <c r="BC62" s="75">
        <v>2773.4522920841923</v>
      </c>
      <c r="BD62" s="75">
        <v>970.69815626195214</v>
      </c>
      <c r="BE62" s="75"/>
      <c r="BF62" s="74">
        <v>2904.9086486976125</v>
      </c>
      <c r="BG62" s="75">
        <v>1102.1545128753723</v>
      </c>
      <c r="BH62" s="75"/>
      <c r="BI62" s="74">
        <v>2920.4154592284494</v>
      </c>
      <c r="BJ62" s="75">
        <v>1117.6613234062092</v>
      </c>
      <c r="BK62" s="74">
        <v>3143.6958905498564</v>
      </c>
      <c r="BL62" s="75">
        <v>1340.9417547276162</v>
      </c>
      <c r="BM62" s="75"/>
      <c r="BN62" s="74">
        <v>2794.2395802566448</v>
      </c>
      <c r="BO62" s="75">
        <v>991.4854444344046</v>
      </c>
      <c r="BP62" s="75"/>
      <c r="BQ62" s="22"/>
      <c r="BR62" s="74">
        <f>'Op9'!AQ53</f>
        <v>2730.0536250836203</v>
      </c>
      <c r="BS62" s="75">
        <f t="shared" si="18"/>
        <v>873.21686518671277</v>
      </c>
      <c r="BT62" s="22"/>
      <c r="BU62" s="74">
        <v>2917.2506896818245</v>
      </c>
      <c r="BV62" s="75">
        <v>1114.4965538595843</v>
      </c>
      <c r="BW62" s="22"/>
      <c r="BX62" s="74">
        <v>2891.4224419708921</v>
      </c>
      <c r="BY62" s="75">
        <v>1088.6683061486519</v>
      </c>
      <c r="BZ62" s="22"/>
      <c r="CA62" s="74">
        <v>3022.8787985843123</v>
      </c>
      <c r="CB62" s="75">
        <v>1220.1246627620721</v>
      </c>
      <c r="CC62" s="22"/>
      <c r="CD62" s="74">
        <v>3004.6798520046636</v>
      </c>
      <c r="CE62" s="75">
        <v>1201.9257161824235</v>
      </c>
      <c r="CF62" s="22"/>
      <c r="CG62" s="74">
        <v>3311.8527479536788</v>
      </c>
      <c r="CH62" s="75">
        <v>1509.0986121314386</v>
      </c>
      <c r="CI62" s="22"/>
      <c r="CJ62" s="74">
        <v>2963.1402939576778</v>
      </c>
      <c r="CK62" s="75">
        <v>1160.3861581354377</v>
      </c>
    </row>
    <row r="63" spans="1:89" ht="15.75" customHeight="1" x14ac:dyDescent="0.5">
      <c r="A63" s="78" t="s">
        <v>173</v>
      </c>
      <c r="B63" s="59" t="s">
        <v>174</v>
      </c>
      <c r="C63" s="81" t="s">
        <v>69</v>
      </c>
      <c r="D63" s="61"/>
      <c r="E63" s="62">
        <f>'Avg master'!H52</f>
        <v>1913.3333333333333</v>
      </c>
      <c r="F63" s="66">
        <f t="shared" si="0"/>
        <v>7.0773938914939329E-3</v>
      </c>
      <c r="G63" s="61"/>
      <c r="H63" s="64">
        <v>1469</v>
      </c>
      <c r="I63" s="64">
        <v>1093</v>
      </c>
      <c r="J63" s="64">
        <v>743</v>
      </c>
      <c r="K63" s="65">
        <f t="shared" si="1"/>
        <v>1101.6666666666667</v>
      </c>
      <c r="L63" s="66">
        <f t="shared" si="2"/>
        <v>9.4611577250853802E-3</v>
      </c>
      <c r="M63" s="18"/>
      <c r="N63" s="110"/>
      <c r="O63" s="22"/>
      <c r="P63" s="79">
        <v>1568.7449999999999</v>
      </c>
      <c r="Q63" s="22"/>
      <c r="R63" s="79">
        <v>1600.1198999999999</v>
      </c>
      <c r="S63" s="69">
        <f t="shared" si="3"/>
        <v>0.83629959930313591</v>
      </c>
      <c r="T63" s="46"/>
      <c r="U63" s="68">
        <f t="shared" si="4"/>
        <v>1648.123497</v>
      </c>
      <c r="V63" s="68">
        <f t="shared" si="5"/>
        <v>48.003597000000127</v>
      </c>
      <c r="W63" s="71">
        <f t="shared" si="6"/>
        <v>3.0000000000000082E-2</v>
      </c>
      <c r="X63" s="22"/>
      <c r="Y63" s="74">
        <f>'Options 1-3'!AQ54</f>
        <v>1568.4446864677514</v>
      </c>
      <c r="Z63" s="75">
        <f t="shared" si="7"/>
        <v>-79.67881053224869</v>
      </c>
      <c r="AA63" s="69">
        <f t="shared" si="8"/>
        <v>0.81974460965213491</v>
      </c>
      <c r="AB63" s="22"/>
      <c r="AC63" s="76">
        <v>2075.5535879566301</v>
      </c>
      <c r="AD63" s="75">
        <f t="shared" si="9"/>
        <v>427.43009095663001</v>
      </c>
      <c r="AE63" s="69">
        <f t="shared" si="10"/>
        <v>1.0847841052038136</v>
      </c>
      <c r="AF63" s="69">
        <f t="shared" si="11"/>
        <v>1.8840123339999666</v>
      </c>
      <c r="AG63" s="77"/>
      <c r="AH63" s="76">
        <f>SUM('Options 1-3'!T54*Summary!$AH$3)</f>
        <v>2772.6215000000002</v>
      </c>
      <c r="AI63" s="75">
        <f t="shared" si="12"/>
        <v>1124.4980030000002</v>
      </c>
      <c r="AJ63" s="22"/>
      <c r="AK63" s="74">
        <f>'Op4'!AQ54</f>
        <v>2397.8032356827825</v>
      </c>
      <c r="AL63" s="75">
        <f t="shared" si="13"/>
        <v>749.6797386827825</v>
      </c>
      <c r="AM63" s="22"/>
      <c r="AN63" s="74">
        <f>'Op5'!AQ54</f>
        <v>2866.7415608803003</v>
      </c>
      <c r="AO63" s="75">
        <f t="shared" si="14"/>
        <v>1218.6180638803003</v>
      </c>
      <c r="AP63" s="22"/>
      <c r="AQ63" s="74">
        <f>'Op6'!AQ54</f>
        <v>3373.6510801506706</v>
      </c>
      <c r="AR63" s="75">
        <f t="shared" si="15"/>
        <v>1725.5275831506706</v>
      </c>
      <c r="AS63" s="22"/>
      <c r="AT63" s="74">
        <f>'Op7'!AQ54</f>
        <v>2866.7415608803003</v>
      </c>
      <c r="AU63" s="75">
        <f t="shared" si="16"/>
        <v>1218.6180638803003</v>
      </c>
      <c r="AV63" s="22"/>
      <c r="AW63" s="74">
        <f>'Op8'!AQ54</f>
        <v>2913.5688891870736</v>
      </c>
      <c r="AX63" s="75">
        <f t="shared" si="17"/>
        <v>1265.4453921870736</v>
      </c>
      <c r="AY63" s="75"/>
      <c r="AZ63" s="74">
        <v>2968.448807330883</v>
      </c>
      <c r="BA63" s="75">
        <v>1368.3289073308831</v>
      </c>
      <c r="BB63" s="75"/>
      <c r="BC63" s="75">
        <v>2884.8800439693291</v>
      </c>
      <c r="BD63" s="75">
        <v>1284.7601439693292</v>
      </c>
      <c r="BE63" s="75"/>
      <c r="BF63" s="74">
        <v>3106.6584401408868</v>
      </c>
      <c r="BG63" s="75">
        <v>1506.5385401408869</v>
      </c>
      <c r="BH63" s="75"/>
      <c r="BI63" s="74">
        <v>3054.2762942887566</v>
      </c>
      <c r="BJ63" s="75">
        <v>1454.1563942887567</v>
      </c>
      <c r="BK63" s="74">
        <v>3167.9819439533553</v>
      </c>
      <c r="BL63" s="75">
        <v>1567.8620439533554</v>
      </c>
      <c r="BM63" s="75"/>
      <c r="BN63" s="74">
        <v>3751.2805553229027</v>
      </c>
      <c r="BO63" s="75">
        <v>2151.160655322903</v>
      </c>
      <c r="BP63" s="75"/>
      <c r="BQ63" s="22"/>
      <c r="BR63" s="74">
        <f>'Op9'!AQ54</f>
        <v>3069.9701265728681</v>
      </c>
      <c r="BS63" s="75">
        <f t="shared" si="18"/>
        <v>1421.8466295728681</v>
      </c>
      <c r="BT63" s="22"/>
      <c r="BU63" s="74">
        <v>2840.3143292628856</v>
      </c>
      <c r="BV63" s="75">
        <v>1240.1944292628857</v>
      </c>
      <c r="BW63" s="22"/>
      <c r="BX63" s="74">
        <v>2735.3898195566653</v>
      </c>
      <c r="BY63" s="75">
        <v>1135.2699195566654</v>
      </c>
      <c r="BZ63" s="22"/>
      <c r="CA63" s="74">
        <v>2957.1682157282225</v>
      </c>
      <c r="CB63" s="75">
        <v>1357.0483157282226</v>
      </c>
      <c r="CC63" s="22"/>
      <c r="CD63" s="74">
        <v>2947.4975625654251</v>
      </c>
      <c r="CE63" s="75">
        <v>1347.3776625654252</v>
      </c>
      <c r="CF63" s="22"/>
      <c r="CG63" s="74">
        <v>2954.8957829713736</v>
      </c>
      <c r="CH63" s="75">
        <v>1354.7758829713737</v>
      </c>
      <c r="CI63" s="22"/>
      <c r="CJ63" s="74">
        <v>3537.251789411559</v>
      </c>
      <c r="CK63" s="75">
        <v>1937.1318894115591</v>
      </c>
    </row>
    <row r="64" spans="1:89" ht="15.75" customHeight="1" x14ac:dyDescent="0.5">
      <c r="A64" s="83" t="s">
        <v>175</v>
      </c>
      <c r="B64" s="90" t="s">
        <v>176</v>
      </c>
      <c r="C64" s="104" t="s">
        <v>81</v>
      </c>
      <c r="D64" s="85"/>
      <c r="E64" s="62">
        <f>'Avg master'!H53</f>
        <v>450</v>
      </c>
      <c r="F64" s="66">
        <f t="shared" si="0"/>
        <v>1.6645438594977021E-3</v>
      </c>
      <c r="G64" s="85"/>
      <c r="H64" s="64">
        <v>495</v>
      </c>
      <c r="I64" s="64">
        <v>438</v>
      </c>
      <c r="J64" s="64">
        <v>417</v>
      </c>
      <c r="K64" s="65">
        <f t="shared" si="1"/>
        <v>450</v>
      </c>
      <c r="L64" s="66">
        <f t="shared" si="2"/>
        <v>3.8646181327882789E-3</v>
      </c>
      <c r="M64" s="18"/>
      <c r="N64" s="67">
        <v>1227.1218120000001</v>
      </c>
      <c r="O64" s="22"/>
      <c r="P64" s="68">
        <v>1306.88472978</v>
      </c>
      <c r="Q64" s="22"/>
      <c r="R64" s="68">
        <v>1333.0224243756002</v>
      </c>
      <c r="S64" s="69">
        <f t="shared" si="3"/>
        <v>2.9622720541680003</v>
      </c>
      <c r="T64" s="46"/>
      <c r="U64" s="68">
        <f t="shared" si="4"/>
        <v>1373.0130971068681</v>
      </c>
      <c r="V64" s="68">
        <f t="shared" si="5"/>
        <v>39.990672731267978</v>
      </c>
      <c r="W64" s="71">
        <f t="shared" si="6"/>
        <v>2.9999999999999978E-2</v>
      </c>
      <c r="X64" s="22"/>
      <c r="Y64" s="74">
        <f>'Options 1-3'!AQ55</f>
        <v>368.8850743434607</v>
      </c>
      <c r="Z64" s="75">
        <f t="shared" si="7"/>
        <v>-1004.1280227634074</v>
      </c>
      <c r="AA64" s="69">
        <f t="shared" si="8"/>
        <v>0.81974460965213491</v>
      </c>
      <c r="AB64" s="22"/>
      <c r="AC64" s="76">
        <v>847.80555029998482</v>
      </c>
      <c r="AD64" s="75">
        <f t="shared" si="9"/>
        <v>-525.20754680688333</v>
      </c>
      <c r="AE64" s="69">
        <f t="shared" si="10"/>
        <v>1.8840123339999661</v>
      </c>
      <c r="AF64" s="69">
        <f t="shared" si="11"/>
        <v>1.8840123339999661</v>
      </c>
      <c r="AG64" s="77"/>
      <c r="AH64" s="76">
        <f>SUM('Options 1-3'!T55*Summary!$AH$3)</f>
        <v>1768.6985000000002</v>
      </c>
      <c r="AI64" s="75">
        <f t="shared" si="12"/>
        <v>395.68540289313205</v>
      </c>
      <c r="AJ64" s="22"/>
      <c r="AK64" s="74">
        <f>'Op4'!AQ55</f>
        <v>1343.5757216270233</v>
      </c>
      <c r="AL64" s="75">
        <f t="shared" si="13"/>
        <v>-29.437375479844832</v>
      </c>
      <c r="AM64" s="22"/>
      <c r="AN64" s="74">
        <f>'Op5'!AQ55</f>
        <v>1133.0403639684798</v>
      </c>
      <c r="AO64" s="75">
        <f t="shared" si="14"/>
        <v>-239.97273313838832</v>
      </c>
      <c r="AP64" s="22"/>
      <c r="AQ64" s="74">
        <f>'Op6'!AQ55</f>
        <v>1801.5029077002357</v>
      </c>
      <c r="AR64" s="75">
        <f t="shared" si="15"/>
        <v>428.48981059336757</v>
      </c>
      <c r="AS64" s="22"/>
      <c r="AT64" s="74">
        <f>'Op7'!AQ55</f>
        <v>1133.0403639684798</v>
      </c>
      <c r="AU64" s="75">
        <f t="shared" si="16"/>
        <v>-239.97273313838832</v>
      </c>
      <c r="AV64" s="22"/>
      <c r="AW64" s="74">
        <f>'Op8'!AQ55</f>
        <v>1286.9118714538743</v>
      </c>
      <c r="AX64" s="75">
        <f t="shared" si="17"/>
        <v>-86.10122565299389</v>
      </c>
      <c r="AY64" s="75"/>
      <c r="AZ64" s="74">
        <v>1384.6236079907867</v>
      </c>
      <c r="BA64" s="75">
        <v>51.601183615186528</v>
      </c>
      <c r="BB64" s="75"/>
      <c r="BC64" s="75">
        <v>1212.6079448437715</v>
      </c>
      <c r="BD64" s="75">
        <v>-120.41447953182865</v>
      </c>
      <c r="BE64" s="75"/>
      <c r="BF64" s="74">
        <v>1533.4896899749515</v>
      </c>
      <c r="BG64" s="75">
        <v>200.46726559935132</v>
      </c>
      <c r="BH64" s="75"/>
      <c r="BI64" s="74">
        <v>1486.6740701213321</v>
      </c>
      <c r="BJ64" s="75">
        <v>153.65164574573191</v>
      </c>
      <c r="BK64" s="74">
        <v>2091.4024826135287</v>
      </c>
      <c r="BL64" s="75">
        <v>758.38005823792855</v>
      </c>
      <c r="BM64" s="75"/>
      <c r="BN64" s="74">
        <v>2093.141122266356</v>
      </c>
      <c r="BO64" s="75">
        <v>760.11869789075581</v>
      </c>
      <c r="BP64" s="75"/>
      <c r="BQ64" s="22"/>
      <c r="BR64" s="74">
        <f>'Op9'!AQ55</f>
        <v>1162.290041916805</v>
      </c>
      <c r="BS64" s="75">
        <f t="shared" si="18"/>
        <v>-210.72305519006318</v>
      </c>
      <c r="BT64" s="22"/>
      <c r="BU64" s="74">
        <v>1263.5872758906385</v>
      </c>
      <c r="BV64" s="75">
        <v>-69.435148484961701</v>
      </c>
      <c r="BW64" s="22"/>
      <c r="BX64" s="74">
        <v>1071.3988907269322</v>
      </c>
      <c r="BY64" s="75">
        <v>-261.62353364866794</v>
      </c>
      <c r="BZ64" s="22"/>
      <c r="CA64" s="74">
        <v>1392.2806358581122</v>
      </c>
      <c r="CB64" s="75">
        <v>59.258211482512024</v>
      </c>
      <c r="CC64" s="22"/>
      <c r="CD64" s="74">
        <v>1385.8104600378756</v>
      </c>
      <c r="CE64" s="75">
        <v>52.788035662275433</v>
      </c>
      <c r="CF64" s="22"/>
      <c r="CG64" s="74">
        <v>1890.1204566089896</v>
      </c>
      <c r="CH64" s="75">
        <v>557.0980322333894</v>
      </c>
      <c r="CI64" s="22"/>
      <c r="CJ64" s="74">
        <v>1890.9687079370678</v>
      </c>
      <c r="CK64" s="75">
        <v>557.94628356146768</v>
      </c>
    </row>
    <row r="65" spans="1:89" ht="15.75" customHeight="1" x14ac:dyDescent="0.5">
      <c r="A65" s="83" t="s">
        <v>177</v>
      </c>
      <c r="B65" s="59" t="s">
        <v>178</v>
      </c>
      <c r="C65" s="112" t="s">
        <v>69</v>
      </c>
      <c r="D65" s="85"/>
      <c r="E65" s="62">
        <f>'Avg master'!H54</f>
        <v>816.66666666666663</v>
      </c>
      <c r="F65" s="66">
        <f t="shared" si="0"/>
        <v>3.0208388561254592E-3</v>
      </c>
      <c r="G65" s="85"/>
      <c r="H65" s="64">
        <v>820</v>
      </c>
      <c r="I65" s="64">
        <v>635</v>
      </c>
      <c r="J65" s="64">
        <v>528</v>
      </c>
      <c r="K65" s="65">
        <f t="shared" si="1"/>
        <v>661</v>
      </c>
      <c r="L65" s="66">
        <f t="shared" si="2"/>
        <v>5.6766946350512272E-3</v>
      </c>
      <c r="M65" s="18"/>
      <c r="N65" s="67">
        <v>1472.5461744000004</v>
      </c>
      <c r="O65" s="22"/>
      <c r="P65" s="68">
        <v>1568.2616757360004</v>
      </c>
      <c r="Q65" s="22"/>
      <c r="R65" s="68">
        <v>1599.6269092507205</v>
      </c>
      <c r="S65" s="69">
        <f t="shared" si="3"/>
        <v>1.9587268276539436</v>
      </c>
      <c r="T65" s="46"/>
      <c r="U65" s="68">
        <f t="shared" si="4"/>
        <v>1647.615716528242</v>
      </c>
      <c r="V65" s="68">
        <f t="shared" si="5"/>
        <v>47.988807277521573</v>
      </c>
      <c r="W65" s="71">
        <f t="shared" si="6"/>
        <v>2.9999999999999975E-2</v>
      </c>
      <c r="X65" s="22"/>
      <c r="Y65" s="74">
        <f>'Options 1-3'!AQ56</f>
        <v>669.45809788257679</v>
      </c>
      <c r="Z65" s="75">
        <f t="shared" si="7"/>
        <v>-978.15761864566525</v>
      </c>
      <c r="AA65" s="69">
        <f t="shared" si="8"/>
        <v>0.81974460965213491</v>
      </c>
      <c r="AB65" s="22"/>
      <c r="AC65" s="76">
        <v>1245.3321527739777</v>
      </c>
      <c r="AD65" s="75">
        <f t="shared" si="9"/>
        <v>-402.28356375426438</v>
      </c>
      <c r="AE65" s="69">
        <f t="shared" si="10"/>
        <v>1.524896513600789</v>
      </c>
      <c r="AF65" s="69">
        <f t="shared" si="11"/>
        <v>1.8840123339999661</v>
      </c>
      <c r="AG65" s="77"/>
      <c r="AH65" s="76">
        <f>SUM('Options 1-3'!T56*Summary!$AH$3)</f>
        <v>2364.1675</v>
      </c>
      <c r="AI65" s="75">
        <f t="shared" si="12"/>
        <v>716.55178347175797</v>
      </c>
      <c r="AJ65" s="22"/>
      <c r="AK65" s="74">
        <f>'Op4'!AQ56</f>
        <v>1684.9189525207805</v>
      </c>
      <c r="AL65" s="75">
        <f t="shared" si="13"/>
        <v>37.303235992538475</v>
      </c>
      <c r="AM65" s="22"/>
      <c r="AN65" s="74">
        <f>'Op5'!AQ56</f>
        <v>1610.0719105980795</v>
      </c>
      <c r="AO65" s="75">
        <f t="shared" si="14"/>
        <v>-37.543805930162534</v>
      </c>
      <c r="AP65" s="22"/>
      <c r="AQ65" s="74">
        <f>'Op6'!AQ56</f>
        <v>2422.355787601879</v>
      </c>
      <c r="AR65" s="75">
        <f t="shared" si="15"/>
        <v>774.74007107363695</v>
      </c>
      <c r="AS65" s="22"/>
      <c r="AT65" s="74">
        <f>'Op7'!AQ56</f>
        <v>1610.0719105980795</v>
      </c>
      <c r="AU65" s="75">
        <f t="shared" si="16"/>
        <v>-37.543805930162534</v>
      </c>
      <c r="AV65" s="22"/>
      <c r="AW65" s="74">
        <f>'Op8'!AQ56</f>
        <v>1857.1744449443972</v>
      </c>
      <c r="AX65" s="75">
        <f t="shared" si="17"/>
        <v>209.55872841615519</v>
      </c>
      <c r="AY65" s="75"/>
      <c r="AZ65" s="74">
        <v>1929.4808266217012</v>
      </c>
      <c r="BA65" s="75">
        <v>329.85391737098075</v>
      </c>
      <c r="BB65" s="75"/>
      <c r="BC65" s="75">
        <v>1795.5543619964053</v>
      </c>
      <c r="BD65" s="75">
        <v>195.92745274568483</v>
      </c>
      <c r="BE65" s="75"/>
      <c r="BF65" s="74">
        <v>2057.102531868908</v>
      </c>
      <c r="BG65" s="75">
        <v>457.47562261818757</v>
      </c>
      <c r="BH65" s="75"/>
      <c r="BI65" s="74">
        <v>2035.7299344102842</v>
      </c>
      <c r="BJ65" s="75">
        <v>436.10302515956369</v>
      </c>
      <c r="BK65" s="74">
        <v>2457.3250493287969</v>
      </c>
      <c r="BL65" s="75">
        <v>857.69814007807645</v>
      </c>
      <c r="BM65" s="75"/>
      <c r="BN65" s="74">
        <v>2444.0616235579332</v>
      </c>
      <c r="BO65" s="75">
        <v>844.43471430721274</v>
      </c>
      <c r="BP65" s="75"/>
      <c r="BQ65" s="22"/>
      <c r="BR65" s="74">
        <f>'Op9'!AQ56</f>
        <v>1699.8897542531645</v>
      </c>
      <c r="BS65" s="75">
        <f t="shared" si="18"/>
        <v>52.274037724922437</v>
      </c>
      <c r="BT65" s="22"/>
      <c r="BU65" s="74">
        <v>1821.5186998361469</v>
      </c>
      <c r="BV65" s="75">
        <v>221.89179058542641</v>
      </c>
      <c r="BW65" s="22"/>
      <c r="BX65" s="74">
        <v>1669.5985474132588</v>
      </c>
      <c r="BY65" s="75">
        <v>69.971638162538284</v>
      </c>
      <c r="BZ65" s="22"/>
      <c r="CA65" s="74">
        <v>1931.1467172857615</v>
      </c>
      <c r="CB65" s="75">
        <v>331.51980803504102</v>
      </c>
      <c r="CC65" s="22"/>
      <c r="CD65" s="74">
        <v>1945.761495422322</v>
      </c>
      <c r="CE65" s="75">
        <v>346.13458617160154</v>
      </c>
      <c r="CF65" s="22"/>
      <c r="CG65" s="74">
        <v>2277.7852761541212</v>
      </c>
      <c r="CH65" s="75">
        <v>678.15836690340075</v>
      </c>
      <c r="CI65" s="22"/>
      <c r="CJ65" s="74">
        <v>2263.7276407807608</v>
      </c>
      <c r="CK65" s="75">
        <v>664.10073153004032</v>
      </c>
    </row>
    <row r="66" spans="1:89" ht="15.75" customHeight="1" x14ac:dyDescent="0.5">
      <c r="A66" s="118" t="s">
        <v>179</v>
      </c>
      <c r="B66" s="59" t="s">
        <v>180</v>
      </c>
      <c r="C66" s="81" t="s">
        <v>69</v>
      </c>
      <c r="D66" s="119"/>
      <c r="E66" s="62">
        <f>'Avg master'!H55</f>
        <v>979.66666666666663</v>
      </c>
      <c r="F66" s="66">
        <f t="shared" si="0"/>
        <v>3.6237736318990711E-3</v>
      </c>
      <c r="G66" s="119"/>
      <c r="H66" s="64">
        <v>480</v>
      </c>
      <c r="I66" s="64">
        <v>344</v>
      </c>
      <c r="J66" s="64">
        <v>284</v>
      </c>
      <c r="K66" s="65">
        <f t="shared" si="1"/>
        <v>369.33333333333331</v>
      </c>
      <c r="L66" s="66">
        <f t="shared" si="2"/>
        <v>3.1718495489847505E-3</v>
      </c>
      <c r="M66" s="18"/>
      <c r="N66" s="67">
        <v>1473</v>
      </c>
      <c r="O66" s="22"/>
      <c r="P66" s="68">
        <v>1568.7449999999999</v>
      </c>
      <c r="Q66" s="22"/>
      <c r="R66" s="68">
        <v>1600.1198999999999</v>
      </c>
      <c r="S66" s="69">
        <f t="shared" si="3"/>
        <v>1.6333309629125552</v>
      </c>
      <c r="T66" s="46"/>
      <c r="U66" s="68">
        <f t="shared" si="4"/>
        <v>1648.123497</v>
      </c>
      <c r="V66" s="68">
        <f t="shared" si="5"/>
        <v>48.003597000000127</v>
      </c>
      <c r="W66" s="71">
        <f t="shared" si="6"/>
        <v>3.0000000000000082E-2</v>
      </c>
      <c r="X66" s="22"/>
      <c r="Y66" s="74">
        <f>'Options 1-3'!AQ57</f>
        <v>803.07646925587471</v>
      </c>
      <c r="Z66" s="75">
        <f t="shared" si="7"/>
        <v>-845.04702774412533</v>
      </c>
      <c r="AA66" s="69">
        <f t="shared" si="8"/>
        <v>0.8197446096521348</v>
      </c>
      <c r="AB66" s="22"/>
      <c r="AC66" s="76">
        <v>695.82855535732085</v>
      </c>
      <c r="AD66" s="75">
        <f t="shared" si="9"/>
        <v>-952.29494164267919</v>
      </c>
      <c r="AE66" s="69">
        <f t="shared" si="10"/>
        <v>0.71027072680230097</v>
      </c>
      <c r="AF66" s="69">
        <f t="shared" si="11"/>
        <v>1.8840123339999664</v>
      </c>
      <c r="AG66" s="77"/>
      <c r="AH66" s="76">
        <f>SUM('Options 1-3'!T57*Summary!$AH$3)</f>
        <v>1609.8185000000001</v>
      </c>
      <c r="AI66" s="75">
        <f t="shared" si="12"/>
        <v>-38.304996999999958</v>
      </c>
      <c r="AJ66" s="22"/>
      <c r="AK66" s="74">
        <f>'Op4'!AQ57</f>
        <v>1213.077993544418</v>
      </c>
      <c r="AL66" s="75">
        <f t="shared" si="13"/>
        <v>-435.04550345558209</v>
      </c>
      <c r="AM66" s="22"/>
      <c r="AN66" s="74">
        <f>'Op5'!AQ57</f>
        <v>1094.3966084220615</v>
      </c>
      <c r="AO66" s="75">
        <f t="shared" si="14"/>
        <v>-553.72688857793855</v>
      </c>
      <c r="AP66" s="22"/>
      <c r="AQ66" s="74">
        <f>'Op6'!AQ57</f>
        <v>1757.7551026130343</v>
      </c>
      <c r="AR66" s="75">
        <f t="shared" si="15"/>
        <v>109.63160561303425</v>
      </c>
      <c r="AS66" s="22"/>
      <c r="AT66" s="74">
        <f>'Op7'!AQ57</f>
        <v>1094.3966084220615</v>
      </c>
      <c r="AU66" s="75">
        <f t="shared" si="16"/>
        <v>-553.72688857793855</v>
      </c>
      <c r="AV66" s="22"/>
      <c r="AW66" s="74">
        <f>'Op8'!AQ57</f>
        <v>1378.127073427275</v>
      </c>
      <c r="AX66" s="75">
        <f t="shared" si="17"/>
        <v>-269.99642357272501</v>
      </c>
      <c r="AY66" s="75"/>
      <c r="AZ66" s="74">
        <v>1482.6173371084967</v>
      </c>
      <c r="BA66" s="75">
        <v>-117.5025628915032</v>
      </c>
      <c r="BB66" s="75"/>
      <c r="BC66" s="75">
        <v>1276.2817687597594</v>
      </c>
      <c r="BD66" s="75">
        <v>-323.8381312402405</v>
      </c>
      <c r="BE66" s="75"/>
      <c r="BF66" s="74">
        <v>1568.5943899367865</v>
      </c>
      <c r="BG66" s="75">
        <v>-31.52551006321346</v>
      </c>
      <c r="BH66" s="75"/>
      <c r="BI66" s="74">
        <v>1563.3044719093753</v>
      </c>
      <c r="BJ66" s="75">
        <v>-36.815428090624664</v>
      </c>
      <c r="BK66" s="74">
        <v>2154.2542356740792</v>
      </c>
      <c r="BL66" s="75">
        <v>554.13433567407924</v>
      </c>
      <c r="BM66" s="75"/>
      <c r="BN66" s="74">
        <v>2043.7069350939412</v>
      </c>
      <c r="BO66" s="75">
        <v>443.58703509394127</v>
      </c>
      <c r="BP66" s="75"/>
      <c r="BQ66" s="22"/>
      <c r="BR66" s="74">
        <f>'Op9'!AQ57</f>
        <v>1346.6749967812964</v>
      </c>
      <c r="BS66" s="75">
        <f t="shared" si="18"/>
        <v>-301.44850021870366</v>
      </c>
      <c r="BT66" s="22"/>
      <c r="BU66" s="74">
        <v>1510.3002113059808</v>
      </c>
      <c r="BV66" s="75">
        <v>-89.819688694019078</v>
      </c>
      <c r="BW66" s="22"/>
      <c r="BX66" s="74">
        <v>1308.5784553234905</v>
      </c>
      <c r="BY66" s="75">
        <v>-291.5414446765094</v>
      </c>
      <c r="BZ66" s="22"/>
      <c r="CA66" s="74">
        <v>1600.8910765005178</v>
      </c>
      <c r="CB66" s="75">
        <v>0.77117650051786768</v>
      </c>
      <c r="CC66" s="22"/>
      <c r="CD66" s="74">
        <v>1586.3735337406122</v>
      </c>
      <c r="CE66" s="75">
        <v>-13.746366259387742</v>
      </c>
      <c r="CF66" s="22"/>
      <c r="CG66" s="74">
        <v>2200.2905365716306</v>
      </c>
      <c r="CH66" s="75">
        <v>600.17063657163067</v>
      </c>
      <c r="CI66" s="22"/>
      <c r="CJ66" s="74">
        <v>2089.9468815213368</v>
      </c>
      <c r="CK66" s="75">
        <v>489.82698152133685</v>
      </c>
    </row>
    <row r="67" spans="1:89" ht="15.75" customHeight="1" x14ac:dyDescent="0.5">
      <c r="A67" s="52"/>
      <c r="B67" s="52"/>
      <c r="C67" s="7"/>
      <c r="D67" s="7"/>
      <c r="E67" s="120"/>
      <c r="F67" s="121"/>
      <c r="G67" s="7"/>
      <c r="H67" s="52"/>
      <c r="I67" s="52"/>
      <c r="J67" s="52"/>
      <c r="K67" s="22"/>
      <c r="L67" s="121"/>
      <c r="M67" s="18"/>
      <c r="N67" s="122"/>
      <c r="O67" s="22"/>
      <c r="P67" s="123"/>
      <c r="Q67" s="22"/>
      <c r="R67" s="123"/>
      <c r="S67" s="45"/>
      <c r="T67" s="46"/>
      <c r="U67" s="22"/>
      <c r="V67" s="22"/>
      <c r="W67" s="22"/>
      <c r="X67" s="22"/>
      <c r="Y67" s="22"/>
      <c r="Z67" s="22"/>
      <c r="AA67" s="22"/>
      <c r="AB67" s="22"/>
      <c r="AC67" s="121"/>
      <c r="AD67" s="121"/>
      <c r="AE67" s="22"/>
      <c r="AF67" s="22"/>
      <c r="AG67" s="121"/>
      <c r="AH67" s="121"/>
      <c r="AI67" s="121"/>
      <c r="AJ67" s="22"/>
      <c r="AK67" s="22"/>
      <c r="AL67" s="121"/>
      <c r="AM67" s="22"/>
      <c r="AN67" s="22"/>
      <c r="AO67" s="121"/>
      <c r="AP67" s="22"/>
      <c r="AQ67" s="22"/>
      <c r="AR67" s="121"/>
      <c r="AS67" s="22"/>
      <c r="AT67" s="22"/>
      <c r="AU67" s="121"/>
      <c r="AV67" s="22"/>
      <c r="AW67" s="22"/>
      <c r="AX67" s="121"/>
      <c r="AY67" s="121"/>
      <c r="AZ67" s="22"/>
      <c r="BA67" s="121"/>
      <c r="BB67" s="121"/>
      <c r="BC67" s="121"/>
      <c r="BD67" s="121"/>
      <c r="BE67" s="121"/>
      <c r="BF67" s="22"/>
      <c r="BG67" s="121"/>
      <c r="BH67" s="121"/>
      <c r="BI67" s="22"/>
      <c r="BJ67" s="121"/>
      <c r="BK67" s="22"/>
      <c r="BL67" s="121"/>
      <c r="BM67" s="121"/>
      <c r="BN67" s="22"/>
      <c r="BO67" s="121"/>
      <c r="BP67" s="121"/>
      <c r="BQ67" s="22"/>
      <c r="BR67" s="22"/>
      <c r="BS67" s="121"/>
      <c r="BT67" s="22"/>
      <c r="BU67" s="22"/>
      <c r="BV67" s="121"/>
      <c r="BW67" s="22"/>
      <c r="BX67" s="22"/>
      <c r="BY67" s="121"/>
      <c r="BZ67" s="22"/>
      <c r="CA67" s="22"/>
      <c r="CB67" s="121"/>
      <c r="CC67" s="22"/>
      <c r="CD67" s="22"/>
      <c r="CE67" s="121"/>
      <c r="CF67" s="22"/>
      <c r="CG67" s="22"/>
      <c r="CH67" s="121"/>
      <c r="CI67" s="22"/>
      <c r="CJ67" s="22"/>
      <c r="CK67" s="121"/>
    </row>
    <row r="68" spans="1:89" ht="15.75" customHeight="1" x14ac:dyDescent="0.5">
      <c r="A68" s="124"/>
      <c r="B68" s="124"/>
      <c r="C68" s="125"/>
      <c r="D68" s="125"/>
      <c r="E68" s="126"/>
      <c r="F68" s="127"/>
      <c r="G68" s="125"/>
      <c r="H68" s="124"/>
      <c r="I68" s="124"/>
      <c r="J68" s="124"/>
      <c r="K68" s="128"/>
      <c r="L68" s="127"/>
      <c r="M68" s="127"/>
      <c r="N68" s="68"/>
      <c r="O68" s="129"/>
      <c r="P68" s="68"/>
      <c r="Q68" s="129"/>
      <c r="R68" s="68"/>
      <c r="S68" s="130"/>
      <c r="T68" s="131"/>
      <c r="U68" s="129"/>
      <c r="V68" s="129"/>
      <c r="W68" s="129"/>
      <c r="X68" s="129"/>
      <c r="Y68" s="129"/>
      <c r="Z68" s="129"/>
      <c r="AA68" s="129"/>
      <c r="AB68" s="129"/>
      <c r="AC68" s="127"/>
      <c r="AD68" s="127"/>
      <c r="AE68" s="129"/>
      <c r="AF68" s="129"/>
      <c r="AG68" s="127"/>
      <c r="AH68" s="127"/>
      <c r="AI68" s="127"/>
      <c r="AJ68" s="22"/>
      <c r="AK68" s="22"/>
      <c r="AL68" s="127"/>
      <c r="AM68" s="22"/>
      <c r="AN68" s="22"/>
      <c r="AO68" s="127"/>
      <c r="AP68" s="22"/>
      <c r="AQ68" s="22"/>
      <c r="AR68" s="127"/>
      <c r="AS68" s="22"/>
      <c r="AT68" s="22"/>
      <c r="AU68" s="127"/>
      <c r="AV68" s="22"/>
      <c r="AW68" s="22"/>
      <c r="AX68" s="127"/>
      <c r="AY68" s="127"/>
      <c r="AZ68" s="22"/>
      <c r="BA68" s="127"/>
      <c r="BB68" s="127"/>
      <c r="BC68" s="127"/>
      <c r="BD68" s="127"/>
      <c r="BE68" s="127"/>
      <c r="BF68" s="22"/>
      <c r="BG68" s="127"/>
      <c r="BH68" s="127"/>
      <c r="BI68" s="22"/>
      <c r="BJ68" s="127"/>
      <c r="BK68" s="22"/>
      <c r="BL68" s="127"/>
      <c r="BM68" s="127"/>
      <c r="BN68" s="22"/>
      <c r="BO68" s="127"/>
      <c r="BP68" s="127"/>
      <c r="BQ68" s="22"/>
      <c r="BR68" s="22"/>
      <c r="BS68" s="127"/>
      <c r="BT68" s="22"/>
      <c r="BU68" s="22"/>
      <c r="BV68" s="127"/>
      <c r="BW68" s="22"/>
      <c r="BX68" s="22"/>
      <c r="BY68" s="127"/>
      <c r="BZ68" s="22"/>
      <c r="CA68" s="22"/>
      <c r="CB68" s="127"/>
      <c r="CC68" s="22"/>
      <c r="CD68" s="22"/>
      <c r="CE68" s="127"/>
      <c r="CF68" s="22"/>
      <c r="CG68" s="22"/>
      <c r="CH68" s="127"/>
      <c r="CI68" s="22"/>
      <c r="CJ68" s="22"/>
      <c r="CK68" s="127"/>
    </row>
    <row r="69" spans="1:89" ht="15.75" customHeight="1" x14ac:dyDescent="0.5">
      <c r="A69" s="132" t="s">
        <v>181</v>
      </c>
      <c r="B69" s="132"/>
      <c r="C69" s="133"/>
      <c r="D69" s="133"/>
      <c r="E69" s="134">
        <f>SUM(E13:E66)</f>
        <v>270344.33333333337</v>
      </c>
      <c r="F69" s="135">
        <f>SUM(F13:F68)</f>
        <v>1.0000000000000002</v>
      </c>
      <c r="G69" s="133"/>
      <c r="H69" s="132"/>
      <c r="I69" s="132"/>
      <c r="J69" s="132"/>
      <c r="K69" s="134">
        <f>SUM(K13:K66)</f>
        <v>116441</v>
      </c>
      <c r="L69" s="135">
        <f>SUM(L13:L68)</f>
        <v>1</v>
      </c>
      <c r="M69" s="135"/>
      <c r="N69" s="137">
        <f>SUM(N13:N67)</f>
        <v>198229.70673759998</v>
      </c>
      <c r="O69" s="131"/>
      <c r="P69" s="138">
        <f>SUM(P13:P67)</f>
        <v>217127.627675544</v>
      </c>
      <c r="Q69" s="131"/>
      <c r="R69" s="138">
        <f>SUM(R13:R67)</f>
        <v>221470.18022905494</v>
      </c>
      <c r="S69" s="139"/>
      <c r="T69" s="131"/>
      <c r="U69" s="138">
        <f>SUM(U13:U67)</f>
        <v>228114.28563592659</v>
      </c>
      <c r="V69" s="138"/>
      <c r="W69" s="138"/>
      <c r="X69" s="141"/>
      <c r="Y69" s="142">
        <f>SUM(Y13:Y67)</f>
        <v>221613.30999999994</v>
      </c>
      <c r="Z69" s="141"/>
      <c r="AA69" s="141"/>
      <c r="AB69" s="141"/>
      <c r="AC69" s="142">
        <f>SUM(AC13:AC67)</f>
        <v>219376.28018329013</v>
      </c>
      <c r="AD69" s="142"/>
      <c r="AE69" s="141"/>
      <c r="AF69" s="141"/>
      <c r="AG69" s="142"/>
      <c r="AH69" s="142">
        <f>SUM(AH13:AH67)</f>
        <v>219182.57299999997</v>
      </c>
      <c r="AI69" s="142"/>
      <c r="AJ69" s="143"/>
      <c r="AK69" s="142">
        <f>SUM(AK13:AK67)</f>
        <v>221613.31000000003</v>
      </c>
      <c r="AL69" s="142"/>
      <c r="AM69" s="142"/>
      <c r="AN69" s="142">
        <f>SUM(AN13:AN67)</f>
        <v>221613.31000000006</v>
      </c>
      <c r="AO69" s="142"/>
      <c r="AP69" s="142"/>
      <c r="AQ69" s="142">
        <f>SUM(AQ13:AQ67)</f>
        <v>221613.31</v>
      </c>
      <c r="AR69" s="142"/>
      <c r="AS69" s="142"/>
      <c r="AT69" s="142">
        <f>SUM(AT13:AT67)</f>
        <v>221613.31000000006</v>
      </c>
      <c r="AU69" s="142"/>
      <c r="AV69" s="142"/>
      <c r="AW69" s="142">
        <f>SUM(AW13:AW67)</f>
        <v>221614.31</v>
      </c>
      <c r="AX69" s="142"/>
      <c r="AY69" s="142"/>
      <c r="AZ69" s="142">
        <v>221614.31000000003</v>
      </c>
      <c r="BA69" s="142"/>
      <c r="BB69" s="142"/>
      <c r="BC69" s="142">
        <v>221614.31000000003</v>
      </c>
      <c r="BD69" s="142"/>
      <c r="BE69" s="142"/>
      <c r="BF69" s="142">
        <v>221614.31000000003</v>
      </c>
      <c r="BG69" s="142"/>
      <c r="BH69" s="142"/>
      <c r="BI69" s="142">
        <v>221614.30999999997</v>
      </c>
      <c r="BJ69" s="142"/>
      <c r="BK69" s="142">
        <v>221614.31000000003</v>
      </c>
      <c r="BL69" s="142"/>
      <c r="BM69" s="142"/>
      <c r="BN69" s="142">
        <v>221614.30999999997</v>
      </c>
      <c r="BO69" s="142"/>
      <c r="BP69" s="142"/>
      <c r="BQ69" s="142"/>
      <c r="BR69" s="142">
        <f>SUM(BR13:BR67)</f>
        <v>221614.31000000003</v>
      </c>
      <c r="BS69" s="142"/>
      <c r="BT69" s="22"/>
      <c r="BU69" s="142">
        <v>221614.31000000003</v>
      </c>
      <c r="BV69" s="142"/>
      <c r="BW69" s="22"/>
      <c r="BX69" s="142">
        <v>221614.31000000006</v>
      </c>
      <c r="BY69" s="142"/>
      <c r="BZ69" s="22"/>
      <c r="CA69" s="142">
        <v>221614.30999999997</v>
      </c>
      <c r="CB69" s="142"/>
      <c r="CC69" s="22"/>
      <c r="CD69" s="142">
        <v>221614.31</v>
      </c>
      <c r="CE69" s="142"/>
      <c r="CF69" s="22"/>
      <c r="CG69" s="142">
        <v>221614.31</v>
      </c>
      <c r="CH69" s="142"/>
      <c r="CI69" s="22"/>
      <c r="CJ69" s="142">
        <v>221614.30999999997</v>
      </c>
      <c r="CK69" s="142"/>
    </row>
    <row r="70" spans="1:89" ht="15.75" customHeight="1" x14ac:dyDescent="0.45">
      <c r="A70" s="83" t="s">
        <v>182</v>
      </c>
      <c r="B70" s="83">
        <f>COUNTIF(B13:B66,"*")</f>
        <v>54</v>
      </c>
      <c r="C70" s="85"/>
      <c r="D70" s="85"/>
      <c r="E70" s="22">
        <f>COUNTIF(E13:E67,"&gt;1")</f>
        <v>52</v>
      </c>
      <c r="F70" s="144"/>
      <c r="G70" s="85"/>
      <c r="H70" s="83"/>
      <c r="I70" s="83"/>
      <c r="J70" s="83"/>
      <c r="K70" s="145"/>
      <c r="L70" s="144"/>
      <c r="M70" s="144"/>
      <c r="N70" s="22">
        <f>COUNTIF(N13:N67,"&gt;1")</f>
        <v>50</v>
      </c>
      <c r="O70" s="22"/>
      <c r="P70" s="22">
        <f>COUNTIF(P13:P67,"&gt;1")</f>
        <v>54</v>
      </c>
      <c r="Q70" s="22"/>
      <c r="R70" s="22">
        <f>COUNTIF(R13:R67,"&gt;1")</f>
        <v>54</v>
      </c>
      <c r="S70" s="45"/>
      <c r="T70" s="46"/>
      <c r="U70" s="83">
        <f>COUNTIF(U13:U66,"&gt;0")</f>
        <v>54</v>
      </c>
      <c r="V70" s="83"/>
      <c r="W70" s="83"/>
      <c r="X70" s="22"/>
      <c r="Y70" s="146">
        <f>SUM(U73)*Y71</f>
        <v>221613.31</v>
      </c>
      <c r="Z70" s="22"/>
      <c r="AA70" s="22"/>
      <c r="AB70" s="22"/>
      <c r="AC70" s="146">
        <f>SUM(U73)*AC71</f>
        <v>221613.31</v>
      </c>
      <c r="AD70" s="146"/>
      <c r="AE70" s="22"/>
      <c r="AF70" s="22"/>
      <c r="AG70" s="146"/>
      <c r="AH70" s="146"/>
      <c r="AI70" s="146"/>
      <c r="AJ70" s="22"/>
      <c r="AK70" s="22"/>
      <c r="AL70" s="146"/>
      <c r="AM70" s="22"/>
      <c r="AN70" s="22"/>
      <c r="AO70" s="146"/>
      <c r="AP70" s="22"/>
      <c r="AQ70" s="22"/>
      <c r="AR70" s="146"/>
      <c r="AS70" s="22"/>
      <c r="AT70" s="22"/>
      <c r="AU70" s="146"/>
      <c r="AV70" s="22"/>
      <c r="AW70" s="22"/>
      <c r="AX70" s="146"/>
      <c r="AY70" s="146"/>
      <c r="AZ70" s="22"/>
      <c r="BA70" s="146"/>
      <c r="BB70" s="146"/>
      <c r="BC70" s="146"/>
      <c r="BD70" s="146"/>
      <c r="BE70" s="146"/>
      <c r="BF70" s="22"/>
      <c r="BG70" s="146"/>
      <c r="BH70" s="146"/>
      <c r="BI70" s="22"/>
      <c r="BJ70" s="146"/>
      <c r="BK70" s="22"/>
      <c r="BL70" s="146"/>
      <c r="BM70" s="146"/>
      <c r="BN70" s="22"/>
      <c r="BO70" s="146"/>
      <c r="BP70" s="146"/>
      <c r="BQ70" s="22"/>
      <c r="BR70" s="22"/>
      <c r="BS70" s="146"/>
      <c r="BT70" s="22"/>
      <c r="BU70" s="22"/>
      <c r="BV70" s="146"/>
      <c r="BW70" s="22"/>
      <c r="BX70" s="22"/>
      <c r="BY70" s="146"/>
      <c r="BZ70" s="22"/>
      <c r="CA70" s="22"/>
      <c r="CB70" s="146"/>
      <c r="CC70" s="22"/>
      <c r="CD70" s="22"/>
      <c r="CE70" s="146"/>
      <c r="CF70" s="22"/>
      <c r="CG70" s="22"/>
      <c r="CH70" s="146"/>
      <c r="CI70" s="22"/>
      <c r="CJ70" s="22"/>
      <c r="CK70" s="146"/>
    </row>
    <row r="71" spans="1:89" ht="15.75" customHeight="1" x14ac:dyDescent="0.45">
      <c r="A71" s="96" t="s">
        <v>183</v>
      </c>
      <c r="B71" s="83"/>
      <c r="C71" s="85"/>
      <c r="D71" s="85"/>
      <c r="E71" s="147"/>
      <c r="F71" s="144"/>
      <c r="G71" s="85"/>
      <c r="H71" s="83"/>
      <c r="I71" s="83"/>
      <c r="J71" s="83"/>
      <c r="K71" s="145"/>
      <c r="L71" s="144"/>
      <c r="M71" s="144"/>
      <c r="N71" s="149"/>
      <c r="O71" s="22"/>
      <c r="P71" s="22"/>
      <c r="Q71" s="22"/>
      <c r="R71" s="22"/>
      <c r="S71" s="45"/>
      <c r="T71" s="46"/>
      <c r="U71" s="22"/>
      <c r="V71" s="22"/>
      <c r="W71" s="22"/>
      <c r="X71" s="22"/>
      <c r="Y71" s="150">
        <v>1</v>
      </c>
      <c r="Z71" s="151"/>
      <c r="AA71" s="22"/>
      <c r="AB71" s="151"/>
      <c r="AC71" s="150">
        <v>1</v>
      </c>
      <c r="AD71" s="50"/>
      <c r="AE71" s="22"/>
      <c r="AF71" s="22"/>
      <c r="AG71" s="50"/>
      <c r="AH71" s="50"/>
      <c r="AI71" s="50"/>
      <c r="AJ71" s="22"/>
      <c r="AK71" s="22"/>
      <c r="AL71" s="50"/>
      <c r="AM71" s="22"/>
      <c r="AN71" s="22"/>
      <c r="AO71" s="50"/>
      <c r="AP71" s="22"/>
      <c r="AQ71" s="22"/>
      <c r="AR71" s="50"/>
      <c r="AS71" s="22"/>
      <c r="AT71" s="22"/>
      <c r="AU71" s="50"/>
      <c r="AV71" s="22"/>
      <c r="AW71" s="22"/>
      <c r="AX71" s="50"/>
      <c r="AY71" s="50"/>
      <c r="AZ71" s="22"/>
      <c r="BA71" s="50"/>
      <c r="BB71" s="50"/>
      <c r="BC71" s="50"/>
      <c r="BD71" s="50"/>
      <c r="BE71" s="50"/>
      <c r="BF71" s="22"/>
      <c r="BG71" s="50"/>
      <c r="BH71" s="50"/>
      <c r="BI71" s="22"/>
      <c r="BJ71" s="50"/>
      <c r="BK71" s="22"/>
      <c r="BL71" s="50"/>
      <c r="BM71" s="50"/>
      <c r="BN71" s="22"/>
      <c r="BO71" s="50"/>
      <c r="BP71" s="50"/>
      <c r="BQ71" s="22"/>
      <c r="BR71" s="22"/>
      <c r="BS71" s="50"/>
      <c r="BT71" s="22"/>
      <c r="BU71" s="22"/>
      <c r="BV71" s="50"/>
      <c r="BW71" s="22"/>
      <c r="BX71" s="22"/>
      <c r="BY71" s="50"/>
      <c r="BZ71" s="22"/>
      <c r="CA71" s="22"/>
      <c r="CB71" s="50"/>
      <c r="CC71" s="22"/>
      <c r="CD71" s="22"/>
      <c r="CE71" s="50"/>
      <c r="CF71" s="22"/>
      <c r="CG71" s="22"/>
      <c r="CH71" s="50"/>
      <c r="CI71" s="22"/>
      <c r="CJ71" s="22"/>
      <c r="CK71" s="50"/>
    </row>
    <row r="72" spans="1:89" ht="15.75" customHeight="1" x14ac:dyDescent="0.45">
      <c r="A72" s="83"/>
      <c r="B72" s="83"/>
      <c r="C72" s="85"/>
      <c r="D72" s="85"/>
      <c r="E72" s="147"/>
      <c r="F72" s="144"/>
      <c r="G72" s="85"/>
      <c r="H72" s="83"/>
      <c r="I72" s="83"/>
      <c r="J72" s="83"/>
      <c r="K72" s="145"/>
      <c r="L72" s="144"/>
      <c r="M72" s="144"/>
      <c r="N72" s="149"/>
      <c r="O72" s="22"/>
      <c r="P72" s="22"/>
      <c r="Q72" s="22"/>
      <c r="R72" s="22"/>
      <c r="S72" s="45"/>
      <c r="T72" s="46"/>
      <c r="U72" s="22"/>
      <c r="V72" s="22"/>
      <c r="W72" s="22"/>
      <c r="X72" s="22"/>
      <c r="Y72" s="22"/>
      <c r="Z72" s="22"/>
      <c r="AA72" s="22"/>
      <c r="AB72" s="22"/>
      <c r="AC72" s="50"/>
      <c r="AD72" s="50"/>
      <c r="AE72" s="22"/>
      <c r="AF72" s="22"/>
      <c r="AG72" s="50"/>
      <c r="AH72" s="50"/>
      <c r="AI72" s="50"/>
      <c r="AJ72" s="22"/>
      <c r="AK72" s="22"/>
      <c r="AL72" s="50"/>
      <c r="AM72" s="22"/>
      <c r="AN72" s="22"/>
      <c r="AO72" s="50"/>
      <c r="AP72" s="22"/>
      <c r="AQ72" s="22"/>
      <c r="AR72" s="50"/>
      <c r="AS72" s="22"/>
      <c r="AT72" s="22"/>
      <c r="AU72" s="50"/>
      <c r="AV72" s="22"/>
      <c r="AW72" s="22"/>
      <c r="AX72" s="50"/>
      <c r="AY72" s="50"/>
      <c r="AZ72" s="22"/>
      <c r="BA72" s="50"/>
      <c r="BB72" s="50"/>
      <c r="BC72" s="50"/>
      <c r="BD72" s="50"/>
      <c r="BE72" s="50"/>
      <c r="BF72" s="22"/>
      <c r="BG72" s="50"/>
      <c r="BH72" s="50"/>
      <c r="BI72" s="22"/>
      <c r="BJ72" s="50"/>
      <c r="BK72" s="22"/>
      <c r="BL72" s="50"/>
      <c r="BM72" s="50"/>
      <c r="BN72" s="22"/>
      <c r="BO72" s="50"/>
      <c r="BP72" s="50"/>
      <c r="BQ72" s="22"/>
      <c r="BR72" s="22"/>
      <c r="BS72" s="50"/>
      <c r="BT72" s="22"/>
      <c r="BU72" s="22"/>
      <c r="BV72" s="50"/>
      <c r="BW72" s="22"/>
      <c r="BX72" s="22"/>
      <c r="BY72" s="50"/>
      <c r="BZ72" s="22"/>
      <c r="CA72" s="22"/>
      <c r="CB72" s="50"/>
      <c r="CC72" s="22"/>
      <c r="CD72" s="22"/>
      <c r="CE72" s="50"/>
      <c r="CF72" s="22"/>
      <c r="CG72" s="22"/>
      <c r="CH72" s="50"/>
      <c r="CI72" s="22"/>
      <c r="CJ72" s="22"/>
      <c r="CK72" s="50"/>
    </row>
    <row r="73" spans="1:89" ht="15.75" customHeight="1" x14ac:dyDescent="0.45">
      <c r="A73" s="83" t="s">
        <v>184</v>
      </c>
      <c r="B73" s="83"/>
      <c r="C73" s="85"/>
      <c r="D73" s="85"/>
      <c r="E73" s="147"/>
      <c r="F73" s="144"/>
      <c r="G73" s="85"/>
      <c r="H73" s="83"/>
      <c r="I73" s="83"/>
      <c r="J73" s="83"/>
      <c r="K73" s="145"/>
      <c r="L73" s="144"/>
      <c r="M73" s="144"/>
      <c r="N73" s="152">
        <v>218234.62</v>
      </c>
      <c r="O73" s="22"/>
      <c r="P73" s="74">
        <v>213467.59999999998</v>
      </c>
      <c r="Q73" s="22"/>
      <c r="R73" s="74">
        <v>213467.59999999998</v>
      </c>
      <c r="S73" s="45"/>
      <c r="T73" s="46"/>
      <c r="U73" s="74">
        <f>'FY20-21 budget'!AD84</f>
        <v>221613.31</v>
      </c>
      <c r="V73" s="74"/>
      <c r="W73" s="74"/>
      <c r="X73" s="22"/>
      <c r="Y73" s="22"/>
      <c r="Z73" s="22"/>
      <c r="AA73" s="22"/>
      <c r="AB73" s="22"/>
      <c r="AC73" s="144"/>
      <c r="AD73" s="144"/>
      <c r="AE73" s="22"/>
      <c r="AF73" s="22"/>
      <c r="AG73" s="144"/>
      <c r="AH73" s="144"/>
      <c r="AI73" s="144"/>
      <c r="AJ73" s="22"/>
      <c r="AK73" s="22"/>
      <c r="AL73" s="144"/>
      <c r="AM73" s="22"/>
      <c r="AN73" s="22"/>
      <c r="AO73" s="144"/>
      <c r="AP73" s="22"/>
      <c r="AQ73" s="22"/>
      <c r="AR73" s="144"/>
      <c r="AS73" s="22"/>
      <c r="AT73" s="22"/>
      <c r="AU73" s="144"/>
      <c r="AV73" s="22"/>
      <c r="AW73" s="22"/>
      <c r="AX73" s="144"/>
      <c r="AY73" s="144"/>
      <c r="AZ73" s="22"/>
      <c r="BA73" s="144"/>
      <c r="BB73" s="144"/>
      <c r="BC73" s="144"/>
      <c r="BD73" s="144"/>
      <c r="BE73" s="144"/>
      <c r="BF73" s="22"/>
      <c r="BG73" s="144"/>
      <c r="BH73" s="144"/>
      <c r="BI73" s="22"/>
      <c r="BJ73" s="144"/>
      <c r="BK73" s="22"/>
      <c r="BL73" s="144"/>
      <c r="BM73" s="144"/>
      <c r="BN73" s="22"/>
      <c r="BO73" s="144"/>
      <c r="BP73" s="144"/>
      <c r="BQ73" s="22"/>
      <c r="BR73" s="22"/>
      <c r="BS73" s="144"/>
      <c r="BT73" s="22"/>
      <c r="BU73" s="22"/>
      <c r="BV73" s="144"/>
      <c r="BW73" s="22"/>
      <c r="BX73" s="22"/>
      <c r="BY73" s="144"/>
      <c r="BZ73" s="22"/>
      <c r="CA73" s="22"/>
      <c r="CB73" s="144"/>
      <c r="CC73" s="22"/>
      <c r="CD73" s="22"/>
      <c r="CE73" s="144"/>
      <c r="CF73" s="22"/>
      <c r="CG73" s="22"/>
      <c r="CH73" s="144"/>
      <c r="CI73" s="22"/>
      <c r="CJ73" s="22"/>
      <c r="CK73" s="144"/>
    </row>
    <row r="74" spans="1:89" ht="15.75" customHeight="1" x14ac:dyDescent="0.45">
      <c r="A74" s="66" t="s">
        <v>185</v>
      </c>
      <c r="B74" s="66"/>
      <c r="C74" s="85"/>
      <c r="D74" s="85"/>
      <c r="E74" s="147"/>
      <c r="F74" s="44"/>
      <c r="G74" s="85"/>
      <c r="H74" s="66"/>
      <c r="I74" s="66"/>
      <c r="J74" s="66"/>
      <c r="K74" s="44"/>
      <c r="L74" s="44"/>
      <c r="M74" s="44"/>
      <c r="N74" s="44"/>
      <c r="O74" s="44"/>
      <c r="P74" s="44">
        <f>SUM(P69-L69)/L69</f>
        <v>217126.627675544</v>
      </c>
      <c r="Q74" s="44"/>
      <c r="R74" s="44">
        <f>SUM(R69-N69)/N69</f>
        <v>0.11724011438012553</v>
      </c>
      <c r="S74" s="45"/>
      <c r="T74" s="154"/>
      <c r="U74" s="44">
        <v>0.03</v>
      </c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22"/>
      <c r="AK74" s="22"/>
      <c r="AL74" s="44"/>
      <c r="AM74" s="22"/>
      <c r="AN74" s="22"/>
      <c r="AO74" s="44"/>
      <c r="AP74" s="22"/>
      <c r="AQ74" s="22"/>
      <c r="AR74" s="44"/>
      <c r="AS74" s="22"/>
      <c r="AT74" s="22"/>
      <c r="AU74" s="44"/>
      <c r="AV74" s="22"/>
      <c r="AW74" s="22"/>
      <c r="AX74" s="44"/>
      <c r="AY74" s="44"/>
      <c r="AZ74" s="22"/>
      <c r="BA74" s="44"/>
      <c r="BB74" s="44"/>
      <c r="BC74" s="44"/>
      <c r="BD74" s="44"/>
      <c r="BE74" s="44"/>
      <c r="BF74" s="22"/>
      <c r="BG74" s="44"/>
      <c r="BH74" s="44"/>
      <c r="BI74" s="22"/>
      <c r="BJ74" s="44"/>
      <c r="BK74" s="22"/>
      <c r="BL74" s="44"/>
      <c r="BM74" s="44"/>
      <c r="BN74" s="22"/>
      <c r="BO74" s="44"/>
      <c r="BP74" s="44"/>
      <c r="BQ74" s="22"/>
      <c r="BR74" s="22"/>
      <c r="BS74" s="44"/>
      <c r="BT74" s="22"/>
      <c r="BU74" s="22"/>
      <c r="BV74" s="44"/>
      <c r="BW74" s="22"/>
      <c r="BX74" s="22"/>
      <c r="BY74" s="44"/>
      <c r="BZ74" s="22"/>
      <c r="CA74" s="22"/>
      <c r="CB74" s="44"/>
      <c r="CC74" s="22"/>
      <c r="CD74" s="22"/>
      <c r="CE74" s="44"/>
      <c r="CF74" s="22"/>
      <c r="CG74" s="22"/>
      <c r="CH74" s="44"/>
      <c r="CI74" s="22"/>
      <c r="CJ74" s="22"/>
      <c r="CK74" s="44"/>
    </row>
    <row r="75" spans="1:89" ht="15.75" customHeight="1" x14ac:dyDescent="0.45">
      <c r="A75" s="22"/>
      <c r="B75" s="22"/>
      <c r="C75" s="12"/>
      <c r="D75" s="12"/>
      <c r="E75" s="155"/>
      <c r="F75" s="144"/>
      <c r="G75" s="12"/>
      <c r="H75" s="22"/>
      <c r="I75" s="22"/>
      <c r="J75" s="22"/>
      <c r="K75" s="145"/>
      <c r="L75" s="144"/>
      <c r="M75" s="144"/>
      <c r="N75" s="74">
        <f>SUM(N69-N73)</f>
        <v>-20004.913262400019</v>
      </c>
      <c r="O75" s="22"/>
      <c r="P75" s="74">
        <f>SUM(P69-P73)</f>
        <v>3660.0276755440282</v>
      </c>
      <c r="Q75" s="22"/>
      <c r="R75" s="74">
        <f>SUM(R69-R73)</f>
        <v>8002.5802290549618</v>
      </c>
      <c r="S75" s="45"/>
      <c r="T75" s="46"/>
      <c r="U75" s="74">
        <f>SUM(U69-U73)</f>
        <v>6500.9756359265884</v>
      </c>
      <c r="V75" s="74"/>
      <c r="W75" s="74"/>
      <c r="X75" s="22"/>
      <c r="Y75" s="22"/>
      <c r="Z75" s="22"/>
      <c r="AA75" s="22"/>
      <c r="AB75" s="22"/>
      <c r="AC75" s="144"/>
      <c r="AD75" s="144"/>
      <c r="AE75" s="22"/>
      <c r="AF75" s="22"/>
      <c r="AG75" s="144"/>
      <c r="AH75" s="144"/>
      <c r="AI75" s="144"/>
      <c r="AJ75" s="22"/>
      <c r="AK75" s="22"/>
      <c r="AL75" s="144"/>
      <c r="AM75" s="22"/>
      <c r="AN75" s="22"/>
      <c r="AO75" s="144"/>
      <c r="AP75" s="22"/>
      <c r="AQ75" s="22"/>
      <c r="AR75" s="144"/>
      <c r="AS75" s="22"/>
      <c r="AT75" s="22"/>
      <c r="AU75" s="144"/>
      <c r="AV75" s="22"/>
      <c r="AW75" s="22"/>
      <c r="AX75" s="144"/>
      <c r="AY75" s="144"/>
      <c r="AZ75" s="22"/>
      <c r="BA75" s="144"/>
      <c r="BB75" s="144"/>
      <c r="BC75" s="144"/>
      <c r="BD75" s="144"/>
      <c r="BE75" s="144"/>
      <c r="BF75" s="22"/>
      <c r="BG75" s="144"/>
      <c r="BH75" s="144"/>
      <c r="BI75" s="22"/>
      <c r="BJ75" s="144"/>
      <c r="BK75" s="22"/>
      <c r="BL75" s="144"/>
      <c r="BM75" s="144"/>
      <c r="BN75" s="22"/>
      <c r="BO75" s="144"/>
      <c r="BP75" s="144"/>
      <c r="BQ75" s="22"/>
      <c r="BR75" s="22"/>
      <c r="BS75" s="144"/>
      <c r="BT75" s="22"/>
      <c r="BU75" s="22"/>
      <c r="BV75" s="144"/>
      <c r="BW75" s="22"/>
      <c r="BX75" s="22"/>
      <c r="BY75" s="144"/>
      <c r="BZ75" s="22"/>
      <c r="CA75" s="22"/>
      <c r="CB75" s="144"/>
      <c r="CC75" s="22"/>
      <c r="CD75" s="22"/>
      <c r="CE75" s="144"/>
      <c r="CF75" s="22"/>
      <c r="CG75" s="22"/>
      <c r="CH75" s="144"/>
      <c r="CI75" s="22"/>
      <c r="CJ75" s="22"/>
      <c r="CK75" s="144"/>
    </row>
    <row r="76" spans="1:89" ht="15.75" customHeight="1" x14ac:dyDescent="0.45">
      <c r="A76" s="156" t="s">
        <v>186</v>
      </c>
      <c r="B76" s="22"/>
      <c r="C76" s="12"/>
      <c r="D76" s="12"/>
      <c r="E76" s="155"/>
      <c r="F76" s="144"/>
      <c r="G76" s="12"/>
      <c r="H76" s="22"/>
      <c r="I76" s="22"/>
      <c r="J76" s="22"/>
      <c r="K76" s="145"/>
      <c r="L76" s="144"/>
      <c r="M76" s="144"/>
      <c r="N76" s="157"/>
      <c r="O76" s="22"/>
      <c r="P76" s="22"/>
      <c r="Q76" s="22"/>
      <c r="R76" s="22"/>
      <c r="S76" s="45"/>
      <c r="T76" s="158"/>
      <c r="U76" s="45"/>
      <c r="V76" s="45"/>
      <c r="W76" s="45"/>
      <c r="X76" s="45"/>
      <c r="Y76" s="45"/>
      <c r="Z76" s="45"/>
      <c r="AA76" s="45"/>
      <c r="AB76" s="45"/>
      <c r="AC76" s="144"/>
      <c r="AD76" s="144"/>
      <c r="AE76" s="45"/>
      <c r="AF76" s="45"/>
      <c r="AG76" s="144"/>
      <c r="AH76" s="144"/>
      <c r="AI76" s="144"/>
      <c r="AJ76" s="22"/>
      <c r="AK76" s="22"/>
      <c r="AL76" s="144"/>
      <c r="AM76" s="22"/>
      <c r="AN76" s="22"/>
      <c r="AO76" s="144"/>
      <c r="AP76" s="22"/>
      <c r="AQ76" s="22"/>
      <c r="AR76" s="144"/>
      <c r="AS76" s="22"/>
      <c r="AT76" s="22"/>
      <c r="AU76" s="144"/>
      <c r="AV76" s="22"/>
      <c r="AW76" s="22"/>
      <c r="AX76" s="159">
        <f>COUNTIF(AX13:AX66,"&gt;0")</f>
        <v>25</v>
      </c>
      <c r="AY76" s="144"/>
      <c r="AZ76" s="22"/>
      <c r="BA76" s="159">
        <f>COUNTIF(BA13:BA66,"&gt;0")</f>
        <v>32</v>
      </c>
      <c r="BB76" s="144"/>
      <c r="BC76" s="144"/>
      <c r="BD76" s="159">
        <f>COUNTIF(BD13:BD66,"&gt;0")</f>
        <v>27</v>
      </c>
      <c r="BE76" s="144"/>
      <c r="BF76" s="22"/>
      <c r="BG76" s="159">
        <f>COUNTIF(BG13:BG66,"&gt;0")</f>
        <v>36</v>
      </c>
      <c r="BH76" s="144"/>
      <c r="BI76" s="22"/>
      <c r="BJ76" s="159">
        <f>COUNTIF(BJ13:BJ66,"&gt;0")</f>
        <v>35</v>
      </c>
      <c r="BK76" s="22"/>
      <c r="BL76" s="159">
        <f>COUNTIF(BL13:BL66,"&gt;0")</f>
        <v>41</v>
      </c>
      <c r="BM76" s="144"/>
      <c r="BN76" s="22"/>
      <c r="BO76" s="159">
        <f>COUNTIF(BO13:BO66,"&gt;0")</f>
        <v>40</v>
      </c>
      <c r="BP76" s="144"/>
      <c r="BQ76" s="22"/>
      <c r="BR76" s="22"/>
      <c r="BS76" s="159">
        <f>COUNTIF(BS13:BS66,"&gt;0")</f>
        <v>26</v>
      </c>
      <c r="BT76" s="22"/>
      <c r="BU76" s="22"/>
      <c r="BV76" s="159">
        <f>COUNTIF(BV13:BV66,"&gt;0")</f>
        <v>31</v>
      </c>
      <c r="BW76" s="22"/>
      <c r="BX76" s="22"/>
      <c r="BY76" s="159">
        <f>COUNTIF(BY13:BY66,"&gt;0")</f>
        <v>25</v>
      </c>
      <c r="BZ76" s="22"/>
      <c r="CA76" s="22"/>
      <c r="CB76" s="159">
        <f>COUNTIF(CB13:CB66,"&gt;0")</f>
        <v>39</v>
      </c>
      <c r="CC76" s="22"/>
      <c r="CD76" s="22"/>
      <c r="CE76" s="159">
        <f>COUNTIF(CE13:CE66,"&gt;0")</f>
        <v>37</v>
      </c>
      <c r="CF76" s="22"/>
      <c r="CG76" s="22"/>
      <c r="CH76" s="159">
        <f>COUNTIF(CH13:CH66,"&gt;0")</f>
        <v>38</v>
      </c>
      <c r="CI76" s="22"/>
      <c r="CJ76" s="22"/>
      <c r="CK76" s="159">
        <f>COUNTIF(CK13:CK66,"&gt;0")</f>
        <v>39</v>
      </c>
    </row>
    <row r="77" spans="1:89" ht="15.75" customHeight="1" x14ac:dyDescent="0.45">
      <c r="A77" s="156" t="s">
        <v>187</v>
      </c>
      <c r="B77" s="22"/>
      <c r="C77" s="12"/>
      <c r="D77" s="12"/>
      <c r="E77" s="155"/>
      <c r="F77" s="144"/>
      <c r="G77" s="12"/>
      <c r="H77" s="22"/>
      <c r="I77" s="22"/>
      <c r="J77" s="22"/>
      <c r="K77" s="145"/>
      <c r="L77" s="144"/>
      <c r="M77" s="144"/>
      <c r="N77" s="157"/>
      <c r="O77" s="22"/>
      <c r="P77" s="22"/>
      <c r="Q77" s="22"/>
      <c r="R77" s="22"/>
      <c r="S77" s="45"/>
      <c r="T77" s="158"/>
      <c r="U77" s="45"/>
      <c r="V77" s="45"/>
      <c r="W77" s="45"/>
      <c r="X77" s="45"/>
      <c r="Y77" s="45"/>
      <c r="Z77" s="45"/>
      <c r="AA77" s="45"/>
      <c r="AB77" s="45"/>
      <c r="AC77" s="144"/>
      <c r="AD77" s="144"/>
      <c r="AE77" s="45"/>
      <c r="AF77" s="45"/>
      <c r="AG77" s="144"/>
      <c r="AH77" s="144"/>
      <c r="AI77" s="144"/>
      <c r="AJ77" s="22"/>
      <c r="AK77" s="22"/>
      <c r="AL77" s="144"/>
      <c r="AM77" s="22"/>
      <c r="AN77" s="22"/>
      <c r="AO77" s="144"/>
      <c r="AP77" s="22"/>
      <c r="AQ77" s="22"/>
      <c r="AR77" s="144"/>
      <c r="AS77" s="22"/>
      <c r="AT77" s="22"/>
      <c r="AU77" s="144"/>
      <c r="AV77" s="22"/>
      <c r="AW77" s="22"/>
      <c r="AX77" s="159">
        <f>COUNTIF(AX11:AX66,"&lt;0")</f>
        <v>29</v>
      </c>
      <c r="AY77" s="144"/>
      <c r="AZ77" s="22"/>
      <c r="BA77" s="159">
        <f>COUNTIF(BA11:BA66,"&lt;0")</f>
        <v>22</v>
      </c>
      <c r="BB77" s="144"/>
      <c r="BC77" s="144"/>
      <c r="BD77" s="159">
        <f>COUNTIF(BD11:BD66,"&lt;0")</f>
        <v>27</v>
      </c>
      <c r="BE77" s="144"/>
      <c r="BF77" s="22"/>
      <c r="BG77" s="159">
        <f>COUNTIF(BG11:BG66,"&lt;0")</f>
        <v>18</v>
      </c>
      <c r="BH77" s="144"/>
      <c r="BI77" s="22"/>
      <c r="BJ77" s="159">
        <f>COUNTIF(BJ11:BJ66,"&lt;0")</f>
        <v>19</v>
      </c>
      <c r="BK77" s="22"/>
      <c r="BL77" s="159">
        <f>COUNTIF(BL11:BL66,"&lt;0")</f>
        <v>13</v>
      </c>
      <c r="BM77" s="144"/>
      <c r="BN77" s="22"/>
      <c r="BO77" s="159">
        <f>COUNTIF(BO11:BO66,"&lt;0")</f>
        <v>14</v>
      </c>
      <c r="BP77" s="144"/>
      <c r="BQ77" s="22"/>
      <c r="BR77" s="22"/>
      <c r="BS77" s="159">
        <f>COUNTIF(BS11:BS66,"&lt;0")</f>
        <v>28</v>
      </c>
      <c r="BT77" s="22"/>
      <c r="BU77" s="22"/>
      <c r="BV77" s="159">
        <f>COUNTIF(BV11:BV66,"&lt;0")</f>
        <v>23</v>
      </c>
      <c r="BW77" s="22"/>
      <c r="BX77" s="22"/>
      <c r="BY77" s="159">
        <f>COUNTIF(BY11:BY66,"&lt;0")</f>
        <v>29</v>
      </c>
      <c r="BZ77" s="22"/>
      <c r="CA77" s="22"/>
      <c r="CB77" s="159">
        <f>COUNTIF(CB11:CB66,"&lt;0")</f>
        <v>15</v>
      </c>
      <c r="CC77" s="22"/>
      <c r="CD77" s="22"/>
      <c r="CE77" s="159">
        <f>COUNTIF(CE11:CE66,"&lt;0")</f>
        <v>17</v>
      </c>
      <c r="CF77" s="22"/>
      <c r="CG77" s="22"/>
      <c r="CH77" s="159">
        <f>COUNTIF(CH11:CH66,"&lt;0")</f>
        <v>16</v>
      </c>
      <c r="CI77" s="22"/>
      <c r="CJ77" s="22"/>
      <c r="CK77" s="159">
        <f>COUNTIF(CK11:CK66,"&lt;0")</f>
        <v>15</v>
      </c>
    </row>
    <row r="78" spans="1:89" ht="15.75" customHeight="1" x14ac:dyDescent="0.45">
      <c r="A78" s="156" t="s">
        <v>188</v>
      </c>
      <c r="B78" s="22"/>
      <c r="C78" s="12"/>
      <c r="D78" s="12"/>
      <c r="E78" s="155"/>
      <c r="F78" s="144"/>
      <c r="G78" s="12"/>
      <c r="H78" s="22"/>
      <c r="I78" s="22"/>
      <c r="J78" s="22"/>
      <c r="K78" s="145"/>
      <c r="L78" s="144"/>
      <c r="M78" s="144"/>
      <c r="N78" s="157"/>
      <c r="O78" s="22"/>
      <c r="P78" s="22"/>
      <c r="Q78" s="22"/>
      <c r="R78" s="22"/>
      <c r="S78" s="45"/>
      <c r="T78" s="158"/>
      <c r="U78" s="45"/>
      <c r="V78" s="45"/>
      <c r="W78" s="45"/>
      <c r="X78" s="45"/>
      <c r="Y78" s="45"/>
      <c r="Z78" s="45"/>
      <c r="AA78" s="45"/>
      <c r="AB78" s="45"/>
      <c r="AC78" s="144"/>
      <c r="AD78" s="144"/>
      <c r="AE78" s="45"/>
      <c r="AF78" s="45"/>
      <c r="AG78" s="144"/>
      <c r="AH78" s="144"/>
      <c r="AI78" s="144"/>
      <c r="AJ78" s="22"/>
      <c r="AK78" s="22"/>
      <c r="AL78" s="144"/>
      <c r="AM78" s="22"/>
      <c r="AN78" s="22"/>
      <c r="AO78" s="144"/>
      <c r="AP78" s="22"/>
      <c r="AQ78" s="22"/>
      <c r="AR78" s="144"/>
      <c r="AS78" s="22"/>
      <c r="AT78" s="22"/>
      <c r="AU78" s="144"/>
      <c r="AV78" s="22"/>
      <c r="AW78" s="22"/>
      <c r="AX78" s="159">
        <f>MEDIAN(AX13:AX66)</f>
        <v>-90.191910771617245</v>
      </c>
      <c r="AY78" s="144"/>
      <c r="AZ78" s="22"/>
      <c r="BA78" s="159">
        <f>MEDIAN(BA13:BA66)</f>
        <v>78.554311138357548</v>
      </c>
      <c r="BB78" s="144"/>
      <c r="BC78" s="144"/>
      <c r="BD78" s="159">
        <f>MEDIAN(BD13:BD66)</f>
        <v>-9.7398827211063121</v>
      </c>
      <c r="BE78" s="144"/>
      <c r="BF78" s="22"/>
      <c r="BG78" s="159">
        <f>MEDIAN(BG13:BG66)</f>
        <v>248.43543151903248</v>
      </c>
      <c r="BH78" s="144"/>
      <c r="BI78" s="22"/>
      <c r="BJ78" s="159">
        <f>MEDIAN(BJ13:BJ66)</f>
        <v>155.26581890581804</v>
      </c>
      <c r="BK78" s="22"/>
      <c r="BL78" s="159">
        <f>MEDIAN(BL13:BL66)</f>
        <v>721.85317245275792</v>
      </c>
      <c r="BM78" s="144"/>
      <c r="BN78" s="22"/>
      <c r="BO78" s="159">
        <f>MEDIAN(BO13:BO66)</f>
        <v>780.05700946656521</v>
      </c>
      <c r="BP78" s="144"/>
      <c r="BQ78" s="22"/>
      <c r="BR78" s="22"/>
      <c r="BS78" s="159">
        <f>MEDIAN(BS13:BS66)</f>
        <v>-66.856908638727305</v>
      </c>
      <c r="BT78" s="22"/>
      <c r="BU78" s="22"/>
      <c r="BV78" s="159">
        <f>MEDIAN(BV13:BV66)</f>
        <v>60.603111984871816</v>
      </c>
      <c r="BW78" s="22"/>
      <c r="BX78" s="22"/>
      <c r="BY78" s="159">
        <f>MEDIAN(BY13:BY66)</f>
        <v>-96.10238553821398</v>
      </c>
      <c r="BZ78" s="22"/>
      <c r="CA78" s="22"/>
      <c r="CB78" s="159">
        <f>MEDIAN(CB13:CB66)</f>
        <v>217.95443034725338</v>
      </c>
      <c r="CC78" s="22"/>
      <c r="CD78" s="22"/>
      <c r="CE78" s="159">
        <f>MEDIAN(CE13:CE66)</f>
        <v>224.4592403828027</v>
      </c>
      <c r="CF78" s="22"/>
      <c r="CG78" s="22"/>
      <c r="CH78" s="159">
        <f>MEDIAN(CH13:CH66)</f>
        <v>665.34772328147108</v>
      </c>
      <c r="CI78" s="22"/>
      <c r="CJ78" s="22"/>
      <c r="CK78" s="159">
        <f>MEDIAN(CK13:CK66)</f>
        <v>657.24161880499423</v>
      </c>
    </row>
    <row r="79" spans="1:89" ht="15.75" customHeight="1" x14ac:dyDescent="0.45">
      <c r="A79" s="160" t="s">
        <v>189</v>
      </c>
      <c r="B79" s="161" t="s">
        <v>190</v>
      </c>
      <c r="C79" s="162"/>
      <c r="D79" s="162"/>
      <c r="E79" s="145">
        <f>SUM(E13,E15,E21,E30,E44,E51,E52,E55,E61,E66,E60)</f>
        <v>54837.666666666657</v>
      </c>
      <c r="F79" s="144"/>
      <c r="G79" s="162"/>
      <c r="H79" s="160"/>
      <c r="I79" s="160"/>
      <c r="J79" s="160"/>
      <c r="K79" s="145">
        <f>SUM(K13,K15,K21,K30,K44,K51,K52,K55,K61,K66,K60)</f>
        <v>16112.333333333332</v>
      </c>
      <c r="L79" s="144"/>
      <c r="M79" s="144"/>
      <c r="N79" s="145">
        <f>SUM(N13,N15,N21,N30,N44,N51,N52,N55,N61,N66,N60)</f>
        <v>43276.949728800006</v>
      </c>
      <c r="O79" s="22"/>
      <c r="P79" s="145">
        <f>SUM(P13,P15,P21,P30,P44,P51,P52,P55,P61,P66,P60)</f>
        <v>46089.951461172008</v>
      </c>
      <c r="Q79" s="22"/>
      <c r="R79" s="145">
        <f>SUM(R13,R15,R21,R30,R44,R51,R52,R55,R61,R66,R60)</f>
        <v>47011.750490395454</v>
      </c>
      <c r="S79" s="45"/>
      <c r="T79" s="158"/>
      <c r="U79" s="145">
        <f>SUM(U13,U15,U21,U30,U44,U51,U52,U55,U61,U66,U60)</f>
        <v>48422.10300510731</v>
      </c>
      <c r="V79" s="145"/>
      <c r="W79" s="145"/>
      <c r="X79" s="45"/>
      <c r="Y79" s="45"/>
      <c r="Z79" s="45"/>
      <c r="AA79" s="45"/>
      <c r="AB79" s="45"/>
      <c r="AC79" s="145">
        <f>SUM(AC13,AC15,AC21,AC30,AC44,AC51,AC52,AC55,AC61,AC66,AC60)</f>
        <v>30355.834729518785</v>
      </c>
      <c r="AD79" s="145"/>
      <c r="AE79" s="45"/>
      <c r="AF79" s="45"/>
      <c r="AG79" s="145"/>
      <c r="AH79" s="145">
        <f>SUM(AH13,AH15,AH21,AH30,AH44,AH51,AH52,AH55,AH61,AH66,AH60)</f>
        <v>32226.160000000003</v>
      </c>
      <c r="AI79" s="145"/>
      <c r="AJ79" s="22"/>
      <c r="AK79" s="145">
        <f>SUM(AK13,AK15,AK21,AK30,AK44,AK51,AK52,AK55,AK61,AK66,AK60)</f>
        <v>32837.090873030356</v>
      </c>
      <c r="AL79" s="145"/>
      <c r="AM79" s="22"/>
      <c r="AN79" s="145">
        <f>SUM(AN13,AN15,AN21,AN30,AN44,AN51,AN52,AN55,AN61,AN66,AN60)</f>
        <v>34235.987801376337</v>
      </c>
      <c r="AO79" s="145"/>
      <c r="AP79" s="22"/>
      <c r="AQ79" s="145">
        <f>SUM(AQ13,AQ15,AQ21,AQ30,AQ44,AQ51,AQ52,AQ55,AQ61,AQ66,AQ60)</f>
        <v>35611.967210994131</v>
      </c>
      <c r="AR79" s="145"/>
      <c r="AS79" s="22"/>
      <c r="AT79" s="145">
        <f>SUM(AT13,AT15,AT21,AT30,AT44,AT51,AT52,AT55,AT61,AT66,AT60)</f>
        <v>34235.987801376337</v>
      </c>
      <c r="AU79" s="145"/>
      <c r="AV79" s="22"/>
      <c r="AW79" s="145">
        <f>SUM(AW13,AW15,AW21,AW30,AW44,AW51,AW52,AW55,AW61,AW66,AW60)</f>
        <v>35933.842976945823</v>
      </c>
      <c r="AX79" s="75">
        <f>SUM(AW79-$U79)</f>
        <v>-12488.260028161487</v>
      </c>
      <c r="AY79" s="145"/>
      <c r="AZ79" s="145">
        <v>36463.82677673069</v>
      </c>
      <c r="BA79" s="75">
        <v>-10547.923713664764</v>
      </c>
      <c r="BB79" s="145"/>
      <c r="BC79" s="145">
        <v>35276.692027786929</v>
      </c>
      <c r="BD79" s="75">
        <v>-11735.058462608526</v>
      </c>
      <c r="BE79" s="145"/>
      <c r="BF79" s="145">
        <v>36244.20525915191</v>
      </c>
      <c r="BG79" s="75">
        <v>-10767.545231243545</v>
      </c>
      <c r="BH79" s="145"/>
      <c r="BI79" s="145">
        <v>36498.539557899945</v>
      </c>
      <c r="BJ79" s="75">
        <v>-10513.210932495509</v>
      </c>
      <c r="BK79" s="145">
        <v>38708.276654298999</v>
      </c>
      <c r="BL79" s="75">
        <v>-8303.4738360964548</v>
      </c>
      <c r="BM79" s="75"/>
      <c r="BN79" s="145">
        <v>38316.96896560942</v>
      </c>
      <c r="BO79" s="75">
        <v>-8694.7815247860344</v>
      </c>
      <c r="BP79" s="75"/>
      <c r="BQ79" s="22"/>
      <c r="BR79" s="145">
        <f>SUM(BR13,BR15,BR21,BR30,BR44,BR51,BR52,BR55,BR61,BR66,BR60)</f>
        <v>39357.775229555031</v>
      </c>
      <c r="BS79" s="75">
        <f>SUM(BR79-$U79)</f>
        <v>-9064.3277755522795</v>
      </c>
      <c r="BT79" s="22"/>
      <c r="BU79" s="145">
        <v>40150.742127904385</v>
      </c>
      <c r="BV79" s="75">
        <v>-6861.0083624910694</v>
      </c>
      <c r="BW79" s="22"/>
      <c r="BX79" s="145">
        <v>39578.093270822908</v>
      </c>
      <c r="BY79" s="75">
        <v>-7433.6572195725457</v>
      </c>
      <c r="BZ79" s="22"/>
      <c r="CA79" s="145">
        <v>40545.606502187889</v>
      </c>
      <c r="CB79" s="75">
        <v>-6466.1439882075647</v>
      </c>
      <c r="CC79" s="22"/>
      <c r="CD79" s="145">
        <v>39570.969017211355</v>
      </c>
      <c r="CE79" s="75">
        <v>-7440.781473184099</v>
      </c>
      <c r="CF79" s="22"/>
      <c r="CG79" s="145">
        <v>44839.574411880079</v>
      </c>
      <c r="CH79" s="75">
        <v>-2172.1760785153747</v>
      </c>
      <c r="CI79" s="22"/>
      <c r="CJ79" s="145">
        <v>44475.389045273972</v>
      </c>
      <c r="CK79" s="75">
        <v>-2536.3614451214817</v>
      </c>
    </row>
    <row r="80" spans="1:89" ht="15.75" customHeight="1" x14ac:dyDescent="0.45">
      <c r="A80" s="22"/>
      <c r="B80" s="22"/>
      <c r="C80" s="12"/>
      <c r="D80" s="12"/>
      <c r="E80" s="155"/>
      <c r="F80" s="144"/>
      <c r="G80" s="12"/>
      <c r="H80" s="22"/>
      <c r="I80" s="22"/>
      <c r="J80" s="22"/>
      <c r="K80" s="145"/>
      <c r="L80" s="144"/>
      <c r="M80" s="144"/>
      <c r="N80" s="157"/>
      <c r="O80" s="22"/>
      <c r="P80" s="22"/>
      <c r="Q80" s="22"/>
      <c r="R80" s="22"/>
      <c r="S80" s="45"/>
      <c r="T80" s="158"/>
      <c r="U80" s="45"/>
      <c r="V80" s="45"/>
      <c r="W80" s="45"/>
      <c r="X80" s="45"/>
      <c r="Y80" s="45"/>
      <c r="Z80" s="45"/>
      <c r="AA80" s="45"/>
      <c r="AB80" s="45"/>
      <c r="AC80" s="144"/>
      <c r="AD80" s="144"/>
      <c r="AE80" s="45"/>
      <c r="AF80" s="45"/>
      <c r="AG80" s="144"/>
      <c r="AH80" s="144"/>
      <c r="AI80" s="144"/>
      <c r="AJ80" s="22"/>
      <c r="AK80" s="22"/>
      <c r="AL80" s="144"/>
      <c r="AM80" s="22"/>
      <c r="AN80" s="22"/>
      <c r="AO80" s="144"/>
      <c r="AP80" s="22"/>
      <c r="AQ80" s="22"/>
      <c r="AR80" s="144"/>
      <c r="AS80" s="22"/>
      <c r="AT80" s="22"/>
      <c r="AU80" s="144"/>
      <c r="AV80" s="22"/>
      <c r="AW80" s="22"/>
      <c r="AX80" s="144"/>
      <c r="AY80" s="144"/>
      <c r="AZ80" s="22"/>
      <c r="BA80" s="144"/>
      <c r="BB80" s="144"/>
      <c r="BC80" s="144"/>
      <c r="BD80" s="144"/>
      <c r="BE80" s="144"/>
      <c r="BF80" s="22"/>
      <c r="BG80" s="144"/>
      <c r="BH80" s="144"/>
      <c r="BI80" s="22"/>
      <c r="BJ80" s="144"/>
      <c r="BK80" s="22"/>
      <c r="BL80" s="144"/>
      <c r="BM80" s="144"/>
      <c r="BN80" s="22"/>
      <c r="BO80" s="144"/>
      <c r="BP80" s="144"/>
      <c r="BQ80" s="22"/>
      <c r="BR80" s="22"/>
      <c r="BS80" s="144"/>
      <c r="BT80" s="22"/>
      <c r="BU80" s="22"/>
      <c r="BV80" s="144"/>
      <c r="BW80" s="22"/>
      <c r="BX80" s="22"/>
      <c r="BY80" s="144"/>
      <c r="BZ80" s="22"/>
      <c r="CA80" s="22"/>
      <c r="CB80" s="144"/>
      <c r="CC80" s="22"/>
      <c r="CD80" s="22"/>
      <c r="CE80" s="144"/>
      <c r="CF80" s="22"/>
      <c r="CG80" s="22"/>
      <c r="CH80" s="144"/>
      <c r="CI80" s="22"/>
      <c r="CJ80" s="22"/>
      <c r="CK80" s="144"/>
    </row>
    <row r="81" spans="1:89" ht="15.75" customHeight="1" x14ac:dyDescent="0.45">
      <c r="A81" s="22"/>
      <c r="B81" s="22"/>
      <c r="C81" s="12"/>
      <c r="D81" s="12"/>
      <c r="E81" s="155"/>
      <c r="F81" s="144"/>
      <c r="G81" s="12"/>
      <c r="H81" s="22"/>
      <c r="I81" s="22"/>
      <c r="J81" s="22"/>
      <c r="K81" s="145"/>
      <c r="L81" s="144"/>
      <c r="M81" s="144"/>
      <c r="N81" s="157"/>
      <c r="O81" s="22"/>
      <c r="P81" s="22"/>
      <c r="Q81" s="22"/>
      <c r="R81" s="22"/>
      <c r="S81" s="45"/>
      <c r="T81" s="158"/>
      <c r="U81" s="45"/>
      <c r="V81" s="45"/>
      <c r="W81" s="45"/>
      <c r="X81" s="45"/>
      <c r="Y81" s="45"/>
      <c r="Z81" s="45"/>
      <c r="AA81" s="45"/>
      <c r="AB81" s="45"/>
      <c r="AC81" s="144"/>
      <c r="AD81" s="144"/>
      <c r="AE81" s="45"/>
      <c r="AF81" s="45"/>
      <c r="AG81" s="144"/>
      <c r="AH81" s="144"/>
      <c r="AI81" s="144"/>
      <c r="AJ81" s="22"/>
      <c r="AK81" s="22"/>
      <c r="AL81" s="144"/>
      <c r="AM81" s="22"/>
      <c r="AN81" s="22"/>
      <c r="AO81" s="144"/>
      <c r="AP81" s="22"/>
      <c r="AQ81" s="22"/>
      <c r="AR81" s="144"/>
      <c r="AS81" s="22"/>
      <c r="AT81" s="22"/>
      <c r="AU81" s="144"/>
      <c r="AV81" s="22"/>
      <c r="AW81" s="22"/>
      <c r="AX81" s="144"/>
      <c r="AY81" s="144"/>
      <c r="AZ81" s="22"/>
      <c r="BA81" s="144"/>
      <c r="BB81" s="144"/>
      <c r="BC81" s="144"/>
      <c r="BD81" s="144"/>
      <c r="BE81" s="144"/>
      <c r="BF81" s="22"/>
      <c r="BG81" s="144"/>
      <c r="BH81" s="144"/>
      <c r="BI81" s="22"/>
      <c r="BJ81" s="144"/>
      <c r="BK81" s="22"/>
      <c r="BL81" s="144"/>
      <c r="BM81" s="144"/>
      <c r="BN81" s="22"/>
      <c r="BO81" s="144"/>
      <c r="BP81" s="144"/>
      <c r="BQ81" s="22"/>
      <c r="BR81" s="22"/>
      <c r="BS81" s="144"/>
      <c r="BT81" s="22"/>
      <c r="BU81" s="22"/>
      <c r="BV81" s="144"/>
      <c r="BW81" s="22"/>
      <c r="BX81" s="22"/>
      <c r="BY81" s="144"/>
      <c r="BZ81" s="22"/>
      <c r="CA81" s="22"/>
      <c r="CB81" s="144"/>
      <c r="CC81" s="22"/>
      <c r="CD81" s="22"/>
      <c r="CE81" s="144"/>
      <c r="CF81" s="22"/>
      <c r="CG81" s="22"/>
      <c r="CH81" s="144"/>
      <c r="CI81" s="22"/>
      <c r="CJ81" s="22"/>
      <c r="CK81" s="144"/>
    </row>
    <row r="82" spans="1:89" ht="15.75" customHeight="1" x14ac:dyDescent="0.45">
      <c r="A82" s="22"/>
      <c r="B82" s="22"/>
      <c r="C82" s="12"/>
      <c r="D82" s="12"/>
      <c r="E82" s="155"/>
      <c r="F82" s="144"/>
      <c r="G82" s="12"/>
      <c r="H82" s="22"/>
      <c r="I82" s="22"/>
      <c r="J82" s="22"/>
      <c r="K82" s="145"/>
      <c r="L82" s="144"/>
      <c r="M82" s="144"/>
      <c r="N82" s="157"/>
      <c r="O82" s="22"/>
      <c r="P82" s="22"/>
      <c r="Q82" s="22"/>
      <c r="R82" s="22"/>
      <c r="S82" s="45"/>
      <c r="T82" s="158"/>
      <c r="U82" s="45"/>
      <c r="V82" s="45"/>
      <c r="W82" s="45"/>
      <c r="X82" s="45"/>
      <c r="Y82" s="45"/>
      <c r="Z82" s="45"/>
      <c r="AA82" s="45"/>
      <c r="AB82" s="45"/>
      <c r="AC82" s="144"/>
      <c r="AD82" s="144"/>
      <c r="AE82" s="45"/>
      <c r="AF82" s="45"/>
      <c r="AG82" s="144"/>
      <c r="AH82" s="144"/>
      <c r="AI82" s="144"/>
      <c r="AJ82" s="22"/>
      <c r="AK82" s="22"/>
      <c r="AL82" s="144"/>
      <c r="AM82" s="22"/>
      <c r="AN82" s="22"/>
      <c r="AO82" s="144"/>
      <c r="AP82" s="22"/>
      <c r="AQ82" s="22"/>
      <c r="AR82" s="144"/>
      <c r="AS82" s="22"/>
      <c r="AT82" s="22"/>
      <c r="AU82" s="144"/>
      <c r="AV82" s="22"/>
      <c r="AW82" s="22"/>
      <c r="AX82" s="144"/>
      <c r="AY82" s="144"/>
      <c r="AZ82" s="22"/>
      <c r="BA82" s="144"/>
      <c r="BB82" s="144"/>
      <c r="BC82" s="144"/>
      <c r="BD82" s="144"/>
      <c r="BE82" s="144"/>
      <c r="BF82" s="22"/>
      <c r="BG82" s="144"/>
      <c r="BH82" s="144"/>
      <c r="BI82" s="22"/>
      <c r="BJ82" s="144"/>
      <c r="BK82" s="22"/>
      <c r="BL82" s="144"/>
      <c r="BM82" s="144"/>
      <c r="BN82" s="22"/>
      <c r="BO82" s="144"/>
      <c r="BP82" s="144"/>
      <c r="BQ82" s="22"/>
      <c r="BR82" s="22"/>
      <c r="BS82" s="144"/>
      <c r="BT82" s="22"/>
      <c r="BU82" s="22"/>
      <c r="BV82" s="144"/>
      <c r="BW82" s="22"/>
      <c r="BX82" s="22"/>
      <c r="BY82" s="144"/>
      <c r="BZ82" s="22"/>
      <c r="CA82" s="22"/>
      <c r="CB82" s="144"/>
      <c r="CC82" s="22"/>
      <c r="CD82" s="22"/>
      <c r="CE82" s="144"/>
      <c r="CF82" s="22"/>
      <c r="CG82" s="22"/>
      <c r="CH82" s="144"/>
      <c r="CI82" s="22"/>
      <c r="CJ82" s="22"/>
      <c r="CK82" s="144"/>
    </row>
    <row r="83" spans="1:89" ht="15.75" customHeight="1" x14ac:dyDescent="0.45">
      <c r="A83" s="22"/>
      <c r="B83" s="22"/>
      <c r="C83" s="12"/>
      <c r="D83" s="12"/>
      <c r="E83" s="155"/>
      <c r="F83" s="144"/>
      <c r="G83" s="12"/>
      <c r="H83" s="22"/>
      <c r="I83" s="22"/>
      <c r="J83" s="22"/>
      <c r="K83" s="145"/>
      <c r="L83" s="144"/>
      <c r="M83" s="144"/>
      <c r="N83" s="152"/>
      <c r="O83" s="22"/>
      <c r="P83" s="74"/>
      <c r="Q83" s="22"/>
      <c r="R83" s="74"/>
      <c r="S83" s="45"/>
      <c r="T83" s="158"/>
      <c r="U83" s="45"/>
      <c r="V83" s="45"/>
      <c r="W83" s="45"/>
      <c r="X83" s="45"/>
      <c r="Y83" s="45"/>
      <c r="Z83" s="45"/>
      <c r="AA83" s="45"/>
      <c r="AB83" s="45"/>
      <c r="AC83" s="144"/>
      <c r="AD83" s="144"/>
      <c r="AE83" s="45"/>
      <c r="AF83" s="45"/>
      <c r="AG83" s="144"/>
      <c r="AH83" s="144"/>
      <c r="AI83" s="144"/>
      <c r="AJ83" s="22"/>
      <c r="AK83" s="22"/>
      <c r="AL83" s="144"/>
      <c r="AM83" s="22"/>
      <c r="AN83" s="22"/>
      <c r="AO83" s="144"/>
      <c r="AP83" s="22"/>
      <c r="AQ83" s="22"/>
      <c r="AR83" s="144"/>
      <c r="AS83" s="22"/>
      <c r="AT83" s="22"/>
      <c r="AU83" s="144"/>
      <c r="AV83" s="22"/>
      <c r="AW83" s="22"/>
      <c r="AX83" s="144"/>
      <c r="AY83" s="144"/>
      <c r="AZ83" s="22"/>
      <c r="BA83" s="144"/>
      <c r="BB83" s="144"/>
      <c r="BC83" s="144"/>
      <c r="BD83" s="144"/>
      <c r="BE83" s="144"/>
      <c r="BF83" s="22"/>
      <c r="BG83" s="144"/>
      <c r="BH83" s="144"/>
      <c r="BI83" s="22"/>
      <c r="BJ83" s="144"/>
      <c r="BK83" s="22"/>
      <c r="BL83" s="144"/>
      <c r="BM83" s="144"/>
      <c r="BN83" s="22"/>
      <c r="BO83" s="144"/>
      <c r="BP83" s="144"/>
      <c r="BQ83" s="22"/>
      <c r="BR83" s="22"/>
      <c r="BS83" s="144"/>
      <c r="BT83" s="22"/>
      <c r="BU83" s="22"/>
      <c r="BV83" s="144"/>
      <c r="BW83" s="22"/>
      <c r="BX83" s="22"/>
      <c r="BY83" s="144"/>
      <c r="BZ83" s="22"/>
      <c r="CA83" s="22"/>
      <c r="CB83" s="144"/>
      <c r="CC83" s="22"/>
      <c r="CD83" s="22"/>
      <c r="CE83" s="144"/>
      <c r="CF83" s="22"/>
      <c r="CG83" s="22"/>
      <c r="CH83" s="144"/>
      <c r="CI83" s="22"/>
      <c r="CJ83" s="22"/>
      <c r="CK83" s="144"/>
    </row>
    <row r="84" spans="1:89" ht="15.75" customHeight="1" x14ac:dyDescent="0.45">
      <c r="A84" s="22"/>
      <c r="B84" s="22"/>
      <c r="C84" s="12"/>
      <c r="D84" s="12"/>
      <c r="E84" s="155"/>
      <c r="F84" s="144"/>
      <c r="G84" s="12"/>
      <c r="H84" s="22"/>
      <c r="I84" s="22"/>
      <c r="J84" s="22"/>
      <c r="K84" s="145"/>
      <c r="L84" s="144"/>
      <c r="M84" s="144"/>
      <c r="N84" s="152"/>
      <c r="O84" s="22"/>
      <c r="P84" s="74"/>
      <c r="Q84" s="22"/>
      <c r="R84" s="74"/>
      <c r="S84" s="45"/>
      <c r="T84" s="158"/>
      <c r="U84" s="45"/>
      <c r="V84" s="45"/>
      <c r="W84" s="45"/>
      <c r="X84" s="45"/>
      <c r="Y84" s="45"/>
      <c r="Z84" s="45"/>
      <c r="AA84" s="45"/>
      <c r="AB84" s="45"/>
      <c r="AC84" s="144"/>
      <c r="AD84" s="144"/>
      <c r="AE84" s="45"/>
      <c r="AF84" s="45"/>
      <c r="AG84" s="144"/>
      <c r="AH84" s="144"/>
      <c r="AI84" s="144"/>
      <c r="AJ84" s="22"/>
      <c r="AK84" s="22"/>
      <c r="AL84" s="144"/>
      <c r="AM84" s="22"/>
      <c r="AN84" s="22"/>
      <c r="AO84" s="144"/>
      <c r="AP84" s="22"/>
      <c r="AQ84" s="22"/>
      <c r="AR84" s="144"/>
      <c r="AS84" s="22"/>
      <c r="AT84" s="22"/>
      <c r="AU84" s="144"/>
      <c r="AV84" s="22"/>
      <c r="AW84" s="22"/>
      <c r="AX84" s="144"/>
      <c r="AY84" s="144"/>
      <c r="AZ84" s="22"/>
      <c r="BA84" s="144"/>
      <c r="BB84" s="144"/>
      <c r="BC84" s="144"/>
      <c r="BD84" s="144"/>
      <c r="BE84" s="144"/>
      <c r="BF84" s="22"/>
      <c r="BG84" s="144"/>
      <c r="BH84" s="144"/>
      <c r="BI84" s="22"/>
      <c r="BJ84" s="144"/>
      <c r="BK84" s="22"/>
      <c r="BL84" s="144"/>
      <c r="BM84" s="144"/>
      <c r="BN84" s="22"/>
      <c r="BO84" s="144"/>
      <c r="BP84" s="144"/>
      <c r="BQ84" s="22"/>
      <c r="BR84" s="22"/>
      <c r="BS84" s="144"/>
      <c r="BT84" s="22"/>
      <c r="BU84" s="22"/>
      <c r="BV84" s="144"/>
      <c r="BW84" s="22"/>
      <c r="BX84" s="22"/>
      <c r="BY84" s="144"/>
      <c r="BZ84" s="22"/>
      <c r="CA84" s="22"/>
      <c r="CB84" s="144"/>
      <c r="CC84" s="22"/>
      <c r="CD84" s="22"/>
      <c r="CE84" s="144"/>
      <c r="CF84" s="22"/>
      <c r="CG84" s="22"/>
      <c r="CH84" s="144"/>
      <c r="CI84" s="22"/>
      <c r="CJ84" s="22"/>
      <c r="CK84" s="144"/>
    </row>
    <row r="85" spans="1:89" ht="15.75" customHeight="1" x14ac:dyDescent="0.45">
      <c r="A85" s="22"/>
      <c r="B85" s="22"/>
      <c r="C85" s="12"/>
      <c r="D85" s="12"/>
      <c r="E85" s="155"/>
      <c r="F85" s="144"/>
      <c r="G85" s="12"/>
      <c r="H85" s="22"/>
      <c r="I85" s="22"/>
      <c r="J85" s="22"/>
      <c r="K85" s="145"/>
      <c r="L85" s="144"/>
      <c r="M85" s="144"/>
      <c r="N85" s="152"/>
      <c r="O85" s="22"/>
      <c r="P85" s="74"/>
      <c r="Q85" s="22"/>
      <c r="R85" s="74"/>
      <c r="S85" s="45"/>
      <c r="T85" s="158"/>
      <c r="U85" s="45"/>
      <c r="V85" s="45"/>
      <c r="W85" s="45"/>
      <c r="X85" s="45"/>
      <c r="Y85" s="45"/>
      <c r="Z85" s="45"/>
      <c r="AA85" s="45"/>
      <c r="AB85" s="45"/>
      <c r="AC85" s="144"/>
      <c r="AD85" s="144"/>
      <c r="AE85" s="45"/>
      <c r="AF85" s="45"/>
      <c r="AG85" s="144"/>
      <c r="AH85" s="144"/>
      <c r="AI85" s="144"/>
      <c r="AJ85" s="22"/>
      <c r="AK85" s="22"/>
      <c r="AL85" s="144"/>
      <c r="AM85" s="22"/>
      <c r="AN85" s="22"/>
      <c r="AO85" s="144"/>
      <c r="AP85" s="22"/>
      <c r="AQ85" s="22"/>
      <c r="AR85" s="144"/>
      <c r="AS85" s="22"/>
      <c r="AT85" s="22"/>
      <c r="AU85" s="144"/>
      <c r="AV85" s="22"/>
      <c r="AW85" s="22"/>
      <c r="AX85" s="144"/>
      <c r="AY85" s="144"/>
      <c r="AZ85" s="22"/>
      <c r="BA85" s="144"/>
      <c r="BB85" s="144"/>
      <c r="BC85" s="144"/>
      <c r="BD85" s="144"/>
      <c r="BE85" s="144"/>
      <c r="BF85" s="22"/>
      <c r="BG85" s="144"/>
      <c r="BH85" s="144"/>
      <c r="BI85" s="22"/>
      <c r="BJ85" s="144"/>
      <c r="BK85" s="22"/>
      <c r="BL85" s="144"/>
      <c r="BM85" s="144"/>
      <c r="BN85" s="22"/>
      <c r="BO85" s="144"/>
      <c r="BP85" s="144"/>
      <c r="BQ85" s="22"/>
      <c r="BR85" s="22"/>
      <c r="BS85" s="144"/>
      <c r="BT85" s="22"/>
      <c r="BU85" s="22"/>
      <c r="BV85" s="144"/>
      <c r="BW85" s="22"/>
      <c r="BX85" s="22"/>
      <c r="BY85" s="144"/>
      <c r="BZ85" s="22"/>
      <c r="CA85" s="22"/>
      <c r="CB85" s="144"/>
      <c r="CC85" s="22"/>
      <c r="CD85" s="22"/>
      <c r="CE85" s="144"/>
      <c r="CF85" s="22"/>
      <c r="CG85" s="22"/>
      <c r="CH85" s="144"/>
      <c r="CI85" s="22"/>
      <c r="CJ85" s="22"/>
      <c r="CK85" s="144"/>
    </row>
    <row r="86" spans="1:89" ht="15.75" customHeight="1" x14ac:dyDescent="0.45">
      <c r="A86" s="22"/>
      <c r="B86" s="22"/>
      <c r="C86" s="12"/>
      <c r="D86" s="12"/>
      <c r="E86" s="155"/>
      <c r="F86" s="144"/>
      <c r="G86" s="12"/>
      <c r="H86" s="22"/>
      <c r="I86" s="22"/>
      <c r="J86" s="22"/>
      <c r="K86" s="145"/>
      <c r="L86" s="144"/>
      <c r="M86" s="144"/>
      <c r="N86" s="152"/>
      <c r="O86" s="22"/>
      <c r="P86" s="74"/>
      <c r="Q86" s="22"/>
      <c r="R86" s="74"/>
      <c r="S86" s="45"/>
      <c r="T86" s="158"/>
      <c r="U86" s="45"/>
      <c r="V86" s="45"/>
      <c r="W86" s="45"/>
      <c r="X86" s="45"/>
      <c r="Y86" s="45"/>
      <c r="Z86" s="45"/>
      <c r="AA86" s="45"/>
      <c r="AB86" s="45"/>
      <c r="AC86" s="144"/>
      <c r="AD86" s="144"/>
      <c r="AE86" s="45"/>
      <c r="AF86" s="45"/>
      <c r="AG86" s="144"/>
      <c r="AH86" s="144"/>
      <c r="AI86" s="144"/>
      <c r="AJ86" s="22"/>
      <c r="AK86" s="22"/>
      <c r="AL86" s="144"/>
      <c r="AM86" s="22"/>
      <c r="AN86" s="22"/>
      <c r="AO86" s="144"/>
      <c r="AP86" s="22"/>
      <c r="AQ86" s="22"/>
      <c r="AR86" s="144"/>
      <c r="AS86" s="22"/>
      <c r="AT86" s="22"/>
      <c r="AU86" s="144"/>
      <c r="AV86" s="22"/>
      <c r="AW86" s="22"/>
      <c r="AX86" s="144"/>
      <c r="AY86" s="144"/>
      <c r="AZ86" s="22"/>
      <c r="BA86" s="144"/>
      <c r="BB86" s="144"/>
      <c r="BC86" s="144"/>
      <c r="BD86" s="144"/>
      <c r="BE86" s="144"/>
      <c r="BF86" s="22"/>
      <c r="BG86" s="144"/>
      <c r="BH86" s="144"/>
      <c r="BI86" s="22"/>
      <c r="BJ86" s="144"/>
      <c r="BK86" s="22"/>
      <c r="BL86" s="144"/>
      <c r="BM86" s="144"/>
      <c r="BN86" s="22"/>
      <c r="BO86" s="144"/>
      <c r="BP86" s="144"/>
      <c r="BQ86" s="22"/>
      <c r="BR86" s="22"/>
      <c r="BS86" s="144"/>
      <c r="BT86" s="22"/>
      <c r="BU86" s="22"/>
      <c r="BV86" s="144"/>
      <c r="BW86" s="22"/>
      <c r="BX86" s="22"/>
      <c r="BY86" s="144"/>
      <c r="BZ86" s="22"/>
      <c r="CA86" s="22"/>
      <c r="CB86" s="144"/>
      <c r="CC86" s="22"/>
      <c r="CD86" s="22"/>
      <c r="CE86" s="144"/>
      <c r="CF86" s="22"/>
      <c r="CG86" s="22"/>
      <c r="CH86" s="144"/>
      <c r="CI86" s="22"/>
      <c r="CJ86" s="22"/>
      <c r="CK86" s="144"/>
    </row>
    <row r="87" spans="1:89" ht="15.75" customHeight="1" x14ac:dyDescent="0.45">
      <c r="A87" s="22"/>
      <c r="B87" s="22"/>
      <c r="C87" s="12"/>
      <c r="D87" s="12"/>
      <c r="E87" s="155"/>
      <c r="F87" s="144"/>
      <c r="G87" s="12"/>
      <c r="H87" s="22"/>
      <c r="I87" s="22"/>
      <c r="J87" s="22"/>
      <c r="K87" s="145"/>
      <c r="L87" s="144"/>
      <c r="M87" s="144"/>
      <c r="N87" s="152"/>
      <c r="O87" s="22"/>
      <c r="P87" s="74"/>
      <c r="Q87" s="22"/>
      <c r="R87" s="74"/>
      <c r="S87" s="45"/>
      <c r="T87" s="158"/>
      <c r="U87" s="45"/>
      <c r="V87" s="45"/>
      <c r="W87" s="45"/>
      <c r="X87" s="45"/>
      <c r="Y87" s="45"/>
      <c r="Z87" s="45"/>
      <c r="AA87" s="45"/>
      <c r="AB87" s="45"/>
      <c r="AC87" s="144"/>
      <c r="AD87" s="144"/>
      <c r="AE87" s="45"/>
      <c r="AF87" s="45"/>
      <c r="AG87" s="144"/>
      <c r="AH87" s="144"/>
      <c r="AI87" s="144"/>
      <c r="AJ87" s="22"/>
      <c r="AK87" s="22"/>
      <c r="AL87" s="144"/>
      <c r="AM87" s="22"/>
      <c r="AN87" s="22"/>
      <c r="AO87" s="144"/>
      <c r="AP87" s="22"/>
      <c r="AQ87" s="22"/>
      <c r="AR87" s="144"/>
      <c r="AS87" s="22"/>
      <c r="AT87" s="22"/>
      <c r="AU87" s="144"/>
      <c r="AV87" s="22"/>
      <c r="AW87" s="22"/>
      <c r="AX87" s="144"/>
      <c r="AY87" s="144"/>
      <c r="AZ87" s="22"/>
      <c r="BA87" s="144"/>
      <c r="BB87" s="144"/>
      <c r="BC87" s="144"/>
      <c r="BD87" s="144"/>
      <c r="BE87" s="144"/>
      <c r="BF87" s="22"/>
      <c r="BG87" s="144"/>
      <c r="BH87" s="144"/>
      <c r="BI87" s="22"/>
      <c r="BJ87" s="144"/>
      <c r="BK87" s="22"/>
      <c r="BL87" s="144"/>
      <c r="BM87" s="144"/>
      <c r="BN87" s="22"/>
      <c r="BO87" s="144"/>
      <c r="BP87" s="144"/>
      <c r="BQ87" s="22"/>
      <c r="BR87" s="22"/>
      <c r="BS87" s="144"/>
      <c r="BT87" s="22"/>
      <c r="BU87" s="22"/>
      <c r="BV87" s="144"/>
      <c r="BW87" s="22"/>
      <c r="BX87" s="22"/>
      <c r="BY87" s="144"/>
      <c r="BZ87" s="22"/>
      <c r="CA87" s="22"/>
      <c r="CB87" s="144"/>
      <c r="CC87" s="22"/>
      <c r="CD87" s="22"/>
      <c r="CE87" s="144"/>
      <c r="CF87" s="22"/>
      <c r="CG87" s="22"/>
      <c r="CH87" s="144"/>
      <c r="CI87" s="22"/>
      <c r="CJ87" s="22"/>
      <c r="CK87" s="144"/>
    </row>
    <row r="88" spans="1:89" ht="15.75" customHeight="1" x14ac:dyDescent="0.45">
      <c r="A88" s="22"/>
      <c r="B88" s="22"/>
      <c r="C88" s="12"/>
      <c r="D88" s="12"/>
      <c r="E88" s="155"/>
      <c r="F88" s="144"/>
      <c r="G88" s="12"/>
      <c r="H88" s="22"/>
      <c r="I88" s="22"/>
      <c r="J88" s="22"/>
      <c r="K88" s="145"/>
      <c r="L88" s="144"/>
      <c r="M88" s="144"/>
      <c r="N88" s="152"/>
      <c r="O88" s="22"/>
      <c r="P88" s="74"/>
      <c r="Q88" s="22"/>
      <c r="R88" s="74"/>
      <c r="S88" s="45"/>
      <c r="T88" s="158"/>
      <c r="U88" s="45"/>
      <c r="V88" s="45"/>
      <c r="W88" s="45"/>
      <c r="X88" s="45"/>
      <c r="Y88" s="45"/>
      <c r="Z88" s="45"/>
      <c r="AA88" s="45"/>
      <c r="AB88" s="45"/>
      <c r="AC88" s="144"/>
      <c r="AD88" s="144"/>
      <c r="AE88" s="45"/>
      <c r="AF88" s="45"/>
      <c r="AG88" s="144"/>
      <c r="AH88" s="144"/>
      <c r="AI88" s="144"/>
      <c r="AJ88" s="22"/>
      <c r="AK88" s="22"/>
      <c r="AL88" s="144"/>
      <c r="AM88" s="22"/>
      <c r="AN88" s="22"/>
      <c r="AO88" s="144"/>
      <c r="AP88" s="22"/>
      <c r="AQ88" s="22"/>
      <c r="AR88" s="144"/>
      <c r="AS88" s="22"/>
      <c r="AT88" s="22"/>
      <c r="AU88" s="144"/>
      <c r="AV88" s="22"/>
      <c r="AW88" s="22"/>
      <c r="AX88" s="144"/>
      <c r="AY88" s="144"/>
      <c r="AZ88" s="22"/>
      <c r="BA88" s="144"/>
      <c r="BB88" s="144"/>
      <c r="BC88" s="144"/>
      <c r="BD88" s="144"/>
      <c r="BE88" s="144"/>
      <c r="BF88" s="22"/>
      <c r="BG88" s="144"/>
      <c r="BH88" s="144"/>
      <c r="BI88" s="22"/>
      <c r="BJ88" s="144"/>
      <c r="BK88" s="22"/>
      <c r="BL88" s="144"/>
      <c r="BM88" s="144"/>
      <c r="BN88" s="22"/>
      <c r="BO88" s="144"/>
      <c r="BP88" s="144"/>
      <c r="BQ88" s="22"/>
      <c r="BR88" s="22"/>
      <c r="BS88" s="144"/>
      <c r="BT88" s="22"/>
      <c r="BU88" s="22"/>
      <c r="BV88" s="144"/>
      <c r="BW88" s="22"/>
      <c r="BX88" s="22"/>
      <c r="BY88" s="144"/>
      <c r="BZ88" s="22"/>
      <c r="CA88" s="22"/>
      <c r="CB88" s="144"/>
      <c r="CC88" s="22"/>
      <c r="CD88" s="22"/>
      <c r="CE88" s="144"/>
      <c r="CF88" s="22"/>
      <c r="CG88" s="22"/>
      <c r="CH88" s="144"/>
      <c r="CI88" s="22"/>
      <c r="CJ88" s="22"/>
      <c r="CK88" s="144"/>
    </row>
    <row r="89" spans="1:89" ht="15.75" customHeight="1" x14ac:dyDescent="0.45">
      <c r="A89" s="22"/>
      <c r="B89" s="22"/>
      <c r="C89" s="12"/>
      <c r="D89" s="12"/>
      <c r="E89" s="155"/>
      <c r="F89" s="144"/>
      <c r="G89" s="12"/>
      <c r="H89" s="22"/>
      <c r="I89" s="22"/>
      <c r="J89" s="22"/>
      <c r="K89" s="145"/>
      <c r="L89" s="144"/>
      <c r="M89" s="144"/>
      <c r="N89" s="152"/>
      <c r="O89" s="22"/>
      <c r="P89" s="74"/>
      <c r="Q89" s="22"/>
      <c r="R89" s="74"/>
      <c r="S89" s="45"/>
      <c r="T89" s="158"/>
      <c r="U89" s="45"/>
      <c r="V89" s="45"/>
      <c r="W89" s="45"/>
      <c r="X89" s="45"/>
      <c r="Y89" s="45"/>
      <c r="Z89" s="45"/>
      <c r="AA89" s="45"/>
      <c r="AB89" s="45"/>
      <c r="AC89" s="144"/>
      <c r="AD89" s="144"/>
      <c r="AE89" s="45"/>
      <c r="AF89" s="45"/>
      <c r="AG89" s="144"/>
      <c r="AH89" s="144"/>
      <c r="AI89" s="144"/>
      <c r="AJ89" s="22"/>
      <c r="AK89" s="22"/>
      <c r="AL89" s="144"/>
      <c r="AM89" s="22"/>
      <c r="AN89" s="22"/>
      <c r="AO89" s="144"/>
      <c r="AP89" s="22"/>
      <c r="AQ89" s="22"/>
      <c r="AR89" s="144"/>
      <c r="AS89" s="22"/>
      <c r="AT89" s="22"/>
      <c r="AU89" s="144"/>
      <c r="AV89" s="22"/>
      <c r="AW89" s="22"/>
      <c r="AX89" s="144"/>
      <c r="AY89" s="144"/>
      <c r="AZ89" s="22"/>
      <c r="BA89" s="144"/>
      <c r="BB89" s="144"/>
      <c r="BC89" s="144"/>
      <c r="BD89" s="144"/>
      <c r="BE89" s="144"/>
      <c r="BF89" s="22"/>
      <c r="BG89" s="144"/>
      <c r="BH89" s="144"/>
      <c r="BI89" s="22"/>
      <c r="BJ89" s="144"/>
      <c r="BK89" s="22"/>
      <c r="BL89" s="144"/>
      <c r="BM89" s="144"/>
      <c r="BN89" s="22"/>
      <c r="BO89" s="144"/>
      <c r="BP89" s="144"/>
      <c r="BQ89" s="22"/>
      <c r="BR89" s="22"/>
      <c r="BS89" s="144"/>
      <c r="BT89" s="22"/>
      <c r="BU89" s="22"/>
      <c r="BV89" s="144"/>
      <c r="BW89" s="22"/>
      <c r="BX89" s="22"/>
      <c r="BY89" s="144"/>
      <c r="BZ89" s="22"/>
      <c r="CA89" s="22"/>
      <c r="CB89" s="144"/>
      <c r="CC89" s="22"/>
      <c r="CD89" s="22"/>
      <c r="CE89" s="144"/>
      <c r="CF89" s="22"/>
      <c r="CG89" s="22"/>
      <c r="CH89" s="144"/>
      <c r="CI89" s="22"/>
      <c r="CJ89" s="22"/>
      <c r="CK89" s="144"/>
    </row>
    <row r="90" spans="1:89" ht="15.75" customHeight="1" x14ac:dyDescent="0.45">
      <c r="A90" s="22"/>
      <c r="B90" s="22"/>
      <c r="C90" s="12"/>
      <c r="D90" s="12"/>
      <c r="E90" s="155"/>
      <c r="F90" s="144"/>
      <c r="G90" s="12"/>
      <c r="H90" s="22"/>
      <c r="I90" s="22"/>
      <c r="J90" s="22"/>
      <c r="K90" s="145"/>
      <c r="L90" s="144"/>
      <c r="M90" s="144"/>
      <c r="N90" s="152"/>
      <c r="O90" s="22"/>
      <c r="P90" s="74"/>
      <c r="Q90" s="22"/>
      <c r="R90" s="74"/>
      <c r="S90" s="45"/>
      <c r="T90" s="158"/>
      <c r="U90" s="45"/>
      <c r="V90" s="45"/>
      <c r="W90" s="45"/>
      <c r="X90" s="45"/>
      <c r="Y90" s="45"/>
      <c r="Z90" s="45"/>
      <c r="AA90" s="45"/>
      <c r="AB90" s="45"/>
      <c r="AC90" s="144"/>
      <c r="AD90" s="144"/>
      <c r="AE90" s="45"/>
      <c r="AF90" s="45"/>
      <c r="AG90" s="144"/>
      <c r="AH90" s="144"/>
      <c r="AI90" s="144"/>
      <c r="AJ90" s="22"/>
      <c r="AK90" s="22"/>
      <c r="AL90" s="144"/>
      <c r="AM90" s="22"/>
      <c r="AN90" s="22"/>
      <c r="AO90" s="144"/>
      <c r="AP90" s="22"/>
      <c r="AQ90" s="22"/>
      <c r="AR90" s="144"/>
      <c r="AS90" s="22"/>
      <c r="AT90" s="22"/>
      <c r="AU90" s="144"/>
      <c r="AV90" s="22"/>
      <c r="AW90" s="22"/>
      <c r="AX90" s="144"/>
      <c r="AY90" s="144"/>
      <c r="AZ90" s="22"/>
      <c r="BA90" s="144"/>
      <c r="BB90" s="144"/>
      <c r="BC90" s="144"/>
      <c r="BD90" s="144"/>
      <c r="BE90" s="144"/>
      <c r="BF90" s="22"/>
      <c r="BG90" s="144"/>
      <c r="BH90" s="144"/>
      <c r="BI90" s="22"/>
      <c r="BJ90" s="144"/>
      <c r="BK90" s="22"/>
      <c r="BL90" s="144"/>
      <c r="BM90" s="144"/>
      <c r="BN90" s="22"/>
      <c r="BO90" s="144"/>
      <c r="BP90" s="144"/>
      <c r="BQ90" s="22"/>
      <c r="BR90" s="22"/>
      <c r="BS90" s="144"/>
      <c r="BT90" s="22"/>
      <c r="BU90" s="22"/>
      <c r="BV90" s="144"/>
      <c r="BW90" s="22"/>
      <c r="BX90" s="22"/>
      <c r="BY90" s="144"/>
      <c r="BZ90" s="22"/>
      <c r="CA90" s="22"/>
      <c r="CB90" s="144"/>
      <c r="CC90" s="22"/>
      <c r="CD90" s="22"/>
      <c r="CE90" s="144"/>
      <c r="CF90" s="22"/>
      <c r="CG90" s="22"/>
      <c r="CH90" s="144"/>
      <c r="CI90" s="22"/>
      <c r="CJ90" s="22"/>
      <c r="CK90" s="144"/>
    </row>
    <row r="91" spans="1:89" ht="15.75" customHeight="1" x14ac:dyDescent="0.45">
      <c r="A91" s="22"/>
      <c r="B91" s="22"/>
      <c r="C91" s="12"/>
      <c r="D91" s="12"/>
      <c r="E91" s="155"/>
      <c r="F91" s="144"/>
      <c r="G91" s="12"/>
      <c r="H91" s="22"/>
      <c r="I91" s="22"/>
      <c r="J91" s="22"/>
      <c r="K91" s="145"/>
      <c r="L91" s="144"/>
      <c r="M91" s="144"/>
      <c r="N91" s="152"/>
      <c r="O91" s="22"/>
      <c r="P91" s="74"/>
      <c r="Q91" s="22"/>
      <c r="R91" s="74"/>
      <c r="S91" s="45"/>
      <c r="T91" s="158"/>
      <c r="U91" s="45"/>
      <c r="V91" s="45"/>
      <c r="W91" s="45"/>
      <c r="X91" s="45"/>
      <c r="Y91" s="45"/>
      <c r="Z91" s="45"/>
      <c r="AA91" s="45"/>
      <c r="AB91" s="45"/>
      <c r="AC91" s="144"/>
      <c r="AD91" s="144"/>
      <c r="AE91" s="45"/>
      <c r="AF91" s="45"/>
      <c r="AG91" s="144"/>
      <c r="AH91" s="144"/>
      <c r="AI91" s="144"/>
      <c r="AJ91" s="22"/>
      <c r="AK91" s="22"/>
      <c r="AL91" s="144"/>
      <c r="AM91" s="22"/>
      <c r="AN91" s="22"/>
      <c r="AO91" s="144"/>
      <c r="AP91" s="22"/>
      <c r="AQ91" s="22"/>
      <c r="AR91" s="144"/>
      <c r="AS91" s="22"/>
      <c r="AT91" s="22"/>
      <c r="AU91" s="144"/>
      <c r="AV91" s="22"/>
      <c r="AW91" s="22"/>
      <c r="AX91" s="144"/>
      <c r="AY91" s="144"/>
      <c r="AZ91" s="22"/>
      <c r="BA91" s="144"/>
      <c r="BB91" s="144"/>
      <c r="BC91" s="144"/>
      <c r="BD91" s="144"/>
      <c r="BE91" s="144"/>
      <c r="BF91" s="22"/>
      <c r="BG91" s="144"/>
      <c r="BH91" s="144"/>
      <c r="BI91" s="22"/>
      <c r="BJ91" s="144"/>
      <c r="BK91" s="22"/>
      <c r="BL91" s="144"/>
      <c r="BM91" s="144"/>
      <c r="BN91" s="22"/>
      <c r="BO91" s="144"/>
      <c r="BP91" s="144"/>
      <c r="BQ91" s="22"/>
      <c r="BR91" s="22"/>
      <c r="BS91" s="144"/>
      <c r="BT91" s="22"/>
      <c r="BU91" s="22"/>
      <c r="BV91" s="144"/>
      <c r="BW91" s="22"/>
      <c r="BX91" s="22"/>
      <c r="BY91" s="144"/>
      <c r="BZ91" s="22"/>
      <c r="CA91" s="22"/>
      <c r="CB91" s="144"/>
      <c r="CC91" s="22"/>
      <c r="CD91" s="22"/>
      <c r="CE91" s="144"/>
      <c r="CF91" s="22"/>
      <c r="CG91" s="22"/>
      <c r="CH91" s="144"/>
      <c r="CI91" s="22"/>
      <c r="CJ91" s="22"/>
      <c r="CK91" s="144"/>
    </row>
    <row r="92" spans="1:89" ht="15.75" customHeight="1" x14ac:dyDescent="0.45">
      <c r="A92" s="22"/>
      <c r="B92" s="22"/>
      <c r="C92" s="12"/>
      <c r="D92" s="12"/>
      <c r="E92" s="155"/>
      <c r="F92" s="144"/>
      <c r="G92" s="12"/>
      <c r="H92" s="22"/>
      <c r="I92" s="22"/>
      <c r="J92" s="22"/>
      <c r="K92" s="145"/>
      <c r="L92" s="144"/>
      <c r="M92" s="144"/>
      <c r="N92" s="152"/>
      <c r="O92" s="22"/>
      <c r="P92" s="74"/>
      <c r="Q92" s="22"/>
      <c r="R92" s="74"/>
      <c r="S92" s="45"/>
      <c r="T92" s="158"/>
      <c r="U92" s="45"/>
      <c r="V92" s="45"/>
      <c r="W92" s="45"/>
      <c r="X92" s="45"/>
      <c r="Y92" s="45"/>
      <c r="Z92" s="45"/>
      <c r="AA92" s="45"/>
      <c r="AB92" s="45"/>
      <c r="AC92" s="144"/>
      <c r="AD92" s="144"/>
      <c r="AE92" s="45"/>
      <c r="AF92" s="45"/>
      <c r="AG92" s="144"/>
      <c r="AH92" s="144"/>
      <c r="AI92" s="144"/>
      <c r="AJ92" s="22"/>
      <c r="AK92" s="22"/>
      <c r="AL92" s="144"/>
      <c r="AM92" s="22"/>
      <c r="AN92" s="22"/>
      <c r="AO92" s="144"/>
      <c r="AP92" s="22"/>
      <c r="AQ92" s="22"/>
      <c r="AR92" s="144"/>
      <c r="AS92" s="22"/>
      <c r="AT92" s="22"/>
      <c r="AU92" s="144"/>
      <c r="AV92" s="22"/>
      <c r="AW92" s="22"/>
      <c r="AX92" s="144"/>
      <c r="AY92" s="144"/>
      <c r="AZ92" s="22"/>
      <c r="BA92" s="144"/>
      <c r="BB92" s="144"/>
      <c r="BC92" s="144"/>
      <c r="BD92" s="144"/>
      <c r="BE92" s="144"/>
      <c r="BF92" s="22"/>
      <c r="BG92" s="144"/>
      <c r="BH92" s="144"/>
      <c r="BI92" s="22"/>
      <c r="BJ92" s="144"/>
      <c r="BK92" s="22"/>
      <c r="BL92" s="144"/>
      <c r="BM92" s="144"/>
      <c r="BN92" s="22"/>
      <c r="BO92" s="144"/>
      <c r="BP92" s="144"/>
      <c r="BQ92" s="22"/>
      <c r="BR92" s="22"/>
      <c r="BS92" s="144"/>
      <c r="BT92" s="22"/>
      <c r="BU92" s="22"/>
      <c r="BV92" s="144"/>
      <c r="BW92" s="22"/>
      <c r="BX92" s="22"/>
      <c r="BY92" s="144"/>
      <c r="BZ92" s="22"/>
      <c r="CA92" s="22"/>
      <c r="CB92" s="144"/>
      <c r="CC92" s="22"/>
      <c r="CD92" s="22"/>
      <c r="CE92" s="144"/>
      <c r="CF92" s="22"/>
      <c r="CG92" s="22"/>
      <c r="CH92" s="144"/>
      <c r="CI92" s="22"/>
      <c r="CJ92" s="22"/>
      <c r="CK92" s="144"/>
    </row>
    <row r="93" spans="1:89" ht="15.75" customHeight="1" x14ac:dyDescent="0.45">
      <c r="A93" s="22"/>
      <c r="B93" s="22"/>
      <c r="C93" s="12"/>
      <c r="D93" s="12"/>
      <c r="E93" s="155"/>
      <c r="F93" s="144"/>
      <c r="G93" s="12"/>
      <c r="H93" s="22"/>
      <c r="I93" s="22"/>
      <c r="J93" s="22"/>
      <c r="K93" s="145"/>
      <c r="L93" s="144"/>
      <c r="M93" s="144"/>
      <c r="N93" s="152"/>
      <c r="O93" s="22"/>
      <c r="P93" s="74"/>
      <c r="Q93" s="22"/>
      <c r="R93" s="74"/>
      <c r="S93" s="45"/>
      <c r="T93" s="158"/>
      <c r="U93" s="45"/>
      <c r="V93" s="45"/>
      <c r="W93" s="45"/>
      <c r="X93" s="45"/>
      <c r="Y93" s="45"/>
      <c r="Z93" s="45"/>
      <c r="AA93" s="45"/>
      <c r="AB93" s="45"/>
      <c r="AC93" s="144"/>
      <c r="AD93" s="144"/>
      <c r="AE93" s="45"/>
      <c r="AF93" s="45"/>
      <c r="AG93" s="144"/>
      <c r="AH93" s="144"/>
      <c r="AI93" s="144"/>
      <c r="AJ93" s="22"/>
      <c r="AK93" s="22"/>
      <c r="AL93" s="144"/>
      <c r="AM93" s="22"/>
      <c r="AN93" s="22"/>
      <c r="AO93" s="144"/>
      <c r="AP93" s="22"/>
      <c r="AQ93" s="22"/>
      <c r="AR93" s="144"/>
      <c r="AS93" s="22"/>
      <c r="AT93" s="22"/>
      <c r="AU93" s="144"/>
      <c r="AV93" s="22"/>
      <c r="AW93" s="22"/>
      <c r="AX93" s="144"/>
      <c r="AY93" s="144"/>
      <c r="AZ93" s="22"/>
      <c r="BA93" s="144"/>
      <c r="BB93" s="144"/>
      <c r="BC93" s="144"/>
      <c r="BD93" s="144"/>
      <c r="BE93" s="144"/>
      <c r="BF93" s="22"/>
      <c r="BG93" s="144"/>
      <c r="BH93" s="144"/>
      <c r="BI93" s="22"/>
      <c r="BJ93" s="144"/>
      <c r="BK93" s="22"/>
      <c r="BL93" s="144"/>
      <c r="BM93" s="144"/>
      <c r="BN93" s="22"/>
      <c r="BO93" s="144"/>
      <c r="BP93" s="144"/>
      <c r="BQ93" s="22"/>
      <c r="BR93" s="22"/>
      <c r="BS93" s="144"/>
      <c r="BT93" s="22"/>
      <c r="BU93" s="22"/>
      <c r="BV93" s="144"/>
      <c r="BW93" s="22"/>
      <c r="BX93" s="22"/>
      <c r="BY93" s="144"/>
      <c r="BZ93" s="22"/>
      <c r="CA93" s="22"/>
      <c r="CB93" s="144"/>
      <c r="CC93" s="22"/>
      <c r="CD93" s="22"/>
      <c r="CE93" s="144"/>
      <c r="CF93" s="22"/>
      <c r="CG93" s="22"/>
      <c r="CH93" s="144"/>
      <c r="CI93" s="22"/>
      <c r="CJ93" s="22"/>
      <c r="CK93" s="144"/>
    </row>
    <row r="94" spans="1:89" ht="15.75" customHeight="1" x14ac:dyDescent="0.45">
      <c r="A94" s="22"/>
      <c r="B94" s="22"/>
      <c r="C94" s="12"/>
      <c r="D94" s="12"/>
      <c r="E94" s="155"/>
      <c r="F94" s="144"/>
      <c r="G94" s="12"/>
      <c r="H94" s="22"/>
      <c r="I94" s="22"/>
      <c r="J94" s="22"/>
      <c r="K94" s="145"/>
      <c r="L94" s="144"/>
      <c r="M94" s="144"/>
      <c r="N94" s="152"/>
      <c r="O94" s="22"/>
      <c r="P94" s="74"/>
      <c r="Q94" s="22"/>
      <c r="R94" s="74"/>
      <c r="S94" s="45"/>
      <c r="T94" s="158"/>
      <c r="U94" s="45"/>
      <c r="V94" s="45"/>
      <c r="W94" s="45"/>
      <c r="X94" s="45"/>
      <c r="Y94" s="45"/>
      <c r="Z94" s="45"/>
      <c r="AA94" s="45"/>
      <c r="AB94" s="45"/>
      <c r="AC94" s="144"/>
      <c r="AD94" s="144"/>
      <c r="AE94" s="45"/>
      <c r="AF94" s="45"/>
      <c r="AG94" s="144"/>
      <c r="AH94" s="144"/>
      <c r="AI94" s="144"/>
      <c r="AJ94" s="22"/>
      <c r="AK94" s="22"/>
      <c r="AL94" s="144"/>
      <c r="AM94" s="22"/>
      <c r="AN94" s="22"/>
      <c r="AO94" s="144"/>
      <c r="AP94" s="22"/>
      <c r="AQ94" s="22"/>
      <c r="AR94" s="144"/>
      <c r="AS94" s="22"/>
      <c r="AT94" s="22"/>
      <c r="AU94" s="144"/>
      <c r="AV94" s="22"/>
      <c r="AW94" s="22"/>
      <c r="AX94" s="144"/>
      <c r="AY94" s="144"/>
      <c r="AZ94" s="22"/>
      <c r="BA94" s="144"/>
      <c r="BB94" s="144"/>
      <c r="BC94" s="144"/>
      <c r="BD94" s="144"/>
      <c r="BE94" s="144"/>
      <c r="BF94" s="22"/>
      <c r="BG94" s="144"/>
      <c r="BH94" s="144"/>
      <c r="BI94" s="22"/>
      <c r="BJ94" s="144"/>
      <c r="BK94" s="22"/>
      <c r="BL94" s="144"/>
      <c r="BM94" s="144"/>
      <c r="BN94" s="22"/>
      <c r="BO94" s="144"/>
      <c r="BP94" s="144"/>
      <c r="BQ94" s="22"/>
      <c r="BR94" s="22"/>
      <c r="BS94" s="144"/>
      <c r="BT94" s="22"/>
      <c r="BU94" s="22"/>
      <c r="BV94" s="144"/>
      <c r="BW94" s="22"/>
      <c r="BX94" s="22"/>
      <c r="BY94" s="144"/>
      <c r="BZ94" s="22"/>
      <c r="CA94" s="22"/>
      <c r="CB94" s="144"/>
      <c r="CC94" s="22"/>
      <c r="CD94" s="22"/>
      <c r="CE94" s="144"/>
      <c r="CF94" s="22"/>
      <c r="CG94" s="22"/>
      <c r="CH94" s="144"/>
      <c r="CI94" s="22"/>
      <c r="CJ94" s="22"/>
      <c r="CK94" s="144"/>
    </row>
    <row r="95" spans="1:89" ht="15.75" customHeight="1" x14ac:dyDescent="0.45">
      <c r="A95" s="22"/>
      <c r="B95" s="22"/>
      <c r="C95" s="12"/>
      <c r="D95" s="12"/>
      <c r="E95" s="155"/>
      <c r="F95" s="144"/>
      <c r="G95" s="12"/>
      <c r="H95" s="22"/>
      <c r="I95" s="22"/>
      <c r="J95" s="22"/>
      <c r="K95" s="145"/>
      <c r="L95" s="144"/>
      <c r="M95" s="144"/>
      <c r="N95" s="152"/>
      <c r="O95" s="22"/>
      <c r="P95" s="74"/>
      <c r="Q95" s="22"/>
      <c r="R95" s="74"/>
      <c r="S95" s="45"/>
      <c r="T95" s="158"/>
      <c r="U95" s="45"/>
      <c r="V95" s="45"/>
      <c r="W95" s="45"/>
      <c r="X95" s="45"/>
      <c r="Y95" s="45"/>
      <c r="Z95" s="45"/>
      <c r="AA95" s="45"/>
      <c r="AB95" s="45"/>
      <c r="AC95" s="144"/>
      <c r="AD95" s="144"/>
      <c r="AE95" s="45"/>
      <c r="AF95" s="45"/>
      <c r="AG95" s="144"/>
      <c r="AH95" s="144"/>
      <c r="AI95" s="144"/>
      <c r="AJ95" s="22"/>
      <c r="AK95" s="22"/>
      <c r="AL95" s="144"/>
      <c r="AM95" s="22"/>
      <c r="AN95" s="22"/>
      <c r="AO95" s="144"/>
      <c r="AP95" s="22"/>
      <c r="AQ95" s="22"/>
      <c r="AR95" s="144"/>
      <c r="AS95" s="22"/>
      <c r="AT95" s="22"/>
      <c r="AU95" s="144"/>
      <c r="AV95" s="22"/>
      <c r="AW95" s="22"/>
      <c r="AX95" s="144"/>
      <c r="AY95" s="144"/>
      <c r="AZ95" s="22"/>
      <c r="BA95" s="144"/>
      <c r="BB95" s="144"/>
      <c r="BC95" s="144"/>
      <c r="BD95" s="144"/>
      <c r="BE95" s="144"/>
      <c r="BF95" s="22"/>
      <c r="BG95" s="144"/>
      <c r="BH95" s="144"/>
      <c r="BI95" s="22"/>
      <c r="BJ95" s="144"/>
      <c r="BK95" s="22"/>
      <c r="BL95" s="144"/>
      <c r="BM95" s="144"/>
      <c r="BN95" s="22"/>
      <c r="BO95" s="144"/>
      <c r="BP95" s="144"/>
      <c r="BQ95" s="22"/>
      <c r="BR95" s="22"/>
      <c r="BS95" s="144"/>
      <c r="BT95" s="22"/>
      <c r="BU95" s="22"/>
      <c r="BV95" s="144"/>
      <c r="BW95" s="22"/>
      <c r="BX95" s="22"/>
      <c r="BY95" s="144"/>
      <c r="BZ95" s="22"/>
      <c r="CA95" s="22"/>
      <c r="CB95" s="144"/>
      <c r="CC95" s="22"/>
      <c r="CD95" s="22"/>
      <c r="CE95" s="144"/>
      <c r="CF95" s="22"/>
      <c r="CG95" s="22"/>
      <c r="CH95" s="144"/>
      <c r="CI95" s="22"/>
      <c r="CJ95" s="22"/>
      <c r="CK95" s="144"/>
    </row>
    <row r="96" spans="1:89" ht="15.75" customHeight="1" x14ac:dyDescent="0.45">
      <c r="A96" s="22"/>
      <c r="B96" s="22"/>
      <c r="C96" s="12"/>
      <c r="D96" s="12"/>
      <c r="E96" s="155"/>
      <c r="F96" s="144"/>
      <c r="G96" s="12"/>
      <c r="H96" s="22"/>
      <c r="I96" s="22"/>
      <c r="J96" s="22"/>
      <c r="K96" s="145"/>
      <c r="L96" s="144"/>
      <c r="M96" s="144"/>
      <c r="N96" s="152"/>
      <c r="O96" s="22"/>
      <c r="P96" s="74"/>
      <c r="Q96" s="22"/>
      <c r="R96" s="74"/>
      <c r="S96" s="45"/>
      <c r="T96" s="158"/>
      <c r="U96" s="45"/>
      <c r="V96" s="45"/>
      <c r="W96" s="45"/>
      <c r="X96" s="45"/>
      <c r="Y96" s="45"/>
      <c r="Z96" s="45"/>
      <c r="AA96" s="45"/>
      <c r="AB96" s="45"/>
      <c r="AC96" s="144"/>
      <c r="AD96" s="144"/>
      <c r="AE96" s="45"/>
      <c r="AF96" s="45"/>
      <c r="AG96" s="144"/>
      <c r="AH96" s="144"/>
      <c r="AI96" s="144"/>
      <c r="AJ96" s="22"/>
      <c r="AK96" s="22"/>
      <c r="AL96" s="144"/>
      <c r="AM96" s="22"/>
      <c r="AN96" s="22"/>
      <c r="AO96" s="144"/>
      <c r="AP96" s="22"/>
      <c r="AQ96" s="22"/>
      <c r="AR96" s="144"/>
      <c r="AS96" s="22"/>
      <c r="AT96" s="22"/>
      <c r="AU96" s="144"/>
      <c r="AV96" s="22"/>
      <c r="AW96" s="22"/>
      <c r="AX96" s="144"/>
      <c r="AY96" s="144"/>
      <c r="AZ96" s="22"/>
      <c r="BA96" s="144"/>
      <c r="BB96" s="144"/>
      <c r="BC96" s="144"/>
      <c r="BD96" s="144"/>
      <c r="BE96" s="144"/>
      <c r="BF96" s="22"/>
      <c r="BG96" s="144"/>
      <c r="BH96" s="144"/>
      <c r="BI96" s="22"/>
      <c r="BJ96" s="144"/>
      <c r="BK96" s="22"/>
      <c r="BL96" s="144"/>
      <c r="BM96" s="144"/>
      <c r="BN96" s="22"/>
      <c r="BO96" s="144"/>
      <c r="BP96" s="144"/>
      <c r="BQ96" s="22"/>
      <c r="BR96" s="22"/>
      <c r="BS96" s="144"/>
      <c r="BT96" s="22"/>
      <c r="BU96" s="22"/>
      <c r="BV96" s="144"/>
      <c r="BW96" s="22"/>
      <c r="BX96" s="22"/>
      <c r="BY96" s="144"/>
      <c r="BZ96" s="22"/>
      <c r="CA96" s="22"/>
      <c r="CB96" s="144"/>
      <c r="CC96" s="22"/>
      <c r="CD96" s="22"/>
      <c r="CE96" s="144"/>
      <c r="CF96" s="22"/>
      <c r="CG96" s="22"/>
      <c r="CH96" s="144"/>
      <c r="CI96" s="22"/>
      <c r="CJ96" s="22"/>
      <c r="CK96" s="144"/>
    </row>
    <row r="97" spans="1:89" ht="15.75" customHeight="1" x14ac:dyDescent="0.45">
      <c r="A97" s="22"/>
      <c r="B97" s="22"/>
      <c r="C97" s="12"/>
      <c r="D97" s="12"/>
      <c r="E97" s="155"/>
      <c r="F97" s="144"/>
      <c r="G97" s="12"/>
      <c r="H97" s="22"/>
      <c r="I97" s="22"/>
      <c r="J97" s="22"/>
      <c r="K97" s="145"/>
      <c r="L97" s="144"/>
      <c r="M97" s="144"/>
      <c r="N97" s="152"/>
      <c r="O97" s="22"/>
      <c r="P97" s="74"/>
      <c r="Q97" s="22"/>
      <c r="R97" s="74"/>
      <c r="S97" s="45"/>
      <c r="T97" s="158"/>
      <c r="U97" s="45"/>
      <c r="V97" s="45"/>
      <c r="W97" s="45"/>
      <c r="X97" s="45"/>
      <c r="Y97" s="45"/>
      <c r="Z97" s="45"/>
      <c r="AA97" s="45"/>
      <c r="AB97" s="45"/>
      <c r="AC97" s="144"/>
      <c r="AD97" s="144"/>
      <c r="AE97" s="45"/>
      <c r="AF97" s="45"/>
      <c r="AG97" s="144"/>
      <c r="AH97" s="144"/>
      <c r="AI97" s="144"/>
      <c r="AJ97" s="22"/>
      <c r="AK97" s="22"/>
      <c r="AL97" s="144"/>
      <c r="AM97" s="22"/>
      <c r="AN97" s="22"/>
      <c r="AO97" s="144"/>
      <c r="AP97" s="22"/>
      <c r="AQ97" s="22"/>
      <c r="AR97" s="144"/>
      <c r="AS97" s="22"/>
      <c r="AT97" s="22"/>
      <c r="AU97" s="144"/>
      <c r="AV97" s="22"/>
      <c r="AW97" s="22"/>
      <c r="AX97" s="144"/>
      <c r="AY97" s="144"/>
      <c r="AZ97" s="22"/>
      <c r="BA97" s="144"/>
      <c r="BB97" s="144"/>
      <c r="BC97" s="144"/>
      <c r="BD97" s="144"/>
      <c r="BE97" s="144"/>
      <c r="BF97" s="22"/>
      <c r="BG97" s="144"/>
      <c r="BH97" s="144"/>
      <c r="BI97" s="22"/>
      <c r="BJ97" s="144"/>
      <c r="BK97" s="22"/>
      <c r="BL97" s="144"/>
      <c r="BM97" s="144"/>
      <c r="BN97" s="22"/>
      <c r="BO97" s="144"/>
      <c r="BP97" s="144"/>
      <c r="BQ97" s="22"/>
      <c r="BR97" s="22"/>
      <c r="BS97" s="144"/>
      <c r="BT97" s="22"/>
      <c r="BU97" s="22"/>
      <c r="BV97" s="144"/>
      <c r="BW97" s="22"/>
      <c r="BX97" s="22"/>
      <c r="BY97" s="144"/>
      <c r="BZ97" s="22"/>
      <c r="CA97" s="22"/>
      <c r="CB97" s="144"/>
      <c r="CC97" s="22"/>
      <c r="CD97" s="22"/>
      <c r="CE97" s="144"/>
      <c r="CF97" s="22"/>
      <c r="CG97" s="22"/>
      <c r="CH97" s="144"/>
      <c r="CI97" s="22"/>
      <c r="CJ97" s="22"/>
      <c r="CK97" s="144"/>
    </row>
    <row r="98" spans="1:89" ht="15.75" customHeight="1" x14ac:dyDescent="0.45">
      <c r="A98" s="22"/>
      <c r="B98" s="22"/>
      <c r="C98" s="12"/>
      <c r="D98" s="12"/>
      <c r="E98" s="155"/>
      <c r="F98" s="144"/>
      <c r="G98" s="12"/>
      <c r="H98" s="22"/>
      <c r="I98" s="22"/>
      <c r="J98" s="22"/>
      <c r="K98" s="145"/>
      <c r="L98" s="144"/>
      <c r="M98" s="144"/>
      <c r="N98" s="152"/>
      <c r="O98" s="22"/>
      <c r="P98" s="74"/>
      <c r="Q98" s="22"/>
      <c r="R98" s="74"/>
      <c r="S98" s="45"/>
      <c r="T98" s="158"/>
      <c r="U98" s="45"/>
      <c r="V98" s="45"/>
      <c r="W98" s="45"/>
      <c r="X98" s="45"/>
      <c r="Y98" s="45"/>
      <c r="Z98" s="45"/>
      <c r="AA98" s="45"/>
      <c r="AB98" s="45"/>
      <c r="AC98" s="144"/>
      <c r="AD98" s="144"/>
      <c r="AE98" s="45"/>
      <c r="AF98" s="45"/>
      <c r="AG98" s="144"/>
      <c r="AH98" s="144"/>
      <c r="AI98" s="144"/>
      <c r="AJ98" s="22"/>
      <c r="AK98" s="22"/>
      <c r="AL98" s="144"/>
      <c r="AM98" s="22"/>
      <c r="AN98" s="22"/>
      <c r="AO98" s="144"/>
      <c r="AP98" s="22"/>
      <c r="AQ98" s="22"/>
      <c r="AR98" s="144"/>
      <c r="AS98" s="22"/>
      <c r="AT98" s="22"/>
      <c r="AU98" s="144"/>
      <c r="AV98" s="22"/>
      <c r="AW98" s="22"/>
      <c r="AX98" s="144"/>
      <c r="AY98" s="144"/>
      <c r="AZ98" s="22"/>
      <c r="BA98" s="144"/>
      <c r="BB98" s="144"/>
      <c r="BC98" s="144"/>
      <c r="BD98" s="144"/>
      <c r="BE98" s="144"/>
      <c r="BF98" s="22"/>
      <c r="BG98" s="144"/>
      <c r="BH98" s="144"/>
      <c r="BI98" s="22"/>
      <c r="BJ98" s="144"/>
      <c r="BK98" s="22"/>
      <c r="BL98" s="144"/>
      <c r="BM98" s="144"/>
      <c r="BN98" s="22"/>
      <c r="BO98" s="144"/>
      <c r="BP98" s="144"/>
      <c r="BQ98" s="22"/>
      <c r="BR98" s="22"/>
      <c r="BS98" s="144"/>
      <c r="BT98" s="22"/>
      <c r="BU98" s="22"/>
      <c r="BV98" s="144"/>
      <c r="BW98" s="22"/>
      <c r="BX98" s="22"/>
      <c r="BY98" s="144"/>
      <c r="BZ98" s="22"/>
      <c r="CA98" s="22"/>
      <c r="CB98" s="144"/>
      <c r="CC98" s="22"/>
      <c r="CD98" s="22"/>
      <c r="CE98" s="144"/>
      <c r="CF98" s="22"/>
      <c r="CG98" s="22"/>
      <c r="CH98" s="144"/>
      <c r="CI98" s="22"/>
      <c r="CJ98" s="22"/>
      <c r="CK98" s="144"/>
    </row>
    <row r="99" spans="1:89" ht="15.75" customHeight="1" x14ac:dyDescent="0.45">
      <c r="A99" s="22"/>
      <c r="B99" s="22"/>
      <c r="C99" s="12"/>
      <c r="D99" s="12"/>
      <c r="E99" s="155"/>
      <c r="F99" s="144"/>
      <c r="G99" s="12"/>
      <c r="H99" s="22"/>
      <c r="I99" s="22"/>
      <c r="J99" s="22"/>
      <c r="K99" s="145"/>
      <c r="L99" s="144"/>
      <c r="M99" s="144"/>
      <c r="N99" s="152"/>
      <c r="O99" s="22"/>
      <c r="P99" s="74"/>
      <c r="Q99" s="22"/>
      <c r="R99" s="74"/>
      <c r="S99" s="45"/>
      <c r="T99" s="158"/>
      <c r="U99" s="45"/>
      <c r="V99" s="45"/>
      <c r="W99" s="45"/>
      <c r="X99" s="45"/>
      <c r="Y99" s="45"/>
      <c r="Z99" s="45"/>
      <c r="AA99" s="45"/>
      <c r="AB99" s="45"/>
      <c r="AC99" s="144"/>
      <c r="AD99" s="144"/>
      <c r="AE99" s="45"/>
      <c r="AF99" s="45"/>
      <c r="AG99" s="144"/>
      <c r="AH99" s="144"/>
      <c r="AI99" s="144"/>
      <c r="AJ99" s="22"/>
      <c r="AK99" s="22"/>
      <c r="AL99" s="144"/>
      <c r="AM99" s="22"/>
      <c r="AN99" s="22"/>
      <c r="AO99" s="144"/>
      <c r="AP99" s="22"/>
      <c r="AQ99" s="22"/>
      <c r="AR99" s="144"/>
      <c r="AS99" s="22"/>
      <c r="AT99" s="22"/>
      <c r="AU99" s="144"/>
      <c r="AV99" s="22"/>
      <c r="AW99" s="22"/>
      <c r="AX99" s="144"/>
      <c r="AY99" s="144"/>
      <c r="AZ99" s="22"/>
      <c r="BA99" s="144"/>
      <c r="BB99" s="144"/>
      <c r="BC99" s="144"/>
      <c r="BD99" s="144"/>
      <c r="BE99" s="144"/>
      <c r="BF99" s="22"/>
      <c r="BG99" s="144"/>
      <c r="BH99" s="144"/>
      <c r="BI99" s="22"/>
      <c r="BJ99" s="144"/>
      <c r="BK99" s="22"/>
      <c r="BL99" s="144"/>
      <c r="BM99" s="144"/>
      <c r="BN99" s="22"/>
      <c r="BO99" s="144"/>
      <c r="BP99" s="144"/>
      <c r="BQ99" s="22"/>
      <c r="BR99" s="22"/>
      <c r="BS99" s="144"/>
      <c r="BT99" s="22"/>
      <c r="BU99" s="22"/>
      <c r="BV99" s="144"/>
      <c r="BW99" s="22"/>
      <c r="BX99" s="22"/>
      <c r="BY99" s="144"/>
      <c r="BZ99" s="22"/>
      <c r="CA99" s="22"/>
      <c r="CB99" s="144"/>
      <c r="CC99" s="22"/>
      <c r="CD99" s="22"/>
      <c r="CE99" s="144"/>
      <c r="CF99" s="22"/>
      <c r="CG99" s="22"/>
      <c r="CH99" s="144"/>
      <c r="CI99" s="22"/>
      <c r="CJ99" s="22"/>
      <c r="CK99" s="144"/>
    </row>
    <row r="100" spans="1:89" ht="15.75" customHeight="1" x14ac:dyDescent="0.45">
      <c r="A100" s="22"/>
      <c r="B100" s="22"/>
      <c r="C100" s="12"/>
      <c r="D100" s="12"/>
      <c r="E100" s="155"/>
      <c r="F100" s="144"/>
      <c r="G100" s="12"/>
      <c r="H100" s="22"/>
      <c r="I100" s="22"/>
      <c r="J100" s="22"/>
      <c r="K100" s="145"/>
      <c r="L100" s="144"/>
      <c r="M100" s="144"/>
      <c r="N100" s="152"/>
      <c r="O100" s="22"/>
      <c r="P100" s="74"/>
      <c r="Q100" s="22"/>
      <c r="R100" s="74"/>
      <c r="S100" s="45"/>
      <c r="T100" s="158"/>
      <c r="U100" s="45"/>
      <c r="V100" s="45"/>
      <c r="W100" s="45"/>
      <c r="X100" s="45"/>
      <c r="Y100" s="45"/>
      <c r="Z100" s="45"/>
      <c r="AA100" s="45"/>
      <c r="AB100" s="45"/>
      <c r="AC100" s="144"/>
      <c r="AD100" s="144"/>
      <c r="AE100" s="45"/>
      <c r="AF100" s="45"/>
      <c r="AG100" s="144"/>
      <c r="AH100" s="144"/>
      <c r="AI100" s="144"/>
      <c r="AJ100" s="22"/>
      <c r="AK100" s="22"/>
      <c r="AL100" s="144"/>
      <c r="AM100" s="22"/>
      <c r="AN100" s="22"/>
      <c r="AO100" s="144"/>
      <c r="AP100" s="22"/>
      <c r="AQ100" s="22"/>
      <c r="AR100" s="144"/>
      <c r="AS100" s="22"/>
      <c r="AT100" s="22"/>
      <c r="AU100" s="144"/>
      <c r="AV100" s="22"/>
      <c r="AW100" s="22"/>
      <c r="AX100" s="144"/>
      <c r="AY100" s="144"/>
      <c r="AZ100" s="22"/>
      <c r="BA100" s="144"/>
      <c r="BB100" s="144"/>
      <c r="BC100" s="144"/>
      <c r="BD100" s="144"/>
      <c r="BE100" s="144"/>
      <c r="BF100" s="22"/>
      <c r="BG100" s="144"/>
      <c r="BH100" s="144"/>
      <c r="BI100" s="22"/>
      <c r="BJ100" s="144"/>
      <c r="BK100" s="22"/>
      <c r="BL100" s="144"/>
      <c r="BM100" s="144"/>
      <c r="BN100" s="22"/>
      <c r="BO100" s="144"/>
      <c r="BP100" s="144"/>
      <c r="BQ100" s="22"/>
      <c r="BR100" s="22"/>
      <c r="BS100" s="144"/>
      <c r="BT100" s="22"/>
      <c r="BU100" s="22"/>
      <c r="BV100" s="144"/>
      <c r="BW100" s="22"/>
      <c r="BX100" s="22"/>
      <c r="BY100" s="144"/>
      <c r="BZ100" s="22"/>
      <c r="CA100" s="22"/>
      <c r="CB100" s="144"/>
      <c r="CC100" s="22"/>
      <c r="CD100" s="22"/>
      <c r="CE100" s="144"/>
      <c r="CF100" s="22"/>
      <c r="CG100" s="22"/>
      <c r="CH100" s="144"/>
      <c r="CI100" s="22"/>
      <c r="CJ100" s="22"/>
      <c r="CK100" s="144"/>
    </row>
    <row r="101" spans="1:89" ht="15.75" customHeight="1" x14ac:dyDescent="0.45">
      <c r="A101" s="22"/>
      <c r="B101" s="22"/>
      <c r="C101" s="12"/>
      <c r="D101" s="12"/>
      <c r="E101" s="155"/>
      <c r="F101" s="144"/>
      <c r="G101" s="12"/>
      <c r="H101" s="22"/>
      <c r="I101" s="22"/>
      <c r="J101" s="22"/>
      <c r="K101" s="145"/>
      <c r="L101" s="144"/>
      <c r="M101" s="144"/>
      <c r="N101" s="152"/>
      <c r="O101" s="22"/>
      <c r="P101" s="74"/>
      <c r="Q101" s="22"/>
      <c r="R101" s="74"/>
      <c r="S101" s="45"/>
      <c r="T101" s="158"/>
      <c r="U101" s="45"/>
      <c r="V101" s="45"/>
      <c r="W101" s="45"/>
      <c r="X101" s="45"/>
      <c r="Y101" s="45"/>
      <c r="Z101" s="45"/>
      <c r="AA101" s="45"/>
      <c r="AB101" s="45"/>
      <c r="AC101" s="144"/>
      <c r="AD101" s="144"/>
      <c r="AE101" s="45"/>
      <c r="AF101" s="45"/>
      <c r="AG101" s="144"/>
      <c r="AH101" s="144"/>
      <c r="AI101" s="144"/>
      <c r="AJ101" s="22"/>
      <c r="AK101" s="22"/>
      <c r="AL101" s="144"/>
      <c r="AM101" s="22"/>
      <c r="AN101" s="22"/>
      <c r="AO101" s="144"/>
      <c r="AP101" s="22"/>
      <c r="AQ101" s="22"/>
      <c r="AR101" s="144"/>
      <c r="AS101" s="22"/>
      <c r="AT101" s="22"/>
      <c r="AU101" s="144"/>
      <c r="AV101" s="22"/>
      <c r="AW101" s="22"/>
      <c r="AX101" s="144"/>
      <c r="AY101" s="144"/>
      <c r="AZ101" s="22"/>
      <c r="BA101" s="144"/>
      <c r="BB101" s="144"/>
      <c r="BC101" s="144"/>
      <c r="BD101" s="144"/>
      <c r="BE101" s="144"/>
      <c r="BF101" s="22"/>
      <c r="BG101" s="144"/>
      <c r="BH101" s="144"/>
      <c r="BI101" s="22"/>
      <c r="BJ101" s="144"/>
      <c r="BK101" s="22"/>
      <c r="BL101" s="144"/>
      <c r="BM101" s="144"/>
      <c r="BN101" s="22"/>
      <c r="BO101" s="144"/>
      <c r="BP101" s="144"/>
      <c r="BQ101" s="22"/>
      <c r="BR101" s="22"/>
      <c r="BS101" s="144"/>
      <c r="BT101" s="22"/>
      <c r="BU101" s="22"/>
      <c r="BV101" s="144"/>
      <c r="BW101" s="22"/>
      <c r="BX101" s="22"/>
      <c r="BY101" s="144"/>
      <c r="BZ101" s="22"/>
      <c r="CA101" s="22"/>
      <c r="CB101" s="144"/>
      <c r="CC101" s="22"/>
      <c r="CD101" s="22"/>
      <c r="CE101" s="144"/>
      <c r="CF101" s="22"/>
      <c r="CG101" s="22"/>
      <c r="CH101" s="144"/>
      <c r="CI101" s="22"/>
      <c r="CJ101" s="22"/>
      <c r="CK101" s="144"/>
    </row>
    <row r="102" spans="1:89" ht="15.75" customHeight="1" x14ac:dyDescent="0.45">
      <c r="A102" s="22"/>
      <c r="B102" s="22"/>
      <c r="C102" s="12"/>
      <c r="D102" s="12"/>
      <c r="E102" s="155"/>
      <c r="F102" s="144"/>
      <c r="G102" s="12"/>
      <c r="H102" s="22"/>
      <c r="I102" s="22"/>
      <c r="J102" s="22"/>
      <c r="K102" s="145"/>
      <c r="L102" s="144"/>
      <c r="M102" s="144"/>
      <c r="N102" s="152"/>
      <c r="O102" s="22"/>
      <c r="P102" s="74"/>
      <c r="Q102" s="22"/>
      <c r="R102" s="74"/>
      <c r="S102" s="45"/>
      <c r="T102" s="158"/>
      <c r="U102" s="45"/>
      <c r="V102" s="45"/>
      <c r="W102" s="45"/>
      <c r="X102" s="45"/>
      <c r="Y102" s="45"/>
      <c r="Z102" s="45"/>
      <c r="AA102" s="45"/>
      <c r="AB102" s="45"/>
      <c r="AC102" s="144"/>
      <c r="AD102" s="144"/>
      <c r="AE102" s="45"/>
      <c r="AF102" s="45"/>
      <c r="AG102" s="144"/>
      <c r="AH102" s="144"/>
      <c r="AI102" s="144"/>
      <c r="AJ102" s="22"/>
      <c r="AK102" s="22"/>
      <c r="AL102" s="144"/>
      <c r="AM102" s="22"/>
      <c r="AN102" s="22"/>
      <c r="AO102" s="144"/>
      <c r="AP102" s="22"/>
      <c r="AQ102" s="22"/>
      <c r="AR102" s="144"/>
      <c r="AS102" s="22"/>
      <c r="AT102" s="22"/>
      <c r="AU102" s="144"/>
      <c r="AV102" s="22"/>
      <c r="AW102" s="22"/>
      <c r="AX102" s="144"/>
      <c r="AY102" s="144"/>
      <c r="AZ102" s="22"/>
      <c r="BA102" s="144"/>
      <c r="BB102" s="144"/>
      <c r="BC102" s="144"/>
      <c r="BD102" s="144"/>
      <c r="BE102" s="144"/>
      <c r="BF102" s="22"/>
      <c r="BG102" s="144"/>
      <c r="BH102" s="144"/>
      <c r="BI102" s="22"/>
      <c r="BJ102" s="144"/>
      <c r="BK102" s="22"/>
      <c r="BL102" s="144"/>
      <c r="BM102" s="144"/>
      <c r="BN102" s="22"/>
      <c r="BO102" s="144"/>
      <c r="BP102" s="144"/>
      <c r="BQ102" s="22"/>
      <c r="BR102" s="22"/>
      <c r="BS102" s="144"/>
      <c r="BT102" s="22"/>
      <c r="BU102" s="22"/>
      <c r="BV102" s="144"/>
      <c r="BW102" s="22"/>
      <c r="BX102" s="22"/>
      <c r="BY102" s="144"/>
      <c r="BZ102" s="22"/>
      <c r="CA102" s="22"/>
      <c r="CB102" s="144"/>
      <c r="CC102" s="22"/>
      <c r="CD102" s="22"/>
      <c r="CE102" s="144"/>
      <c r="CF102" s="22"/>
      <c r="CG102" s="22"/>
      <c r="CH102" s="144"/>
      <c r="CI102" s="22"/>
      <c r="CJ102" s="22"/>
      <c r="CK102" s="144"/>
    </row>
    <row r="103" spans="1:89" ht="15.75" customHeight="1" x14ac:dyDescent="0.45">
      <c r="A103" s="22"/>
      <c r="B103" s="22"/>
      <c r="C103" s="12"/>
      <c r="D103" s="12"/>
      <c r="E103" s="155"/>
      <c r="F103" s="144"/>
      <c r="G103" s="12"/>
      <c r="H103" s="22"/>
      <c r="I103" s="22"/>
      <c r="J103" s="22"/>
      <c r="K103" s="145"/>
      <c r="L103" s="144"/>
      <c r="M103" s="144"/>
      <c r="N103" s="152"/>
      <c r="O103" s="22"/>
      <c r="P103" s="74"/>
      <c r="Q103" s="22"/>
      <c r="R103" s="74"/>
      <c r="S103" s="45"/>
      <c r="T103" s="158"/>
      <c r="U103" s="45"/>
      <c r="V103" s="45"/>
      <c r="W103" s="45"/>
      <c r="X103" s="45"/>
      <c r="Y103" s="45"/>
      <c r="Z103" s="45"/>
      <c r="AA103" s="45"/>
      <c r="AB103" s="45"/>
      <c r="AC103" s="144"/>
      <c r="AD103" s="144"/>
      <c r="AE103" s="45"/>
      <c r="AF103" s="45"/>
      <c r="AG103" s="144"/>
      <c r="AH103" s="144"/>
      <c r="AI103" s="144"/>
      <c r="AJ103" s="22"/>
      <c r="AK103" s="22"/>
      <c r="AL103" s="144"/>
      <c r="AM103" s="22"/>
      <c r="AN103" s="22"/>
      <c r="AO103" s="144"/>
      <c r="AP103" s="22"/>
      <c r="AQ103" s="22"/>
      <c r="AR103" s="144"/>
      <c r="AS103" s="22"/>
      <c r="AT103" s="22"/>
      <c r="AU103" s="144"/>
      <c r="AV103" s="22"/>
      <c r="AW103" s="22"/>
      <c r="AX103" s="144"/>
      <c r="AY103" s="144"/>
      <c r="AZ103" s="22"/>
      <c r="BA103" s="144"/>
      <c r="BB103" s="144"/>
      <c r="BC103" s="144"/>
      <c r="BD103" s="144"/>
      <c r="BE103" s="144"/>
      <c r="BF103" s="22"/>
      <c r="BG103" s="144"/>
      <c r="BH103" s="144"/>
      <c r="BI103" s="22"/>
      <c r="BJ103" s="144"/>
      <c r="BK103" s="22"/>
      <c r="BL103" s="144"/>
      <c r="BM103" s="144"/>
      <c r="BN103" s="22"/>
      <c r="BO103" s="144"/>
      <c r="BP103" s="144"/>
      <c r="BQ103" s="22"/>
      <c r="BR103" s="22"/>
      <c r="BS103" s="144"/>
      <c r="BT103" s="22"/>
      <c r="BU103" s="22"/>
      <c r="BV103" s="144"/>
      <c r="BW103" s="22"/>
      <c r="BX103" s="22"/>
      <c r="BY103" s="144"/>
      <c r="BZ103" s="22"/>
      <c r="CA103" s="22"/>
      <c r="CB103" s="144"/>
      <c r="CC103" s="22"/>
      <c r="CD103" s="22"/>
      <c r="CE103" s="144"/>
      <c r="CF103" s="22"/>
      <c r="CG103" s="22"/>
      <c r="CH103" s="144"/>
      <c r="CI103" s="22"/>
      <c r="CJ103" s="22"/>
      <c r="CK103" s="144"/>
    </row>
    <row r="104" spans="1:89" ht="15.75" customHeight="1" x14ac:dyDescent="0.45">
      <c r="A104" s="22"/>
      <c r="B104" s="22"/>
      <c r="C104" s="12"/>
      <c r="D104" s="12"/>
      <c r="E104" s="155"/>
      <c r="F104" s="144"/>
      <c r="G104" s="12"/>
      <c r="H104" s="22"/>
      <c r="I104" s="22"/>
      <c r="J104" s="22"/>
      <c r="K104" s="145"/>
      <c r="L104" s="144"/>
      <c r="M104" s="144"/>
      <c r="N104" s="152"/>
      <c r="O104" s="22"/>
      <c r="P104" s="74"/>
      <c r="Q104" s="22"/>
      <c r="R104" s="74"/>
      <c r="S104" s="45"/>
      <c r="T104" s="158"/>
      <c r="U104" s="45"/>
      <c r="V104" s="45"/>
      <c r="W104" s="45"/>
      <c r="X104" s="45"/>
      <c r="Y104" s="45"/>
      <c r="Z104" s="45"/>
      <c r="AA104" s="45"/>
      <c r="AB104" s="45"/>
      <c r="AC104" s="144"/>
      <c r="AD104" s="144"/>
      <c r="AE104" s="45"/>
      <c r="AF104" s="45"/>
      <c r="AG104" s="144"/>
      <c r="AH104" s="144"/>
      <c r="AI104" s="144"/>
      <c r="AJ104" s="22"/>
      <c r="AK104" s="22"/>
      <c r="AL104" s="144"/>
      <c r="AM104" s="22"/>
      <c r="AN104" s="22"/>
      <c r="AO104" s="144"/>
      <c r="AP104" s="22"/>
      <c r="AQ104" s="22"/>
      <c r="AR104" s="144"/>
      <c r="AS104" s="22"/>
      <c r="AT104" s="22"/>
      <c r="AU104" s="144"/>
      <c r="AV104" s="22"/>
      <c r="AW104" s="22"/>
      <c r="AX104" s="144"/>
      <c r="AY104" s="144"/>
      <c r="AZ104" s="22"/>
      <c r="BA104" s="144"/>
      <c r="BB104" s="144"/>
      <c r="BC104" s="144"/>
      <c r="BD104" s="144"/>
      <c r="BE104" s="144"/>
      <c r="BF104" s="22"/>
      <c r="BG104" s="144"/>
      <c r="BH104" s="144"/>
      <c r="BI104" s="22"/>
      <c r="BJ104" s="144"/>
      <c r="BK104" s="22"/>
      <c r="BL104" s="144"/>
      <c r="BM104" s="144"/>
      <c r="BN104" s="22"/>
      <c r="BO104" s="144"/>
      <c r="BP104" s="144"/>
      <c r="BQ104" s="22"/>
      <c r="BR104" s="22"/>
      <c r="BS104" s="144"/>
      <c r="BT104" s="22"/>
      <c r="BU104" s="22"/>
      <c r="BV104" s="144"/>
      <c r="BW104" s="22"/>
      <c r="BX104" s="22"/>
      <c r="BY104" s="144"/>
      <c r="BZ104" s="22"/>
      <c r="CA104" s="22"/>
      <c r="CB104" s="144"/>
      <c r="CC104" s="22"/>
      <c r="CD104" s="22"/>
      <c r="CE104" s="144"/>
      <c r="CF104" s="22"/>
      <c r="CG104" s="22"/>
      <c r="CH104" s="144"/>
      <c r="CI104" s="22"/>
      <c r="CJ104" s="22"/>
      <c r="CK104" s="144"/>
    </row>
    <row r="105" spans="1:89" ht="15.75" customHeight="1" x14ac:dyDescent="0.45">
      <c r="A105" s="22"/>
      <c r="B105" s="22"/>
      <c r="C105" s="12"/>
      <c r="D105" s="12"/>
      <c r="E105" s="155"/>
      <c r="F105" s="144"/>
      <c r="G105" s="12"/>
      <c r="H105" s="22"/>
      <c r="I105" s="22"/>
      <c r="J105" s="22"/>
      <c r="K105" s="145"/>
      <c r="L105" s="144"/>
      <c r="M105" s="144"/>
      <c r="N105" s="152"/>
      <c r="O105" s="22"/>
      <c r="P105" s="74"/>
      <c r="Q105" s="22"/>
      <c r="R105" s="74"/>
      <c r="S105" s="45"/>
      <c r="T105" s="158"/>
      <c r="U105" s="45"/>
      <c r="V105" s="45"/>
      <c r="W105" s="45"/>
      <c r="X105" s="45"/>
      <c r="Y105" s="45"/>
      <c r="Z105" s="45"/>
      <c r="AA105" s="45"/>
      <c r="AB105" s="45"/>
      <c r="AC105" s="144"/>
      <c r="AD105" s="144"/>
      <c r="AE105" s="45"/>
      <c r="AF105" s="45"/>
      <c r="AG105" s="144"/>
      <c r="AH105" s="144"/>
      <c r="AI105" s="144"/>
      <c r="AJ105" s="22"/>
      <c r="AK105" s="22"/>
      <c r="AL105" s="144"/>
      <c r="AM105" s="22"/>
      <c r="AN105" s="22"/>
      <c r="AO105" s="144"/>
      <c r="AP105" s="22"/>
      <c r="AQ105" s="22"/>
      <c r="AR105" s="144"/>
      <c r="AS105" s="22"/>
      <c r="AT105" s="22"/>
      <c r="AU105" s="144"/>
      <c r="AV105" s="22"/>
      <c r="AW105" s="22"/>
      <c r="AX105" s="144"/>
      <c r="AY105" s="144"/>
      <c r="AZ105" s="22"/>
      <c r="BA105" s="144"/>
      <c r="BB105" s="144"/>
      <c r="BC105" s="144"/>
      <c r="BD105" s="144"/>
      <c r="BE105" s="144"/>
      <c r="BF105" s="22"/>
      <c r="BG105" s="144"/>
      <c r="BH105" s="144"/>
      <c r="BI105" s="22"/>
      <c r="BJ105" s="144"/>
      <c r="BK105" s="22"/>
      <c r="BL105" s="144"/>
      <c r="BM105" s="144"/>
      <c r="BN105" s="22"/>
      <c r="BO105" s="144"/>
      <c r="BP105" s="144"/>
      <c r="BQ105" s="22"/>
      <c r="BR105" s="22"/>
      <c r="BS105" s="144"/>
      <c r="BT105" s="22"/>
      <c r="BU105" s="22"/>
      <c r="BV105" s="144"/>
      <c r="BW105" s="22"/>
      <c r="BX105" s="22"/>
      <c r="BY105" s="144"/>
      <c r="BZ105" s="22"/>
      <c r="CA105" s="22"/>
      <c r="CB105" s="144"/>
      <c r="CC105" s="22"/>
      <c r="CD105" s="22"/>
      <c r="CE105" s="144"/>
      <c r="CF105" s="22"/>
      <c r="CG105" s="22"/>
      <c r="CH105" s="144"/>
      <c r="CI105" s="22"/>
      <c r="CJ105" s="22"/>
      <c r="CK105" s="144"/>
    </row>
    <row r="106" spans="1:89" ht="15.75" customHeight="1" x14ac:dyDescent="0.45">
      <c r="A106" s="22"/>
      <c r="B106" s="22"/>
      <c r="C106" s="12"/>
      <c r="D106" s="12"/>
      <c r="E106" s="155"/>
      <c r="F106" s="144"/>
      <c r="G106" s="12"/>
      <c r="H106" s="22"/>
      <c r="I106" s="22"/>
      <c r="J106" s="22"/>
      <c r="K106" s="145"/>
      <c r="L106" s="144"/>
      <c r="M106" s="144"/>
      <c r="N106" s="152"/>
      <c r="O106" s="22"/>
      <c r="P106" s="74"/>
      <c r="Q106" s="22"/>
      <c r="R106" s="74"/>
      <c r="S106" s="45"/>
      <c r="T106" s="158"/>
      <c r="U106" s="45"/>
      <c r="V106" s="45"/>
      <c r="W106" s="45"/>
      <c r="X106" s="45"/>
      <c r="Y106" s="45"/>
      <c r="Z106" s="45"/>
      <c r="AA106" s="45"/>
      <c r="AB106" s="45"/>
      <c r="AC106" s="144"/>
      <c r="AD106" s="144"/>
      <c r="AE106" s="45"/>
      <c r="AF106" s="45"/>
      <c r="AG106" s="144"/>
      <c r="AH106" s="144"/>
      <c r="AI106" s="144"/>
      <c r="AJ106" s="22"/>
      <c r="AK106" s="22"/>
      <c r="AL106" s="144"/>
      <c r="AM106" s="22"/>
      <c r="AN106" s="22"/>
      <c r="AO106" s="144"/>
      <c r="AP106" s="22"/>
      <c r="AQ106" s="22"/>
      <c r="AR106" s="144"/>
      <c r="AS106" s="22"/>
      <c r="AT106" s="22"/>
      <c r="AU106" s="144"/>
      <c r="AV106" s="22"/>
      <c r="AW106" s="22"/>
      <c r="AX106" s="144"/>
      <c r="AY106" s="144"/>
      <c r="AZ106" s="22"/>
      <c r="BA106" s="144"/>
      <c r="BB106" s="144"/>
      <c r="BC106" s="144"/>
      <c r="BD106" s="144"/>
      <c r="BE106" s="144"/>
      <c r="BF106" s="22"/>
      <c r="BG106" s="144"/>
      <c r="BH106" s="144"/>
      <c r="BI106" s="22"/>
      <c r="BJ106" s="144"/>
      <c r="BK106" s="22"/>
      <c r="BL106" s="144"/>
      <c r="BM106" s="144"/>
      <c r="BN106" s="22"/>
      <c r="BO106" s="144"/>
      <c r="BP106" s="144"/>
      <c r="BQ106" s="22"/>
      <c r="BR106" s="22"/>
      <c r="BS106" s="144"/>
      <c r="BT106" s="22"/>
      <c r="BU106" s="22"/>
      <c r="BV106" s="144"/>
      <c r="BW106" s="22"/>
      <c r="BX106" s="22"/>
      <c r="BY106" s="144"/>
      <c r="BZ106" s="22"/>
      <c r="CA106" s="22"/>
      <c r="CB106" s="144"/>
      <c r="CC106" s="22"/>
      <c r="CD106" s="22"/>
      <c r="CE106" s="144"/>
      <c r="CF106" s="22"/>
      <c r="CG106" s="22"/>
      <c r="CH106" s="144"/>
      <c r="CI106" s="22"/>
      <c r="CJ106" s="22"/>
      <c r="CK106" s="144"/>
    </row>
    <row r="107" spans="1:89" ht="15.75" customHeight="1" x14ac:dyDescent="0.45">
      <c r="A107" s="22"/>
      <c r="B107" s="22"/>
      <c r="C107" s="12"/>
      <c r="D107" s="12"/>
      <c r="E107" s="155"/>
      <c r="F107" s="144"/>
      <c r="G107" s="12"/>
      <c r="H107" s="22"/>
      <c r="I107" s="22"/>
      <c r="J107" s="22"/>
      <c r="K107" s="145"/>
      <c r="L107" s="144"/>
      <c r="M107" s="144"/>
      <c r="N107" s="152"/>
      <c r="O107" s="22"/>
      <c r="P107" s="74"/>
      <c r="Q107" s="22"/>
      <c r="R107" s="74"/>
      <c r="S107" s="45"/>
      <c r="T107" s="158"/>
      <c r="U107" s="45"/>
      <c r="V107" s="45"/>
      <c r="W107" s="45"/>
      <c r="X107" s="45"/>
      <c r="Y107" s="45"/>
      <c r="Z107" s="45"/>
      <c r="AA107" s="45"/>
      <c r="AB107" s="45"/>
      <c r="AC107" s="144"/>
      <c r="AD107" s="144"/>
      <c r="AE107" s="45"/>
      <c r="AF107" s="45"/>
      <c r="AG107" s="144"/>
      <c r="AH107" s="144"/>
      <c r="AI107" s="144"/>
      <c r="AJ107" s="22"/>
      <c r="AK107" s="22"/>
      <c r="AL107" s="144"/>
      <c r="AM107" s="22"/>
      <c r="AN107" s="22"/>
      <c r="AO107" s="144"/>
      <c r="AP107" s="22"/>
      <c r="AQ107" s="22"/>
      <c r="AR107" s="144"/>
      <c r="AS107" s="22"/>
      <c r="AT107" s="22"/>
      <c r="AU107" s="144"/>
      <c r="AV107" s="22"/>
      <c r="AW107" s="22"/>
      <c r="AX107" s="144"/>
      <c r="AY107" s="144"/>
      <c r="AZ107" s="22"/>
      <c r="BA107" s="144"/>
      <c r="BB107" s="144"/>
      <c r="BC107" s="144"/>
      <c r="BD107" s="144"/>
      <c r="BE107" s="144"/>
      <c r="BF107" s="22"/>
      <c r="BG107" s="144"/>
      <c r="BH107" s="144"/>
      <c r="BI107" s="22"/>
      <c r="BJ107" s="144"/>
      <c r="BK107" s="22"/>
      <c r="BL107" s="144"/>
      <c r="BM107" s="144"/>
      <c r="BN107" s="22"/>
      <c r="BO107" s="144"/>
      <c r="BP107" s="144"/>
      <c r="BQ107" s="22"/>
      <c r="BR107" s="22"/>
      <c r="BS107" s="144"/>
      <c r="BT107" s="22"/>
      <c r="BU107" s="22"/>
      <c r="BV107" s="144"/>
      <c r="BW107" s="22"/>
      <c r="BX107" s="22"/>
      <c r="BY107" s="144"/>
      <c r="BZ107" s="22"/>
      <c r="CA107" s="22"/>
      <c r="CB107" s="144"/>
      <c r="CC107" s="22"/>
      <c r="CD107" s="22"/>
      <c r="CE107" s="144"/>
      <c r="CF107" s="22"/>
      <c r="CG107" s="22"/>
      <c r="CH107" s="144"/>
      <c r="CI107" s="22"/>
      <c r="CJ107" s="22"/>
      <c r="CK107" s="144"/>
    </row>
    <row r="108" spans="1:89" ht="15.75" customHeight="1" x14ac:dyDescent="0.45">
      <c r="A108" s="22"/>
      <c r="B108" s="22"/>
      <c r="C108" s="12"/>
      <c r="D108" s="12"/>
      <c r="E108" s="155"/>
      <c r="F108" s="144"/>
      <c r="G108" s="12"/>
      <c r="H108" s="22"/>
      <c r="I108" s="22"/>
      <c r="J108" s="22"/>
      <c r="K108" s="145"/>
      <c r="L108" s="144"/>
      <c r="M108" s="144"/>
      <c r="N108" s="152"/>
      <c r="O108" s="22"/>
      <c r="P108" s="74"/>
      <c r="Q108" s="22"/>
      <c r="R108" s="74"/>
      <c r="S108" s="45"/>
      <c r="T108" s="158"/>
      <c r="U108" s="45"/>
      <c r="V108" s="45"/>
      <c r="W108" s="45"/>
      <c r="X108" s="45"/>
      <c r="Y108" s="45"/>
      <c r="Z108" s="45"/>
      <c r="AA108" s="45"/>
      <c r="AB108" s="45"/>
      <c r="AC108" s="144"/>
      <c r="AD108" s="144"/>
      <c r="AE108" s="45"/>
      <c r="AF108" s="45"/>
      <c r="AG108" s="144"/>
      <c r="AH108" s="144"/>
      <c r="AI108" s="144"/>
      <c r="AJ108" s="22"/>
      <c r="AK108" s="22"/>
      <c r="AL108" s="144"/>
      <c r="AM108" s="22"/>
      <c r="AN108" s="22"/>
      <c r="AO108" s="144"/>
      <c r="AP108" s="22"/>
      <c r="AQ108" s="22"/>
      <c r="AR108" s="144"/>
      <c r="AS108" s="22"/>
      <c r="AT108" s="22"/>
      <c r="AU108" s="144"/>
      <c r="AV108" s="22"/>
      <c r="AW108" s="22"/>
      <c r="AX108" s="144"/>
      <c r="AY108" s="144"/>
      <c r="AZ108" s="22"/>
      <c r="BA108" s="144"/>
      <c r="BB108" s="144"/>
      <c r="BC108" s="144"/>
      <c r="BD108" s="144"/>
      <c r="BE108" s="144"/>
      <c r="BF108" s="22"/>
      <c r="BG108" s="144"/>
      <c r="BH108" s="144"/>
      <c r="BI108" s="22"/>
      <c r="BJ108" s="144"/>
      <c r="BK108" s="22"/>
      <c r="BL108" s="144"/>
      <c r="BM108" s="144"/>
      <c r="BN108" s="22"/>
      <c r="BO108" s="144"/>
      <c r="BP108" s="144"/>
      <c r="BQ108" s="22"/>
      <c r="BR108" s="22"/>
      <c r="BS108" s="144"/>
      <c r="BT108" s="22"/>
      <c r="BU108" s="22"/>
      <c r="BV108" s="144"/>
      <c r="BW108" s="22"/>
      <c r="BX108" s="22"/>
      <c r="BY108" s="144"/>
      <c r="BZ108" s="22"/>
      <c r="CA108" s="22"/>
      <c r="CB108" s="144"/>
      <c r="CC108" s="22"/>
      <c r="CD108" s="22"/>
      <c r="CE108" s="144"/>
      <c r="CF108" s="22"/>
      <c r="CG108" s="22"/>
      <c r="CH108" s="144"/>
      <c r="CI108" s="22"/>
      <c r="CJ108" s="22"/>
      <c r="CK108" s="144"/>
    </row>
    <row r="109" spans="1:89" ht="15.75" customHeight="1" x14ac:dyDescent="0.45">
      <c r="A109" s="22"/>
      <c r="B109" s="22"/>
      <c r="C109" s="12"/>
      <c r="D109" s="12"/>
      <c r="E109" s="155"/>
      <c r="F109" s="144"/>
      <c r="G109" s="12"/>
      <c r="H109" s="22"/>
      <c r="I109" s="22"/>
      <c r="J109" s="22"/>
      <c r="K109" s="145"/>
      <c r="L109" s="144"/>
      <c r="M109" s="144"/>
      <c r="N109" s="152"/>
      <c r="O109" s="22"/>
      <c r="P109" s="74"/>
      <c r="Q109" s="22"/>
      <c r="R109" s="74"/>
      <c r="S109" s="45"/>
      <c r="T109" s="158"/>
      <c r="U109" s="45"/>
      <c r="V109" s="45"/>
      <c r="W109" s="45"/>
      <c r="X109" s="45"/>
      <c r="Y109" s="45"/>
      <c r="Z109" s="45"/>
      <c r="AA109" s="45"/>
      <c r="AB109" s="45"/>
      <c r="AC109" s="144"/>
      <c r="AD109" s="144"/>
      <c r="AE109" s="45"/>
      <c r="AF109" s="45"/>
      <c r="AG109" s="144"/>
      <c r="AH109" s="144"/>
      <c r="AI109" s="144"/>
      <c r="AJ109" s="22"/>
      <c r="AK109" s="22"/>
      <c r="AL109" s="144"/>
      <c r="AM109" s="22"/>
      <c r="AN109" s="22"/>
      <c r="AO109" s="144"/>
      <c r="AP109" s="22"/>
      <c r="AQ109" s="22"/>
      <c r="AR109" s="144"/>
      <c r="AS109" s="22"/>
      <c r="AT109" s="22"/>
      <c r="AU109" s="144"/>
      <c r="AV109" s="22"/>
      <c r="AW109" s="22"/>
      <c r="AX109" s="144"/>
      <c r="AY109" s="144"/>
      <c r="AZ109" s="22"/>
      <c r="BA109" s="144"/>
      <c r="BB109" s="144"/>
      <c r="BC109" s="144"/>
      <c r="BD109" s="144"/>
      <c r="BE109" s="144"/>
      <c r="BF109" s="22"/>
      <c r="BG109" s="144"/>
      <c r="BH109" s="144"/>
      <c r="BI109" s="22"/>
      <c r="BJ109" s="144"/>
      <c r="BK109" s="22"/>
      <c r="BL109" s="144"/>
      <c r="BM109" s="144"/>
      <c r="BN109" s="22"/>
      <c r="BO109" s="144"/>
      <c r="BP109" s="144"/>
      <c r="BQ109" s="22"/>
      <c r="BR109" s="22"/>
      <c r="BS109" s="144"/>
      <c r="BT109" s="22"/>
      <c r="BU109" s="22"/>
      <c r="BV109" s="144"/>
      <c r="BW109" s="22"/>
      <c r="BX109" s="22"/>
      <c r="BY109" s="144"/>
      <c r="BZ109" s="22"/>
      <c r="CA109" s="22"/>
      <c r="CB109" s="144"/>
      <c r="CC109" s="22"/>
      <c r="CD109" s="22"/>
      <c r="CE109" s="144"/>
      <c r="CF109" s="22"/>
      <c r="CG109" s="22"/>
      <c r="CH109" s="144"/>
      <c r="CI109" s="22"/>
      <c r="CJ109" s="22"/>
      <c r="CK109" s="144"/>
    </row>
    <row r="110" spans="1:89" ht="15.75" customHeight="1" x14ac:dyDescent="0.45">
      <c r="A110" s="22"/>
      <c r="B110" s="22"/>
      <c r="C110" s="12"/>
      <c r="D110" s="12"/>
      <c r="E110" s="155"/>
      <c r="F110" s="144"/>
      <c r="G110" s="12"/>
      <c r="H110" s="22"/>
      <c r="I110" s="22"/>
      <c r="J110" s="22"/>
      <c r="K110" s="145"/>
      <c r="L110" s="144"/>
      <c r="M110" s="144"/>
      <c r="N110" s="152"/>
      <c r="O110" s="22"/>
      <c r="P110" s="74"/>
      <c r="Q110" s="22"/>
      <c r="R110" s="74"/>
      <c r="S110" s="45"/>
      <c r="T110" s="158"/>
      <c r="U110" s="45"/>
      <c r="V110" s="45"/>
      <c r="W110" s="45"/>
      <c r="X110" s="45"/>
      <c r="Y110" s="45"/>
      <c r="Z110" s="45"/>
      <c r="AA110" s="45"/>
      <c r="AB110" s="45"/>
      <c r="AC110" s="144"/>
      <c r="AD110" s="144"/>
      <c r="AE110" s="45"/>
      <c r="AF110" s="45"/>
      <c r="AG110" s="144"/>
      <c r="AH110" s="144"/>
      <c r="AI110" s="144"/>
      <c r="AJ110" s="22"/>
      <c r="AK110" s="22"/>
      <c r="AL110" s="144"/>
      <c r="AM110" s="22"/>
      <c r="AN110" s="22"/>
      <c r="AO110" s="144"/>
      <c r="AP110" s="22"/>
      <c r="AQ110" s="22"/>
      <c r="AR110" s="144"/>
      <c r="AS110" s="22"/>
      <c r="AT110" s="22"/>
      <c r="AU110" s="144"/>
      <c r="AV110" s="22"/>
      <c r="AW110" s="22"/>
      <c r="AX110" s="144"/>
      <c r="AY110" s="144"/>
      <c r="AZ110" s="22"/>
      <c r="BA110" s="144"/>
      <c r="BB110" s="144"/>
      <c r="BC110" s="144"/>
      <c r="BD110" s="144"/>
      <c r="BE110" s="144"/>
      <c r="BF110" s="22"/>
      <c r="BG110" s="144"/>
      <c r="BH110" s="144"/>
      <c r="BI110" s="22"/>
      <c r="BJ110" s="144"/>
      <c r="BK110" s="22"/>
      <c r="BL110" s="144"/>
      <c r="BM110" s="144"/>
      <c r="BN110" s="22"/>
      <c r="BO110" s="144"/>
      <c r="BP110" s="144"/>
      <c r="BQ110" s="22"/>
      <c r="BR110" s="22"/>
      <c r="BS110" s="144"/>
      <c r="BT110" s="22"/>
      <c r="BU110" s="22"/>
      <c r="BV110" s="144"/>
      <c r="BW110" s="22"/>
      <c r="BX110" s="22"/>
      <c r="BY110" s="144"/>
      <c r="BZ110" s="22"/>
      <c r="CA110" s="22"/>
      <c r="CB110" s="144"/>
      <c r="CC110" s="22"/>
      <c r="CD110" s="22"/>
      <c r="CE110" s="144"/>
      <c r="CF110" s="22"/>
      <c r="CG110" s="22"/>
      <c r="CH110" s="144"/>
      <c r="CI110" s="22"/>
      <c r="CJ110" s="22"/>
      <c r="CK110" s="144"/>
    </row>
    <row r="111" spans="1:89" ht="15.75" customHeight="1" x14ac:dyDescent="0.45">
      <c r="A111" s="22"/>
      <c r="B111" s="22"/>
      <c r="C111" s="12"/>
      <c r="D111" s="12"/>
      <c r="E111" s="155"/>
      <c r="F111" s="144"/>
      <c r="G111" s="12"/>
      <c r="H111" s="22"/>
      <c r="I111" s="22"/>
      <c r="J111" s="22"/>
      <c r="K111" s="145"/>
      <c r="L111" s="144"/>
      <c r="M111" s="144"/>
      <c r="N111" s="152"/>
      <c r="O111" s="22"/>
      <c r="P111" s="74"/>
      <c r="Q111" s="22"/>
      <c r="R111" s="74"/>
      <c r="S111" s="45"/>
      <c r="T111" s="158"/>
      <c r="U111" s="45"/>
      <c r="V111" s="45"/>
      <c r="W111" s="45"/>
      <c r="X111" s="45"/>
      <c r="Y111" s="45"/>
      <c r="Z111" s="45"/>
      <c r="AA111" s="45"/>
      <c r="AB111" s="45"/>
      <c r="AC111" s="144"/>
      <c r="AD111" s="144"/>
      <c r="AE111" s="45"/>
      <c r="AF111" s="45"/>
      <c r="AG111" s="144"/>
      <c r="AH111" s="144"/>
      <c r="AI111" s="144"/>
      <c r="AJ111" s="22"/>
      <c r="AK111" s="22"/>
      <c r="AL111" s="144"/>
      <c r="AM111" s="22"/>
      <c r="AN111" s="22"/>
      <c r="AO111" s="144"/>
      <c r="AP111" s="22"/>
      <c r="AQ111" s="22"/>
      <c r="AR111" s="144"/>
      <c r="AS111" s="22"/>
      <c r="AT111" s="22"/>
      <c r="AU111" s="144"/>
      <c r="AV111" s="22"/>
      <c r="AW111" s="22"/>
      <c r="AX111" s="144"/>
      <c r="AY111" s="144"/>
      <c r="AZ111" s="22"/>
      <c r="BA111" s="144"/>
      <c r="BB111" s="144"/>
      <c r="BC111" s="144"/>
      <c r="BD111" s="144"/>
      <c r="BE111" s="144"/>
      <c r="BF111" s="22"/>
      <c r="BG111" s="144"/>
      <c r="BH111" s="144"/>
      <c r="BI111" s="22"/>
      <c r="BJ111" s="144"/>
      <c r="BK111" s="22"/>
      <c r="BL111" s="144"/>
      <c r="BM111" s="144"/>
      <c r="BN111" s="22"/>
      <c r="BO111" s="144"/>
      <c r="BP111" s="144"/>
      <c r="BQ111" s="22"/>
      <c r="BR111" s="22"/>
      <c r="BS111" s="144"/>
      <c r="BT111" s="22"/>
      <c r="BU111" s="22"/>
      <c r="BV111" s="144"/>
      <c r="BW111" s="22"/>
      <c r="BX111" s="22"/>
      <c r="BY111" s="144"/>
      <c r="BZ111" s="22"/>
      <c r="CA111" s="22"/>
      <c r="CB111" s="144"/>
      <c r="CC111" s="22"/>
      <c r="CD111" s="22"/>
      <c r="CE111" s="144"/>
      <c r="CF111" s="22"/>
      <c r="CG111" s="22"/>
      <c r="CH111" s="144"/>
      <c r="CI111" s="22"/>
      <c r="CJ111" s="22"/>
      <c r="CK111" s="144"/>
    </row>
    <row r="112" spans="1:89" ht="15.75" customHeight="1" x14ac:dyDescent="0.45">
      <c r="A112" s="22"/>
      <c r="B112" s="22"/>
      <c r="C112" s="12"/>
      <c r="D112" s="12"/>
      <c r="E112" s="155"/>
      <c r="F112" s="144"/>
      <c r="G112" s="12"/>
      <c r="H112" s="22"/>
      <c r="I112" s="22"/>
      <c r="J112" s="22"/>
      <c r="K112" s="145"/>
      <c r="L112" s="144"/>
      <c r="M112" s="144"/>
      <c r="N112" s="152"/>
      <c r="O112" s="22"/>
      <c r="P112" s="74"/>
      <c r="Q112" s="22"/>
      <c r="R112" s="74"/>
      <c r="S112" s="45"/>
      <c r="T112" s="158"/>
      <c r="U112" s="45"/>
      <c r="V112" s="45"/>
      <c r="W112" s="45"/>
      <c r="X112" s="45"/>
      <c r="Y112" s="45"/>
      <c r="Z112" s="45"/>
      <c r="AA112" s="45"/>
      <c r="AB112" s="45"/>
      <c r="AC112" s="144"/>
      <c r="AD112" s="144"/>
      <c r="AE112" s="45"/>
      <c r="AF112" s="45"/>
      <c r="AG112" s="144"/>
      <c r="AH112" s="144"/>
      <c r="AI112" s="144"/>
      <c r="AJ112" s="22"/>
      <c r="AK112" s="22"/>
      <c r="AL112" s="144"/>
      <c r="AM112" s="22"/>
      <c r="AN112" s="22"/>
      <c r="AO112" s="144"/>
      <c r="AP112" s="22"/>
      <c r="AQ112" s="22"/>
      <c r="AR112" s="144"/>
      <c r="AS112" s="22"/>
      <c r="AT112" s="22"/>
      <c r="AU112" s="144"/>
      <c r="AV112" s="22"/>
      <c r="AW112" s="22"/>
      <c r="AX112" s="144"/>
      <c r="AY112" s="144"/>
      <c r="AZ112" s="22"/>
      <c r="BA112" s="144"/>
      <c r="BB112" s="144"/>
      <c r="BC112" s="144"/>
      <c r="BD112" s="144"/>
      <c r="BE112" s="144"/>
      <c r="BF112" s="22"/>
      <c r="BG112" s="144"/>
      <c r="BH112" s="144"/>
      <c r="BI112" s="22"/>
      <c r="BJ112" s="144"/>
      <c r="BK112" s="22"/>
      <c r="BL112" s="144"/>
      <c r="BM112" s="144"/>
      <c r="BN112" s="22"/>
      <c r="BO112" s="144"/>
      <c r="BP112" s="144"/>
      <c r="BQ112" s="22"/>
      <c r="BR112" s="22"/>
      <c r="BS112" s="144"/>
      <c r="BT112" s="22"/>
      <c r="BU112" s="22"/>
      <c r="BV112" s="144"/>
      <c r="BW112" s="22"/>
      <c r="BX112" s="22"/>
      <c r="BY112" s="144"/>
      <c r="BZ112" s="22"/>
      <c r="CA112" s="22"/>
      <c r="CB112" s="144"/>
      <c r="CC112" s="22"/>
      <c r="CD112" s="22"/>
      <c r="CE112" s="144"/>
      <c r="CF112" s="22"/>
      <c r="CG112" s="22"/>
      <c r="CH112" s="144"/>
      <c r="CI112" s="22"/>
      <c r="CJ112" s="22"/>
      <c r="CK112" s="144"/>
    </row>
    <row r="113" spans="1:89" ht="15.75" customHeight="1" x14ac:dyDescent="0.45">
      <c r="A113" s="22"/>
      <c r="B113" s="22"/>
      <c r="C113" s="12"/>
      <c r="D113" s="12"/>
      <c r="E113" s="155"/>
      <c r="F113" s="144"/>
      <c r="G113" s="12"/>
      <c r="H113" s="22"/>
      <c r="I113" s="22"/>
      <c r="J113" s="22"/>
      <c r="K113" s="145"/>
      <c r="L113" s="144"/>
      <c r="M113" s="144"/>
      <c r="N113" s="152"/>
      <c r="O113" s="22"/>
      <c r="P113" s="74"/>
      <c r="Q113" s="22"/>
      <c r="R113" s="74"/>
      <c r="S113" s="45"/>
      <c r="T113" s="158"/>
      <c r="U113" s="45"/>
      <c r="V113" s="45"/>
      <c r="W113" s="45"/>
      <c r="X113" s="45"/>
      <c r="Y113" s="45"/>
      <c r="Z113" s="45"/>
      <c r="AA113" s="45"/>
      <c r="AB113" s="45"/>
      <c r="AC113" s="144"/>
      <c r="AD113" s="144"/>
      <c r="AE113" s="45"/>
      <c r="AF113" s="45"/>
      <c r="AG113" s="144"/>
      <c r="AH113" s="144"/>
      <c r="AI113" s="144"/>
      <c r="AJ113" s="22"/>
      <c r="AK113" s="22"/>
      <c r="AL113" s="144"/>
      <c r="AM113" s="22"/>
      <c r="AN113" s="22"/>
      <c r="AO113" s="144"/>
      <c r="AP113" s="22"/>
      <c r="AQ113" s="22"/>
      <c r="AR113" s="144"/>
      <c r="AS113" s="22"/>
      <c r="AT113" s="22"/>
      <c r="AU113" s="144"/>
      <c r="AV113" s="22"/>
      <c r="AW113" s="22"/>
      <c r="AX113" s="144"/>
      <c r="AY113" s="144"/>
      <c r="AZ113" s="22"/>
      <c r="BA113" s="144"/>
      <c r="BB113" s="144"/>
      <c r="BC113" s="144"/>
      <c r="BD113" s="144"/>
      <c r="BE113" s="144"/>
      <c r="BF113" s="22"/>
      <c r="BG113" s="144"/>
      <c r="BH113" s="144"/>
      <c r="BI113" s="22"/>
      <c r="BJ113" s="144"/>
      <c r="BK113" s="22"/>
      <c r="BL113" s="144"/>
      <c r="BM113" s="144"/>
      <c r="BN113" s="22"/>
      <c r="BO113" s="144"/>
      <c r="BP113" s="144"/>
      <c r="BQ113" s="22"/>
      <c r="BR113" s="22"/>
      <c r="BS113" s="144"/>
      <c r="BT113" s="22"/>
      <c r="BU113" s="22"/>
      <c r="BV113" s="144"/>
      <c r="BW113" s="22"/>
      <c r="BX113" s="22"/>
      <c r="BY113" s="144"/>
      <c r="BZ113" s="22"/>
      <c r="CA113" s="22"/>
      <c r="CB113" s="144"/>
      <c r="CC113" s="22"/>
      <c r="CD113" s="22"/>
      <c r="CE113" s="144"/>
      <c r="CF113" s="22"/>
      <c r="CG113" s="22"/>
      <c r="CH113" s="144"/>
      <c r="CI113" s="22"/>
      <c r="CJ113" s="22"/>
      <c r="CK113" s="144"/>
    </row>
    <row r="114" spans="1:89" ht="15.75" customHeight="1" x14ac:dyDescent="0.45">
      <c r="A114" s="22"/>
      <c r="B114" s="22"/>
      <c r="C114" s="12"/>
      <c r="D114" s="12"/>
      <c r="E114" s="155"/>
      <c r="F114" s="144"/>
      <c r="G114" s="12"/>
      <c r="H114" s="22"/>
      <c r="I114" s="22"/>
      <c r="J114" s="22"/>
      <c r="K114" s="145"/>
      <c r="L114" s="144"/>
      <c r="M114" s="144"/>
      <c r="N114" s="152"/>
      <c r="O114" s="22"/>
      <c r="P114" s="74"/>
      <c r="Q114" s="22"/>
      <c r="R114" s="74"/>
      <c r="S114" s="45"/>
      <c r="T114" s="158"/>
      <c r="U114" s="45"/>
      <c r="V114" s="45"/>
      <c r="W114" s="45"/>
      <c r="X114" s="45"/>
      <c r="Y114" s="45"/>
      <c r="Z114" s="45"/>
      <c r="AA114" s="45"/>
      <c r="AB114" s="45"/>
      <c r="AC114" s="144"/>
      <c r="AD114" s="144"/>
      <c r="AE114" s="45"/>
      <c r="AF114" s="45"/>
      <c r="AG114" s="144"/>
      <c r="AH114" s="144"/>
      <c r="AI114" s="144"/>
      <c r="AJ114" s="22"/>
      <c r="AK114" s="22"/>
      <c r="AL114" s="144"/>
      <c r="AM114" s="22"/>
      <c r="AN114" s="22"/>
      <c r="AO114" s="144"/>
      <c r="AP114" s="22"/>
      <c r="AQ114" s="22"/>
      <c r="AR114" s="144"/>
      <c r="AS114" s="22"/>
      <c r="AT114" s="22"/>
      <c r="AU114" s="144"/>
      <c r="AV114" s="22"/>
      <c r="AW114" s="22"/>
      <c r="AX114" s="144"/>
      <c r="AY114" s="144"/>
      <c r="AZ114" s="22"/>
      <c r="BA114" s="144"/>
      <c r="BB114" s="144"/>
      <c r="BC114" s="144"/>
      <c r="BD114" s="144"/>
      <c r="BE114" s="144"/>
      <c r="BF114" s="22"/>
      <c r="BG114" s="144"/>
      <c r="BH114" s="144"/>
      <c r="BI114" s="22"/>
      <c r="BJ114" s="144"/>
      <c r="BK114" s="22"/>
      <c r="BL114" s="144"/>
      <c r="BM114" s="144"/>
      <c r="BN114" s="22"/>
      <c r="BO114" s="144"/>
      <c r="BP114" s="144"/>
      <c r="BQ114" s="22"/>
      <c r="BR114" s="22"/>
      <c r="BS114" s="144"/>
      <c r="BT114" s="22"/>
      <c r="BU114" s="22"/>
      <c r="BV114" s="144"/>
      <c r="BW114" s="22"/>
      <c r="BX114" s="22"/>
      <c r="BY114" s="144"/>
      <c r="BZ114" s="22"/>
      <c r="CA114" s="22"/>
      <c r="CB114" s="144"/>
      <c r="CC114" s="22"/>
      <c r="CD114" s="22"/>
      <c r="CE114" s="144"/>
      <c r="CF114" s="22"/>
      <c r="CG114" s="22"/>
      <c r="CH114" s="144"/>
      <c r="CI114" s="22"/>
      <c r="CJ114" s="22"/>
      <c r="CK114" s="144"/>
    </row>
    <row r="115" spans="1:89" ht="15.75" customHeight="1" x14ac:dyDescent="0.45">
      <c r="A115" s="22"/>
      <c r="B115" s="22"/>
      <c r="C115" s="12"/>
      <c r="D115" s="12"/>
      <c r="E115" s="155"/>
      <c r="F115" s="144"/>
      <c r="G115" s="12"/>
      <c r="H115" s="22"/>
      <c r="I115" s="22"/>
      <c r="J115" s="22"/>
      <c r="K115" s="145"/>
      <c r="L115" s="144"/>
      <c r="M115" s="144"/>
      <c r="N115" s="152"/>
      <c r="O115" s="22"/>
      <c r="P115" s="74"/>
      <c r="Q115" s="22"/>
      <c r="R115" s="74"/>
      <c r="S115" s="45"/>
      <c r="T115" s="158"/>
      <c r="U115" s="45"/>
      <c r="V115" s="45"/>
      <c r="W115" s="45"/>
      <c r="X115" s="45"/>
      <c r="Y115" s="45"/>
      <c r="Z115" s="45"/>
      <c r="AA115" s="45"/>
      <c r="AB115" s="45"/>
      <c r="AC115" s="144"/>
      <c r="AD115" s="144"/>
      <c r="AE115" s="45"/>
      <c r="AF115" s="45"/>
      <c r="AG115" s="144"/>
      <c r="AH115" s="144"/>
      <c r="AI115" s="144"/>
      <c r="AJ115" s="22"/>
      <c r="AK115" s="22"/>
      <c r="AL115" s="144"/>
      <c r="AM115" s="22"/>
      <c r="AN115" s="22"/>
      <c r="AO115" s="144"/>
      <c r="AP115" s="22"/>
      <c r="AQ115" s="22"/>
      <c r="AR115" s="144"/>
      <c r="AS115" s="22"/>
      <c r="AT115" s="22"/>
      <c r="AU115" s="144"/>
      <c r="AV115" s="22"/>
      <c r="AW115" s="22"/>
      <c r="AX115" s="144"/>
      <c r="AY115" s="144"/>
      <c r="AZ115" s="22"/>
      <c r="BA115" s="144"/>
      <c r="BB115" s="144"/>
      <c r="BC115" s="144"/>
      <c r="BD115" s="144"/>
      <c r="BE115" s="144"/>
      <c r="BF115" s="22"/>
      <c r="BG115" s="144"/>
      <c r="BH115" s="144"/>
      <c r="BI115" s="22"/>
      <c r="BJ115" s="144"/>
      <c r="BK115" s="22"/>
      <c r="BL115" s="144"/>
      <c r="BM115" s="144"/>
      <c r="BN115" s="22"/>
      <c r="BO115" s="144"/>
      <c r="BP115" s="144"/>
      <c r="BQ115" s="22"/>
      <c r="BR115" s="22"/>
      <c r="BS115" s="144"/>
      <c r="BT115" s="22"/>
      <c r="BU115" s="22"/>
      <c r="BV115" s="144"/>
      <c r="BW115" s="22"/>
      <c r="BX115" s="22"/>
      <c r="BY115" s="144"/>
      <c r="BZ115" s="22"/>
      <c r="CA115" s="22"/>
      <c r="CB115" s="144"/>
      <c r="CC115" s="22"/>
      <c r="CD115" s="22"/>
      <c r="CE115" s="144"/>
      <c r="CF115" s="22"/>
      <c r="CG115" s="22"/>
      <c r="CH115" s="144"/>
      <c r="CI115" s="22"/>
      <c r="CJ115" s="22"/>
      <c r="CK115" s="144"/>
    </row>
    <row r="116" spans="1:89" ht="15.75" customHeight="1" x14ac:dyDescent="0.45">
      <c r="A116" s="22"/>
      <c r="B116" s="22"/>
      <c r="C116" s="12"/>
      <c r="D116" s="12"/>
      <c r="E116" s="155"/>
      <c r="F116" s="144"/>
      <c r="G116" s="12"/>
      <c r="H116" s="22"/>
      <c r="I116" s="22"/>
      <c r="J116" s="22"/>
      <c r="K116" s="145"/>
      <c r="L116" s="144"/>
      <c r="M116" s="144"/>
      <c r="N116" s="152"/>
      <c r="O116" s="22"/>
      <c r="P116" s="74"/>
      <c r="Q116" s="22"/>
      <c r="R116" s="74"/>
      <c r="S116" s="45"/>
      <c r="T116" s="158"/>
      <c r="U116" s="45"/>
      <c r="V116" s="45"/>
      <c r="W116" s="45"/>
      <c r="X116" s="45"/>
      <c r="Y116" s="45"/>
      <c r="Z116" s="45"/>
      <c r="AA116" s="45"/>
      <c r="AB116" s="45"/>
      <c r="AC116" s="144"/>
      <c r="AD116" s="144"/>
      <c r="AE116" s="45"/>
      <c r="AF116" s="45"/>
      <c r="AG116" s="144"/>
      <c r="AH116" s="144"/>
      <c r="AI116" s="144"/>
      <c r="AJ116" s="22"/>
      <c r="AK116" s="22"/>
      <c r="AL116" s="144"/>
      <c r="AM116" s="22"/>
      <c r="AN116" s="22"/>
      <c r="AO116" s="144"/>
      <c r="AP116" s="22"/>
      <c r="AQ116" s="22"/>
      <c r="AR116" s="144"/>
      <c r="AS116" s="22"/>
      <c r="AT116" s="22"/>
      <c r="AU116" s="144"/>
      <c r="AV116" s="22"/>
      <c r="AW116" s="22"/>
      <c r="AX116" s="144"/>
      <c r="AY116" s="144"/>
      <c r="AZ116" s="22"/>
      <c r="BA116" s="144"/>
      <c r="BB116" s="144"/>
      <c r="BC116" s="144"/>
      <c r="BD116" s="144"/>
      <c r="BE116" s="144"/>
      <c r="BF116" s="22"/>
      <c r="BG116" s="144"/>
      <c r="BH116" s="144"/>
      <c r="BI116" s="22"/>
      <c r="BJ116" s="144"/>
      <c r="BK116" s="22"/>
      <c r="BL116" s="144"/>
      <c r="BM116" s="144"/>
      <c r="BN116" s="22"/>
      <c r="BO116" s="144"/>
      <c r="BP116" s="144"/>
      <c r="BQ116" s="22"/>
      <c r="BR116" s="22"/>
      <c r="BS116" s="144"/>
      <c r="BT116" s="22"/>
      <c r="BU116" s="22"/>
      <c r="BV116" s="144"/>
      <c r="BW116" s="22"/>
      <c r="BX116" s="22"/>
      <c r="BY116" s="144"/>
      <c r="BZ116" s="22"/>
      <c r="CA116" s="22"/>
      <c r="CB116" s="144"/>
      <c r="CC116" s="22"/>
      <c r="CD116" s="22"/>
      <c r="CE116" s="144"/>
      <c r="CF116" s="22"/>
      <c r="CG116" s="22"/>
      <c r="CH116" s="144"/>
      <c r="CI116" s="22"/>
      <c r="CJ116" s="22"/>
      <c r="CK116" s="144"/>
    </row>
    <row r="117" spans="1:89" ht="15.75" customHeight="1" x14ac:dyDescent="0.45">
      <c r="A117" s="22"/>
      <c r="B117" s="22"/>
      <c r="C117" s="12"/>
      <c r="D117" s="12"/>
      <c r="E117" s="155"/>
      <c r="F117" s="144"/>
      <c r="G117" s="12"/>
      <c r="H117" s="22"/>
      <c r="I117" s="22"/>
      <c r="J117" s="22"/>
      <c r="K117" s="145"/>
      <c r="L117" s="144"/>
      <c r="M117" s="144"/>
      <c r="N117" s="152"/>
      <c r="O117" s="22"/>
      <c r="P117" s="74"/>
      <c r="Q117" s="22"/>
      <c r="R117" s="74"/>
      <c r="S117" s="45"/>
      <c r="T117" s="158"/>
      <c r="U117" s="45"/>
      <c r="V117" s="45"/>
      <c r="W117" s="45"/>
      <c r="X117" s="45"/>
      <c r="Y117" s="45"/>
      <c r="Z117" s="45"/>
      <c r="AA117" s="45"/>
      <c r="AB117" s="45"/>
      <c r="AC117" s="144"/>
      <c r="AD117" s="144"/>
      <c r="AE117" s="45"/>
      <c r="AF117" s="45"/>
      <c r="AG117" s="144"/>
      <c r="AH117" s="144"/>
      <c r="AI117" s="144"/>
      <c r="AJ117" s="22"/>
      <c r="AK117" s="22"/>
      <c r="AL117" s="144"/>
      <c r="AM117" s="22"/>
      <c r="AN117" s="22"/>
      <c r="AO117" s="144"/>
      <c r="AP117" s="22"/>
      <c r="AQ117" s="22"/>
      <c r="AR117" s="144"/>
      <c r="AS117" s="22"/>
      <c r="AT117" s="22"/>
      <c r="AU117" s="144"/>
      <c r="AV117" s="22"/>
      <c r="AW117" s="22"/>
      <c r="AX117" s="144"/>
      <c r="AY117" s="144"/>
      <c r="AZ117" s="22"/>
      <c r="BA117" s="144"/>
      <c r="BB117" s="144"/>
      <c r="BC117" s="144"/>
      <c r="BD117" s="144"/>
      <c r="BE117" s="144"/>
      <c r="BF117" s="22"/>
      <c r="BG117" s="144"/>
      <c r="BH117" s="144"/>
      <c r="BI117" s="22"/>
      <c r="BJ117" s="144"/>
      <c r="BK117" s="22"/>
      <c r="BL117" s="144"/>
      <c r="BM117" s="144"/>
      <c r="BN117" s="22"/>
      <c r="BO117" s="144"/>
      <c r="BP117" s="144"/>
      <c r="BQ117" s="22"/>
      <c r="BR117" s="22"/>
      <c r="BS117" s="144"/>
      <c r="BT117" s="22"/>
      <c r="BU117" s="22"/>
      <c r="BV117" s="144"/>
      <c r="BW117" s="22"/>
      <c r="BX117" s="22"/>
      <c r="BY117" s="144"/>
      <c r="BZ117" s="22"/>
      <c r="CA117" s="22"/>
      <c r="CB117" s="144"/>
      <c r="CC117" s="22"/>
      <c r="CD117" s="22"/>
      <c r="CE117" s="144"/>
      <c r="CF117" s="22"/>
      <c r="CG117" s="22"/>
      <c r="CH117" s="144"/>
      <c r="CI117" s="22"/>
      <c r="CJ117" s="22"/>
      <c r="CK117" s="144"/>
    </row>
    <row r="118" spans="1:89" ht="15.75" customHeight="1" x14ac:dyDescent="0.45">
      <c r="A118" s="22"/>
      <c r="B118" s="22"/>
      <c r="C118" s="12"/>
      <c r="D118" s="12"/>
      <c r="E118" s="155"/>
      <c r="F118" s="144"/>
      <c r="G118" s="12"/>
      <c r="H118" s="22"/>
      <c r="I118" s="22"/>
      <c r="J118" s="22"/>
      <c r="K118" s="145"/>
      <c r="L118" s="144"/>
      <c r="M118" s="144"/>
      <c r="N118" s="152"/>
      <c r="O118" s="22"/>
      <c r="P118" s="74"/>
      <c r="Q118" s="22"/>
      <c r="R118" s="74"/>
      <c r="S118" s="45"/>
      <c r="T118" s="158"/>
      <c r="U118" s="45"/>
      <c r="V118" s="45"/>
      <c r="W118" s="45"/>
      <c r="X118" s="45"/>
      <c r="Y118" s="45"/>
      <c r="Z118" s="45"/>
      <c r="AA118" s="45"/>
      <c r="AB118" s="45"/>
      <c r="AC118" s="144"/>
      <c r="AD118" s="144"/>
      <c r="AE118" s="45"/>
      <c r="AF118" s="45"/>
      <c r="AG118" s="144"/>
      <c r="AH118" s="144"/>
      <c r="AI118" s="144"/>
      <c r="AJ118" s="22"/>
      <c r="AK118" s="22"/>
      <c r="AL118" s="144"/>
      <c r="AM118" s="22"/>
      <c r="AN118" s="22"/>
      <c r="AO118" s="144"/>
      <c r="AP118" s="22"/>
      <c r="AQ118" s="22"/>
      <c r="AR118" s="144"/>
      <c r="AS118" s="22"/>
      <c r="AT118" s="22"/>
      <c r="AU118" s="144"/>
      <c r="AV118" s="22"/>
      <c r="AW118" s="22"/>
      <c r="AX118" s="144"/>
      <c r="AY118" s="144"/>
      <c r="AZ118" s="22"/>
      <c r="BA118" s="144"/>
      <c r="BB118" s="144"/>
      <c r="BC118" s="144"/>
      <c r="BD118" s="144"/>
      <c r="BE118" s="144"/>
      <c r="BF118" s="22"/>
      <c r="BG118" s="144"/>
      <c r="BH118" s="144"/>
      <c r="BI118" s="22"/>
      <c r="BJ118" s="144"/>
      <c r="BK118" s="22"/>
      <c r="BL118" s="144"/>
      <c r="BM118" s="144"/>
      <c r="BN118" s="22"/>
      <c r="BO118" s="144"/>
      <c r="BP118" s="144"/>
      <c r="BQ118" s="22"/>
      <c r="BR118" s="22"/>
      <c r="BS118" s="144"/>
      <c r="BT118" s="22"/>
      <c r="BU118" s="22"/>
      <c r="BV118" s="144"/>
      <c r="BW118" s="22"/>
      <c r="BX118" s="22"/>
      <c r="BY118" s="144"/>
      <c r="BZ118" s="22"/>
      <c r="CA118" s="22"/>
      <c r="CB118" s="144"/>
      <c r="CC118" s="22"/>
      <c r="CD118" s="22"/>
      <c r="CE118" s="144"/>
      <c r="CF118" s="22"/>
      <c r="CG118" s="22"/>
      <c r="CH118" s="144"/>
      <c r="CI118" s="22"/>
      <c r="CJ118" s="22"/>
      <c r="CK118" s="144"/>
    </row>
    <row r="119" spans="1:89" ht="15.75" customHeight="1" x14ac:dyDescent="0.45">
      <c r="A119" s="22"/>
      <c r="B119" s="22"/>
      <c r="C119" s="12"/>
      <c r="D119" s="12"/>
      <c r="E119" s="155"/>
      <c r="F119" s="144"/>
      <c r="G119" s="12"/>
      <c r="H119" s="22"/>
      <c r="I119" s="22"/>
      <c r="J119" s="22"/>
      <c r="K119" s="145"/>
      <c r="L119" s="144"/>
      <c r="M119" s="144"/>
      <c r="N119" s="152"/>
      <c r="O119" s="22"/>
      <c r="P119" s="74"/>
      <c r="Q119" s="22"/>
      <c r="R119" s="74"/>
      <c r="S119" s="45"/>
      <c r="T119" s="158"/>
      <c r="U119" s="45"/>
      <c r="V119" s="45"/>
      <c r="W119" s="45"/>
      <c r="X119" s="45"/>
      <c r="Y119" s="45"/>
      <c r="Z119" s="45"/>
      <c r="AA119" s="45"/>
      <c r="AB119" s="45"/>
      <c r="AC119" s="144"/>
      <c r="AD119" s="144"/>
      <c r="AE119" s="45"/>
      <c r="AF119" s="45"/>
      <c r="AG119" s="144"/>
      <c r="AH119" s="144"/>
      <c r="AI119" s="144"/>
      <c r="AJ119" s="22"/>
      <c r="AK119" s="22"/>
      <c r="AL119" s="144"/>
      <c r="AM119" s="22"/>
      <c r="AN119" s="22"/>
      <c r="AO119" s="144"/>
      <c r="AP119" s="22"/>
      <c r="AQ119" s="22"/>
      <c r="AR119" s="144"/>
      <c r="AS119" s="22"/>
      <c r="AT119" s="22"/>
      <c r="AU119" s="144"/>
      <c r="AV119" s="22"/>
      <c r="AW119" s="22"/>
      <c r="AX119" s="144"/>
      <c r="AY119" s="144"/>
      <c r="AZ119" s="22"/>
      <c r="BA119" s="144"/>
      <c r="BB119" s="144"/>
      <c r="BC119" s="144"/>
      <c r="BD119" s="144"/>
      <c r="BE119" s="144"/>
      <c r="BF119" s="22"/>
      <c r="BG119" s="144"/>
      <c r="BH119" s="144"/>
      <c r="BI119" s="22"/>
      <c r="BJ119" s="144"/>
      <c r="BK119" s="22"/>
      <c r="BL119" s="144"/>
      <c r="BM119" s="144"/>
      <c r="BN119" s="22"/>
      <c r="BO119" s="144"/>
      <c r="BP119" s="144"/>
      <c r="BQ119" s="22"/>
      <c r="BR119" s="22"/>
      <c r="BS119" s="144"/>
      <c r="BT119" s="22"/>
      <c r="BU119" s="22"/>
      <c r="BV119" s="144"/>
      <c r="BW119" s="22"/>
      <c r="BX119" s="22"/>
      <c r="BY119" s="144"/>
      <c r="BZ119" s="22"/>
      <c r="CA119" s="22"/>
      <c r="CB119" s="144"/>
      <c r="CC119" s="22"/>
      <c r="CD119" s="22"/>
      <c r="CE119" s="144"/>
      <c r="CF119" s="22"/>
      <c r="CG119" s="22"/>
      <c r="CH119" s="144"/>
      <c r="CI119" s="22"/>
      <c r="CJ119" s="22"/>
      <c r="CK119" s="144"/>
    </row>
    <row r="120" spans="1:89" ht="15.75" customHeight="1" x14ac:dyDescent="0.45">
      <c r="A120" s="22"/>
      <c r="B120" s="22"/>
      <c r="C120" s="12"/>
      <c r="D120" s="12"/>
      <c r="E120" s="155"/>
      <c r="F120" s="144"/>
      <c r="G120" s="12"/>
      <c r="H120" s="22"/>
      <c r="I120" s="22"/>
      <c r="J120" s="22"/>
      <c r="K120" s="145"/>
      <c r="L120" s="144"/>
      <c r="M120" s="144"/>
      <c r="N120" s="152"/>
      <c r="O120" s="22"/>
      <c r="P120" s="74"/>
      <c r="Q120" s="22"/>
      <c r="R120" s="74"/>
      <c r="S120" s="45"/>
      <c r="T120" s="158"/>
      <c r="U120" s="45"/>
      <c r="V120" s="45"/>
      <c r="W120" s="45"/>
      <c r="X120" s="45"/>
      <c r="Y120" s="45"/>
      <c r="Z120" s="45"/>
      <c r="AA120" s="45"/>
      <c r="AB120" s="45"/>
      <c r="AC120" s="144"/>
      <c r="AD120" s="144"/>
      <c r="AE120" s="45"/>
      <c r="AF120" s="45"/>
      <c r="AG120" s="144"/>
      <c r="AH120" s="144"/>
      <c r="AI120" s="144"/>
      <c r="AJ120" s="22"/>
      <c r="AK120" s="22"/>
      <c r="AL120" s="144"/>
      <c r="AM120" s="22"/>
      <c r="AN120" s="22"/>
      <c r="AO120" s="144"/>
      <c r="AP120" s="22"/>
      <c r="AQ120" s="22"/>
      <c r="AR120" s="144"/>
      <c r="AS120" s="22"/>
      <c r="AT120" s="22"/>
      <c r="AU120" s="144"/>
      <c r="AV120" s="22"/>
      <c r="AW120" s="22"/>
      <c r="AX120" s="144"/>
      <c r="AY120" s="144"/>
      <c r="AZ120" s="22"/>
      <c r="BA120" s="144"/>
      <c r="BB120" s="144"/>
      <c r="BC120" s="144"/>
      <c r="BD120" s="144"/>
      <c r="BE120" s="144"/>
      <c r="BF120" s="22"/>
      <c r="BG120" s="144"/>
      <c r="BH120" s="144"/>
      <c r="BI120" s="22"/>
      <c r="BJ120" s="144"/>
      <c r="BK120" s="22"/>
      <c r="BL120" s="144"/>
      <c r="BM120" s="144"/>
      <c r="BN120" s="22"/>
      <c r="BO120" s="144"/>
      <c r="BP120" s="144"/>
      <c r="BQ120" s="22"/>
      <c r="BR120" s="22"/>
      <c r="BS120" s="144"/>
      <c r="BT120" s="22"/>
      <c r="BU120" s="22"/>
      <c r="BV120" s="144"/>
      <c r="BW120" s="22"/>
      <c r="BX120" s="22"/>
      <c r="BY120" s="144"/>
      <c r="BZ120" s="22"/>
      <c r="CA120" s="22"/>
      <c r="CB120" s="144"/>
      <c r="CC120" s="22"/>
      <c r="CD120" s="22"/>
      <c r="CE120" s="144"/>
      <c r="CF120" s="22"/>
      <c r="CG120" s="22"/>
      <c r="CH120" s="144"/>
      <c r="CI120" s="22"/>
      <c r="CJ120" s="22"/>
      <c r="CK120" s="144"/>
    </row>
    <row r="121" spans="1:89" ht="15.75" customHeight="1" x14ac:dyDescent="0.45">
      <c r="A121" s="22"/>
      <c r="B121" s="22"/>
      <c r="C121" s="12"/>
      <c r="D121" s="12"/>
      <c r="E121" s="155"/>
      <c r="F121" s="144"/>
      <c r="G121" s="12"/>
      <c r="H121" s="22"/>
      <c r="I121" s="22"/>
      <c r="J121" s="22"/>
      <c r="K121" s="145"/>
      <c r="L121" s="144"/>
      <c r="M121" s="144"/>
      <c r="N121" s="152"/>
      <c r="O121" s="22"/>
      <c r="P121" s="74"/>
      <c r="Q121" s="22"/>
      <c r="R121" s="74"/>
      <c r="S121" s="45"/>
      <c r="T121" s="158"/>
      <c r="U121" s="45"/>
      <c r="V121" s="45"/>
      <c r="W121" s="45"/>
      <c r="X121" s="45"/>
      <c r="Y121" s="45"/>
      <c r="Z121" s="45"/>
      <c r="AA121" s="45"/>
      <c r="AB121" s="45"/>
      <c r="AC121" s="144"/>
      <c r="AD121" s="144"/>
      <c r="AE121" s="45"/>
      <c r="AF121" s="45"/>
      <c r="AG121" s="144"/>
      <c r="AH121" s="144"/>
      <c r="AI121" s="144"/>
      <c r="AJ121" s="22"/>
      <c r="AK121" s="22"/>
      <c r="AL121" s="144"/>
      <c r="AM121" s="22"/>
      <c r="AN121" s="22"/>
      <c r="AO121" s="144"/>
      <c r="AP121" s="22"/>
      <c r="AQ121" s="22"/>
      <c r="AR121" s="144"/>
      <c r="AS121" s="22"/>
      <c r="AT121" s="22"/>
      <c r="AU121" s="144"/>
      <c r="AV121" s="22"/>
      <c r="AW121" s="22"/>
      <c r="AX121" s="144"/>
      <c r="AY121" s="144"/>
      <c r="AZ121" s="22"/>
      <c r="BA121" s="144"/>
      <c r="BB121" s="144"/>
      <c r="BC121" s="144"/>
      <c r="BD121" s="144"/>
      <c r="BE121" s="144"/>
      <c r="BF121" s="22"/>
      <c r="BG121" s="144"/>
      <c r="BH121" s="144"/>
      <c r="BI121" s="22"/>
      <c r="BJ121" s="144"/>
      <c r="BK121" s="22"/>
      <c r="BL121" s="144"/>
      <c r="BM121" s="144"/>
      <c r="BN121" s="22"/>
      <c r="BO121" s="144"/>
      <c r="BP121" s="144"/>
      <c r="BQ121" s="22"/>
      <c r="BR121" s="22"/>
      <c r="BS121" s="144"/>
      <c r="BT121" s="22"/>
      <c r="BU121" s="22"/>
      <c r="BV121" s="144"/>
      <c r="BW121" s="22"/>
      <c r="BX121" s="22"/>
      <c r="BY121" s="144"/>
      <c r="BZ121" s="22"/>
      <c r="CA121" s="22"/>
      <c r="CB121" s="144"/>
      <c r="CC121" s="22"/>
      <c r="CD121" s="22"/>
      <c r="CE121" s="144"/>
      <c r="CF121" s="22"/>
      <c r="CG121" s="22"/>
      <c r="CH121" s="144"/>
      <c r="CI121" s="22"/>
      <c r="CJ121" s="22"/>
      <c r="CK121" s="144"/>
    </row>
    <row r="122" spans="1:89" ht="15.75" customHeight="1" x14ac:dyDescent="0.45">
      <c r="A122" s="22"/>
      <c r="B122" s="22"/>
      <c r="C122" s="12"/>
      <c r="D122" s="12"/>
      <c r="E122" s="155"/>
      <c r="F122" s="144"/>
      <c r="G122" s="12"/>
      <c r="H122" s="22"/>
      <c r="I122" s="22"/>
      <c r="J122" s="22"/>
      <c r="K122" s="145"/>
      <c r="L122" s="144"/>
      <c r="M122" s="144"/>
      <c r="N122" s="152"/>
      <c r="O122" s="22"/>
      <c r="P122" s="152"/>
      <c r="Q122" s="22"/>
      <c r="R122" s="74"/>
      <c r="S122" s="45"/>
      <c r="T122" s="158"/>
      <c r="U122" s="45"/>
      <c r="V122" s="45"/>
      <c r="W122" s="45"/>
      <c r="X122" s="45"/>
      <c r="Y122" s="45"/>
      <c r="Z122" s="45"/>
      <c r="AA122" s="45"/>
      <c r="AB122" s="45"/>
      <c r="AC122" s="144"/>
      <c r="AD122" s="144"/>
      <c r="AE122" s="45"/>
      <c r="AF122" s="45"/>
      <c r="AG122" s="144"/>
      <c r="AH122" s="144"/>
      <c r="AI122" s="144"/>
      <c r="AJ122" s="22"/>
      <c r="AK122" s="22"/>
      <c r="AL122" s="144"/>
      <c r="AM122" s="22"/>
      <c r="AN122" s="22"/>
      <c r="AO122" s="144"/>
      <c r="AP122" s="22"/>
      <c r="AQ122" s="22"/>
      <c r="AR122" s="144"/>
      <c r="AS122" s="22"/>
      <c r="AT122" s="22"/>
      <c r="AU122" s="144"/>
      <c r="AV122" s="22"/>
      <c r="AW122" s="22"/>
      <c r="AX122" s="144"/>
      <c r="AY122" s="144"/>
      <c r="AZ122" s="22"/>
      <c r="BA122" s="144"/>
      <c r="BB122" s="144"/>
      <c r="BC122" s="144"/>
      <c r="BD122" s="144"/>
      <c r="BE122" s="144"/>
      <c r="BF122" s="22"/>
      <c r="BG122" s="144"/>
      <c r="BH122" s="144"/>
      <c r="BI122" s="22"/>
      <c r="BJ122" s="144"/>
      <c r="BK122" s="22"/>
      <c r="BL122" s="144"/>
      <c r="BM122" s="144"/>
      <c r="BN122" s="22"/>
      <c r="BO122" s="144"/>
      <c r="BP122" s="144"/>
      <c r="BQ122" s="22"/>
      <c r="BR122" s="22"/>
      <c r="BS122" s="144"/>
      <c r="BT122" s="22"/>
      <c r="BU122" s="22"/>
      <c r="BV122" s="144"/>
      <c r="BW122" s="22"/>
      <c r="BX122" s="22"/>
      <c r="BY122" s="144"/>
      <c r="BZ122" s="22"/>
      <c r="CA122" s="22"/>
      <c r="CB122" s="144"/>
      <c r="CC122" s="22"/>
      <c r="CD122" s="22"/>
      <c r="CE122" s="144"/>
      <c r="CF122" s="22"/>
      <c r="CG122" s="22"/>
      <c r="CH122" s="144"/>
      <c r="CI122" s="22"/>
      <c r="CJ122" s="22"/>
      <c r="CK122" s="144"/>
    </row>
    <row r="123" spans="1:89" ht="15.75" customHeight="1" x14ac:dyDescent="0.45">
      <c r="A123" s="22"/>
      <c r="B123" s="22"/>
      <c r="C123" s="12"/>
      <c r="D123" s="12"/>
      <c r="E123" s="155"/>
      <c r="F123" s="144"/>
      <c r="G123" s="12"/>
      <c r="H123" s="22"/>
      <c r="I123" s="22"/>
      <c r="J123" s="22"/>
      <c r="K123" s="145"/>
      <c r="L123" s="144"/>
      <c r="M123" s="144"/>
      <c r="N123" s="152"/>
      <c r="O123" s="22"/>
      <c r="P123" s="152"/>
      <c r="Q123" s="22"/>
      <c r="R123" s="74"/>
      <c r="S123" s="45"/>
      <c r="T123" s="158"/>
      <c r="U123" s="45"/>
      <c r="V123" s="45"/>
      <c r="W123" s="45"/>
      <c r="X123" s="45"/>
      <c r="Y123" s="45"/>
      <c r="Z123" s="45"/>
      <c r="AA123" s="45"/>
      <c r="AB123" s="45"/>
      <c r="AC123" s="144"/>
      <c r="AD123" s="144"/>
      <c r="AE123" s="45"/>
      <c r="AF123" s="45"/>
      <c r="AG123" s="144"/>
      <c r="AH123" s="144"/>
      <c r="AI123" s="144"/>
      <c r="AJ123" s="22"/>
      <c r="AK123" s="22"/>
      <c r="AL123" s="144"/>
      <c r="AM123" s="22"/>
      <c r="AN123" s="22"/>
      <c r="AO123" s="144"/>
      <c r="AP123" s="22"/>
      <c r="AQ123" s="22"/>
      <c r="AR123" s="144"/>
      <c r="AS123" s="22"/>
      <c r="AT123" s="22"/>
      <c r="AU123" s="144"/>
      <c r="AV123" s="22"/>
      <c r="AW123" s="22"/>
      <c r="AX123" s="144"/>
      <c r="AY123" s="144"/>
      <c r="AZ123" s="22"/>
      <c r="BA123" s="144"/>
      <c r="BB123" s="144"/>
      <c r="BC123" s="144"/>
      <c r="BD123" s="144"/>
      <c r="BE123" s="144"/>
      <c r="BF123" s="22"/>
      <c r="BG123" s="144"/>
      <c r="BH123" s="144"/>
      <c r="BI123" s="22"/>
      <c r="BJ123" s="144"/>
      <c r="BK123" s="22"/>
      <c r="BL123" s="144"/>
      <c r="BM123" s="144"/>
      <c r="BN123" s="22"/>
      <c r="BO123" s="144"/>
      <c r="BP123" s="144"/>
      <c r="BQ123" s="22"/>
      <c r="BR123" s="22"/>
      <c r="BS123" s="144"/>
      <c r="BT123" s="22"/>
      <c r="BU123" s="22"/>
      <c r="BV123" s="144"/>
      <c r="BW123" s="22"/>
      <c r="BX123" s="22"/>
      <c r="BY123" s="144"/>
      <c r="BZ123" s="22"/>
      <c r="CA123" s="22"/>
      <c r="CB123" s="144"/>
      <c r="CC123" s="22"/>
      <c r="CD123" s="22"/>
      <c r="CE123" s="144"/>
      <c r="CF123" s="22"/>
      <c r="CG123" s="22"/>
      <c r="CH123" s="144"/>
      <c r="CI123" s="22"/>
      <c r="CJ123" s="22"/>
      <c r="CK123" s="144"/>
    </row>
    <row r="124" spans="1:89" ht="15.75" customHeight="1" x14ac:dyDescent="0.45">
      <c r="A124" s="22"/>
      <c r="B124" s="22"/>
      <c r="C124" s="12"/>
      <c r="D124" s="12"/>
      <c r="E124" s="155"/>
      <c r="F124" s="144"/>
      <c r="G124" s="12"/>
      <c r="H124" s="22"/>
      <c r="I124" s="22"/>
      <c r="J124" s="22"/>
      <c r="K124" s="145"/>
      <c r="L124" s="144"/>
      <c r="M124" s="144"/>
      <c r="N124" s="152"/>
      <c r="O124" s="22"/>
      <c r="P124" s="152"/>
      <c r="Q124" s="22"/>
      <c r="R124" s="74"/>
      <c r="S124" s="45"/>
      <c r="T124" s="158"/>
      <c r="U124" s="45"/>
      <c r="V124" s="45"/>
      <c r="W124" s="45"/>
      <c r="X124" s="45"/>
      <c r="Y124" s="45"/>
      <c r="Z124" s="45"/>
      <c r="AA124" s="45"/>
      <c r="AB124" s="45"/>
      <c r="AC124" s="144"/>
      <c r="AD124" s="144"/>
      <c r="AE124" s="45"/>
      <c r="AF124" s="45"/>
      <c r="AG124" s="144"/>
      <c r="AH124" s="144"/>
      <c r="AI124" s="144"/>
      <c r="AJ124" s="22"/>
      <c r="AK124" s="22"/>
      <c r="AL124" s="144"/>
      <c r="AM124" s="22"/>
      <c r="AN124" s="22"/>
      <c r="AO124" s="144"/>
      <c r="AP124" s="22"/>
      <c r="AQ124" s="22"/>
      <c r="AR124" s="144"/>
      <c r="AS124" s="22"/>
      <c r="AT124" s="22"/>
      <c r="AU124" s="144"/>
      <c r="AV124" s="22"/>
      <c r="AW124" s="22"/>
      <c r="AX124" s="144"/>
      <c r="AY124" s="144"/>
      <c r="AZ124" s="22"/>
      <c r="BA124" s="144"/>
      <c r="BB124" s="144"/>
      <c r="BC124" s="144"/>
      <c r="BD124" s="144"/>
      <c r="BE124" s="144"/>
      <c r="BF124" s="22"/>
      <c r="BG124" s="144"/>
      <c r="BH124" s="144"/>
      <c r="BI124" s="22"/>
      <c r="BJ124" s="144"/>
      <c r="BK124" s="22"/>
      <c r="BL124" s="144"/>
      <c r="BM124" s="144"/>
      <c r="BN124" s="22"/>
      <c r="BO124" s="144"/>
      <c r="BP124" s="144"/>
      <c r="BQ124" s="22"/>
      <c r="BR124" s="22"/>
      <c r="BS124" s="144"/>
      <c r="BT124" s="22"/>
      <c r="BU124" s="22"/>
      <c r="BV124" s="144"/>
      <c r="BW124" s="22"/>
      <c r="BX124" s="22"/>
      <c r="BY124" s="144"/>
      <c r="BZ124" s="22"/>
      <c r="CA124" s="22"/>
      <c r="CB124" s="144"/>
      <c r="CC124" s="22"/>
      <c r="CD124" s="22"/>
      <c r="CE124" s="144"/>
      <c r="CF124" s="22"/>
      <c r="CG124" s="22"/>
      <c r="CH124" s="144"/>
      <c r="CI124" s="22"/>
      <c r="CJ124" s="22"/>
      <c r="CK124" s="144"/>
    </row>
    <row r="125" spans="1:89" ht="15.75" customHeight="1" x14ac:dyDescent="0.45">
      <c r="A125" s="22"/>
      <c r="B125" s="22"/>
      <c r="C125" s="12"/>
      <c r="D125" s="12"/>
      <c r="E125" s="155"/>
      <c r="F125" s="144"/>
      <c r="G125" s="12"/>
      <c r="H125" s="22"/>
      <c r="I125" s="22"/>
      <c r="J125" s="22"/>
      <c r="K125" s="145"/>
      <c r="L125" s="144"/>
      <c r="M125" s="144"/>
      <c r="N125" s="152"/>
      <c r="O125" s="22"/>
      <c r="P125" s="152"/>
      <c r="Q125" s="22"/>
      <c r="R125" s="74"/>
      <c r="S125" s="45"/>
      <c r="T125" s="158"/>
      <c r="U125" s="45"/>
      <c r="V125" s="45"/>
      <c r="W125" s="45"/>
      <c r="X125" s="45"/>
      <c r="Y125" s="45"/>
      <c r="Z125" s="45"/>
      <c r="AA125" s="45"/>
      <c r="AB125" s="45"/>
      <c r="AC125" s="144"/>
      <c r="AD125" s="144"/>
      <c r="AE125" s="45"/>
      <c r="AF125" s="45"/>
      <c r="AG125" s="144"/>
      <c r="AH125" s="144"/>
      <c r="AI125" s="144"/>
      <c r="AJ125" s="22"/>
      <c r="AK125" s="22"/>
      <c r="AL125" s="144"/>
      <c r="AM125" s="22"/>
      <c r="AN125" s="22"/>
      <c r="AO125" s="144"/>
      <c r="AP125" s="22"/>
      <c r="AQ125" s="22"/>
      <c r="AR125" s="144"/>
      <c r="AS125" s="22"/>
      <c r="AT125" s="22"/>
      <c r="AU125" s="144"/>
      <c r="AV125" s="22"/>
      <c r="AW125" s="22"/>
      <c r="AX125" s="144"/>
      <c r="AY125" s="144"/>
      <c r="AZ125" s="22"/>
      <c r="BA125" s="144"/>
      <c r="BB125" s="144"/>
      <c r="BC125" s="144"/>
      <c r="BD125" s="144"/>
      <c r="BE125" s="144"/>
      <c r="BF125" s="22"/>
      <c r="BG125" s="144"/>
      <c r="BH125" s="144"/>
      <c r="BI125" s="22"/>
      <c r="BJ125" s="144"/>
      <c r="BK125" s="22"/>
      <c r="BL125" s="144"/>
      <c r="BM125" s="144"/>
      <c r="BN125" s="22"/>
      <c r="BO125" s="144"/>
      <c r="BP125" s="144"/>
      <c r="BQ125" s="22"/>
      <c r="BR125" s="22"/>
      <c r="BS125" s="144"/>
      <c r="BT125" s="22"/>
      <c r="BU125" s="22"/>
      <c r="BV125" s="144"/>
      <c r="BW125" s="22"/>
      <c r="BX125" s="22"/>
      <c r="BY125" s="144"/>
      <c r="BZ125" s="22"/>
      <c r="CA125" s="22"/>
      <c r="CB125" s="144"/>
      <c r="CC125" s="22"/>
      <c r="CD125" s="22"/>
      <c r="CE125" s="144"/>
      <c r="CF125" s="22"/>
      <c r="CG125" s="22"/>
      <c r="CH125" s="144"/>
      <c r="CI125" s="22"/>
      <c r="CJ125" s="22"/>
      <c r="CK125" s="144"/>
    </row>
    <row r="126" spans="1:89" ht="15.75" customHeight="1" x14ac:dyDescent="0.45">
      <c r="A126" s="22"/>
      <c r="B126" s="22"/>
      <c r="C126" s="12"/>
      <c r="D126" s="12"/>
      <c r="E126" s="155"/>
      <c r="F126" s="144"/>
      <c r="G126" s="12"/>
      <c r="H126" s="22"/>
      <c r="I126" s="22"/>
      <c r="J126" s="22"/>
      <c r="K126" s="145"/>
      <c r="L126" s="144"/>
      <c r="M126" s="144"/>
      <c r="N126" s="152"/>
      <c r="O126" s="22"/>
      <c r="P126" s="152"/>
      <c r="Q126" s="22"/>
      <c r="R126" s="74"/>
      <c r="S126" s="45"/>
      <c r="T126" s="158"/>
      <c r="U126" s="45"/>
      <c r="V126" s="45"/>
      <c r="W126" s="45"/>
      <c r="X126" s="45"/>
      <c r="Y126" s="45"/>
      <c r="Z126" s="45"/>
      <c r="AA126" s="45"/>
      <c r="AB126" s="45"/>
      <c r="AC126" s="144"/>
      <c r="AD126" s="144"/>
      <c r="AE126" s="45"/>
      <c r="AF126" s="45"/>
      <c r="AG126" s="144"/>
      <c r="AH126" s="144"/>
      <c r="AI126" s="144"/>
      <c r="AJ126" s="22"/>
      <c r="AK126" s="22"/>
      <c r="AL126" s="144"/>
      <c r="AM126" s="22"/>
      <c r="AN126" s="22"/>
      <c r="AO126" s="144"/>
      <c r="AP126" s="22"/>
      <c r="AQ126" s="22"/>
      <c r="AR126" s="144"/>
      <c r="AS126" s="22"/>
      <c r="AT126" s="22"/>
      <c r="AU126" s="144"/>
      <c r="AV126" s="22"/>
      <c r="AW126" s="22"/>
      <c r="AX126" s="144"/>
      <c r="AY126" s="144"/>
      <c r="AZ126" s="22"/>
      <c r="BA126" s="144"/>
      <c r="BB126" s="144"/>
      <c r="BC126" s="144"/>
      <c r="BD126" s="144"/>
      <c r="BE126" s="144"/>
      <c r="BF126" s="22"/>
      <c r="BG126" s="144"/>
      <c r="BH126" s="144"/>
      <c r="BI126" s="22"/>
      <c r="BJ126" s="144"/>
      <c r="BK126" s="22"/>
      <c r="BL126" s="144"/>
      <c r="BM126" s="144"/>
      <c r="BN126" s="22"/>
      <c r="BO126" s="144"/>
      <c r="BP126" s="144"/>
      <c r="BQ126" s="22"/>
      <c r="BR126" s="22"/>
      <c r="BS126" s="144"/>
      <c r="BT126" s="22"/>
      <c r="BU126" s="22"/>
      <c r="BV126" s="144"/>
      <c r="BW126" s="22"/>
      <c r="BX126" s="22"/>
      <c r="BY126" s="144"/>
      <c r="BZ126" s="22"/>
      <c r="CA126" s="22"/>
      <c r="CB126" s="144"/>
      <c r="CC126" s="22"/>
      <c r="CD126" s="22"/>
      <c r="CE126" s="144"/>
      <c r="CF126" s="22"/>
      <c r="CG126" s="22"/>
      <c r="CH126" s="144"/>
      <c r="CI126" s="22"/>
      <c r="CJ126" s="22"/>
      <c r="CK126" s="144"/>
    </row>
    <row r="127" spans="1:89" ht="15.75" customHeight="1" x14ac:dyDescent="0.45">
      <c r="A127" s="22"/>
      <c r="B127" s="22"/>
      <c r="C127" s="12"/>
      <c r="D127" s="12"/>
      <c r="E127" s="155"/>
      <c r="F127" s="144"/>
      <c r="G127" s="12"/>
      <c r="H127" s="22"/>
      <c r="I127" s="22"/>
      <c r="J127" s="22"/>
      <c r="K127" s="145"/>
      <c r="L127" s="144"/>
      <c r="M127" s="144"/>
      <c r="N127" s="152"/>
      <c r="O127" s="22"/>
      <c r="P127" s="152"/>
      <c r="Q127" s="22"/>
      <c r="R127" s="74"/>
      <c r="S127" s="45"/>
      <c r="T127" s="158"/>
      <c r="U127" s="45"/>
      <c r="V127" s="45"/>
      <c r="W127" s="45"/>
      <c r="X127" s="45"/>
      <c r="Y127" s="45"/>
      <c r="Z127" s="45"/>
      <c r="AA127" s="45"/>
      <c r="AB127" s="45"/>
      <c r="AC127" s="144"/>
      <c r="AD127" s="144"/>
      <c r="AE127" s="45"/>
      <c r="AF127" s="45"/>
      <c r="AG127" s="144"/>
      <c r="AH127" s="144"/>
      <c r="AI127" s="144"/>
      <c r="AJ127" s="22"/>
      <c r="AK127" s="22"/>
      <c r="AL127" s="144"/>
      <c r="AM127" s="22"/>
      <c r="AN127" s="22"/>
      <c r="AO127" s="144"/>
      <c r="AP127" s="22"/>
      <c r="AQ127" s="22"/>
      <c r="AR127" s="144"/>
      <c r="AS127" s="22"/>
      <c r="AT127" s="22"/>
      <c r="AU127" s="144"/>
      <c r="AV127" s="22"/>
      <c r="AW127" s="22"/>
      <c r="AX127" s="144"/>
      <c r="AY127" s="144"/>
      <c r="AZ127" s="22"/>
      <c r="BA127" s="144"/>
      <c r="BB127" s="144"/>
      <c r="BC127" s="144"/>
      <c r="BD127" s="144"/>
      <c r="BE127" s="144"/>
      <c r="BF127" s="22"/>
      <c r="BG127" s="144"/>
      <c r="BH127" s="144"/>
      <c r="BI127" s="22"/>
      <c r="BJ127" s="144"/>
      <c r="BK127" s="22"/>
      <c r="BL127" s="144"/>
      <c r="BM127" s="144"/>
      <c r="BN127" s="22"/>
      <c r="BO127" s="144"/>
      <c r="BP127" s="144"/>
      <c r="BQ127" s="22"/>
      <c r="BR127" s="22"/>
      <c r="BS127" s="144"/>
      <c r="BT127" s="22"/>
      <c r="BU127" s="22"/>
      <c r="BV127" s="144"/>
      <c r="BW127" s="22"/>
      <c r="BX127" s="22"/>
      <c r="BY127" s="144"/>
      <c r="BZ127" s="22"/>
      <c r="CA127" s="22"/>
      <c r="CB127" s="144"/>
      <c r="CC127" s="22"/>
      <c r="CD127" s="22"/>
      <c r="CE127" s="144"/>
      <c r="CF127" s="22"/>
      <c r="CG127" s="22"/>
      <c r="CH127" s="144"/>
      <c r="CI127" s="22"/>
      <c r="CJ127" s="22"/>
      <c r="CK127" s="144"/>
    </row>
    <row r="128" spans="1:89" ht="15.75" customHeight="1" x14ac:dyDescent="0.45">
      <c r="A128" s="22"/>
      <c r="B128" s="22"/>
      <c r="C128" s="12"/>
      <c r="D128" s="12"/>
      <c r="E128" s="155"/>
      <c r="F128" s="144"/>
      <c r="G128" s="12"/>
      <c r="H128" s="22"/>
      <c r="I128" s="22"/>
      <c r="J128" s="22"/>
      <c r="K128" s="145"/>
      <c r="L128" s="144"/>
      <c r="M128" s="144"/>
      <c r="N128" s="152"/>
      <c r="O128" s="22"/>
      <c r="P128" s="152"/>
      <c r="Q128" s="22"/>
      <c r="R128" s="74"/>
      <c r="S128" s="45"/>
      <c r="T128" s="158"/>
      <c r="U128" s="45"/>
      <c r="V128" s="45"/>
      <c r="W128" s="45"/>
      <c r="X128" s="45"/>
      <c r="Y128" s="45"/>
      <c r="Z128" s="45"/>
      <c r="AA128" s="45"/>
      <c r="AB128" s="45"/>
      <c r="AC128" s="144"/>
      <c r="AD128" s="144"/>
      <c r="AE128" s="45"/>
      <c r="AF128" s="45"/>
      <c r="AG128" s="144"/>
      <c r="AH128" s="144"/>
      <c r="AI128" s="144"/>
      <c r="AJ128" s="22"/>
      <c r="AK128" s="22"/>
      <c r="AL128" s="144"/>
      <c r="AM128" s="22"/>
      <c r="AN128" s="22"/>
      <c r="AO128" s="144"/>
      <c r="AP128" s="22"/>
      <c r="AQ128" s="22"/>
      <c r="AR128" s="144"/>
      <c r="AS128" s="22"/>
      <c r="AT128" s="22"/>
      <c r="AU128" s="144"/>
      <c r="AV128" s="22"/>
      <c r="AW128" s="22"/>
      <c r="AX128" s="144"/>
      <c r="AY128" s="144"/>
      <c r="AZ128" s="22"/>
      <c r="BA128" s="144"/>
      <c r="BB128" s="144"/>
      <c r="BC128" s="144"/>
      <c r="BD128" s="144"/>
      <c r="BE128" s="144"/>
      <c r="BF128" s="22"/>
      <c r="BG128" s="144"/>
      <c r="BH128" s="144"/>
      <c r="BI128" s="22"/>
      <c r="BJ128" s="144"/>
      <c r="BK128" s="22"/>
      <c r="BL128" s="144"/>
      <c r="BM128" s="144"/>
      <c r="BN128" s="22"/>
      <c r="BO128" s="144"/>
      <c r="BP128" s="144"/>
      <c r="BQ128" s="22"/>
      <c r="BR128" s="22"/>
      <c r="BS128" s="144"/>
      <c r="BT128" s="22"/>
      <c r="BU128" s="22"/>
      <c r="BV128" s="144"/>
      <c r="BW128" s="22"/>
      <c r="BX128" s="22"/>
      <c r="BY128" s="144"/>
      <c r="BZ128" s="22"/>
      <c r="CA128" s="22"/>
      <c r="CB128" s="144"/>
      <c r="CC128" s="22"/>
      <c r="CD128" s="22"/>
      <c r="CE128" s="144"/>
      <c r="CF128" s="22"/>
      <c r="CG128" s="22"/>
      <c r="CH128" s="144"/>
      <c r="CI128" s="22"/>
      <c r="CJ128" s="22"/>
      <c r="CK128" s="144"/>
    </row>
    <row r="129" spans="1:89" ht="15.75" customHeight="1" x14ac:dyDescent="0.45">
      <c r="A129" s="22"/>
      <c r="B129" s="22"/>
      <c r="C129" s="12"/>
      <c r="D129" s="12"/>
      <c r="E129" s="155"/>
      <c r="F129" s="144"/>
      <c r="G129" s="12"/>
      <c r="H129" s="22"/>
      <c r="I129" s="22"/>
      <c r="J129" s="22"/>
      <c r="K129" s="145"/>
      <c r="L129" s="144"/>
      <c r="M129" s="144"/>
      <c r="N129" s="152"/>
      <c r="O129" s="22"/>
      <c r="P129" s="152"/>
      <c r="Q129" s="22"/>
      <c r="R129" s="74"/>
      <c r="S129" s="45"/>
      <c r="T129" s="158"/>
      <c r="U129" s="45"/>
      <c r="V129" s="45"/>
      <c r="W129" s="45"/>
      <c r="X129" s="45"/>
      <c r="Y129" s="45"/>
      <c r="Z129" s="45"/>
      <c r="AA129" s="45"/>
      <c r="AB129" s="45"/>
      <c r="AC129" s="144"/>
      <c r="AD129" s="144"/>
      <c r="AE129" s="45"/>
      <c r="AF129" s="45"/>
      <c r="AG129" s="144"/>
      <c r="AH129" s="144"/>
      <c r="AI129" s="144"/>
      <c r="AJ129" s="22"/>
      <c r="AK129" s="22"/>
      <c r="AL129" s="144"/>
      <c r="AM129" s="22"/>
      <c r="AN129" s="22"/>
      <c r="AO129" s="144"/>
      <c r="AP129" s="22"/>
      <c r="AQ129" s="22"/>
      <c r="AR129" s="144"/>
      <c r="AS129" s="22"/>
      <c r="AT129" s="22"/>
      <c r="AU129" s="144"/>
      <c r="AV129" s="22"/>
      <c r="AW129" s="22"/>
      <c r="AX129" s="144"/>
      <c r="AY129" s="144"/>
      <c r="AZ129" s="22"/>
      <c r="BA129" s="144"/>
      <c r="BB129" s="144"/>
      <c r="BC129" s="144"/>
      <c r="BD129" s="144"/>
      <c r="BE129" s="144"/>
      <c r="BF129" s="22"/>
      <c r="BG129" s="144"/>
      <c r="BH129" s="144"/>
      <c r="BI129" s="22"/>
      <c r="BJ129" s="144"/>
      <c r="BK129" s="22"/>
      <c r="BL129" s="144"/>
      <c r="BM129" s="144"/>
      <c r="BN129" s="22"/>
      <c r="BO129" s="144"/>
      <c r="BP129" s="144"/>
      <c r="BQ129" s="22"/>
      <c r="BR129" s="22"/>
      <c r="BS129" s="144"/>
      <c r="BT129" s="22"/>
      <c r="BU129" s="22"/>
      <c r="BV129" s="144"/>
      <c r="BW129" s="22"/>
      <c r="BX129" s="22"/>
      <c r="BY129" s="144"/>
      <c r="BZ129" s="22"/>
      <c r="CA129" s="22"/>
      <c r="CB129" s="144"/>
      <c r="CC129" s="22"/>
      <c r="CD129" s="22"/>
      <c r="CE129" s="144"/>
      <c r="CF129" s="22"/>
      <c r="CG129" s="22"/>
      <c r="CH129" s="144"/>
      <c r="CI129" s="22"/>
      <c r="CJ129" s="22"/>
      <c r="CK129" s="144"/>
    </row>
    <row r="130" spans="1:89" ht="15.75" customHeight="1" x14ac:dyDescent="0.45">
      <c r="A130" s="22"/>
      <c r="B130" s="22"/>
      <c r="C130" s="12"/>
      <c r="D130" s="12"/>
      <c r="E130" s="155"/>
      <c r="F130" s="144"/>
      <c r="G130" s="12"/>
      <c r="H130" s="22"/>
      <c r="I130" s="22"/>
      <c r="J130" s="22"/>
      <c r="K130" s="145"/>
      <c r="L130" s="144"/>
      <c r="M130" s="144"/>
      <c r="N130" s="152"/>
      <c r="O130" s="22"/>
      <c r="P130" s="152"/>
      <c r="Q130" s="22"/>
      <c r="R130" s="74"/>
      <c r="S130" s="45"/>
      <c r="T130" s="158"/>
      <c r="U130" s="45"/>
      <c r="V130" s="45"/>
      <c r="W130" s="45"/>
      <c r="X130" s="45"/>
      <c r="Y130" s="45"/>
      <c r="Z130" s="45"/>
      <c r="AA130" s="45"/>
      <c r="AB130" s="45"/>
      <c r="AC130" s="144"/>
      <c r="AD130" s="144"/>
      <c r="AE130" s="45"/>
      <c r="AF130" s="45"/>
      <c r="AG130" s="144"/>
      <c r="AH130" s="144"/>
      <c r="AI130" s="144"/>
      <c r="AJ130" s="22"/>
      <c r="AK130" s="22"/>
      <c r="AL130" s="144"/>
      <c r="AM130" s="22"/>
      <c r="AN130" s="22"/>
      <c r="AO130" s="144"/>
      <c r="AP130" s="22"/>
      <c r="AQ130" s="22"/>
      <c r="AR130" s="144"/>
      <c r="AS130" s="22"/>
      <c r="AT130" s="22"/>
      <c r="AU130" s="144"/>
      <c r="AV130" s="22"/>
      <c r="AW130" s="22"/>
      <c r="AX130" s="144"/>
      <c r="AY130" s="144"/>
      <c r="AZ130" s="22"/>
      <c r="BA130" s="144"/>
      <c r="BB130" s="144"/>
      <c r="BC130" s="144"/>
      <c r="BD130" s="144"/>
      <c r="BE130" s="144"/>
      <c r="BF130" s="22"/>
      <c r="BG130" s="144"/>
      <c r="BH130" s="144"/>
      <c r="BI130" s="22"/>
      <c r="BJ130" s="144"/>
      <c r="BK130" s="22"/>
      <c r="BL130" s="144"/>
      <c r="BM130" s="144"/>
      <c r="BN130" s="22"/>
      <c r="BO130" s="144"/>
      <c r="BP130" s="144"/>
      <c r="BQ130" s="22"/>
      <c r="BR130" s="22"/>
      <c r="BS130" s="144"/>
      <c r="BT130" s="22"/>
      <c r="BU130" s="22"/>
      <c r="BV130" s="144"/>
      <c r="BW130" s="22"/>
      <c r="BX130" s="22"/>
      <c r="BY130" s="144"/>
      <c r="BZ130" s="22"/>
      <c r="CA130" s="22"/>
      <c r="CB130" s="144"/>
      <c r="CC130" s="22"/>
      <c r="CD130" s="22"/>
      <c r="CE130" s="144"/>
      <c r="CF130" s="22"/>
      <c r="CG130" s="22"/>
      <c r="CH130" s="144"/>
      <c r="CI130" s="22"/>
      <c r="CJ130" s="22"/>
      <c r="CK130" s="144"/>
    </row>
    <row r="131" spans="1:89" ht="15.75" customHeight="1" x14ac:dyDescent="0.45">
      <c r="A131" s="22"/>
      <c r="B131" s="22"/>
      <c r="C131" s="12"/>
      <c r="D131" s="12"/>
      <c r="E131" s="155"/>
      <c r="F131" s="144"/>
      <c r="G131" s="12"/>
      <c r="H131" s="22"/>
      <c r="I131" s="22"/>
      <c r="J131" s="22"/>
      <c r="K131" s="145"/>
      <c r="L131" s="144"/>
      <c r="M131" s="144"/>
      <c r="N131" s="152"/>
      <c r="O131" s="22"/>
      <c r="P131" s="152"/>
      <c r="Q131" s="22"/>
      <c r="R131" s="74"/>
      <c r="S131" s="45"/>
      <c r="T131" s="158"/>
      <c r="U131" s="45"/>
      <c r="V131" s="45"/>
      <c r="W131" s="45"/>
      <c r="X131" s="45"/>
      <c r="Y131" s="45"/>
      <c r="Z131" s="45"/>
      <c r="AA131" s="45"/>
      <c r="AB131" s="45"/>
      <c r="AC131" s="144"/>
      <c r="AD131" s="144"/>
      <c r="AE131" s="45"/>
      <c r="AF131" s="45"/>
      <c r="AG131" s="144"/>
      <c r="AH131" s="144"/>
      <c r="AI131" s="144"/>
      <c r="AJ131" s="22"/>
      <c r="AK131" s="22"/>
      <c r="AL131" s="144"/>
      <c r="AM131" s="22"/>
      <c r="AN131" s="22"/>
      <c r="AO131" s="144"/>
      <c r="AP131" s="22"/>
      <c r="AQ131" s="22"/>
      <c r="AR131" s="144"/>
      <c r="AS131" s="22"/>
      <c r="AT131" s="22"/>
      <c r="AU131" s="144"/>
      <c r="AV131" s="22"/>
      <c r="AW131" s="22"/>
      <c r="AX131" s="144"/>
      <c r="AY131" s="144"/>
      <c r="AZ131" s="22"/>
      <c r="BA131" s="144"/>
      <c r="BB131" s="144"/>
      <c r="BC131" s="144"/>
      <c r="BD131" s="144"/>
      <c r="BE131" s="144"/>
      <c r="BF131" s="22"/>
      <c r="BG131" s="144"/>
      <c r="BH131" s="144"/>
      <c r="BI131" s="22"/>
      <c r="BJ131" s="144"/>
      <c r="BK131" s="22"/>
      <c r="BL131" s="144"/>
      <c r="BM131" s="144"/>
      <c r="BN131" s="22"/>
      <c r="BO131" s="144"/>
      <c r="BP131" s="144"/>
      <c r="BQ131" s="22"/>
      <c r="BR131" s="22"/>
      <c r="BS131" s="144"/>
      <c r="BT131" s="22"/>
      <c r="BU131" s="22"/>
      <c r="BV131" s="144"/>
      <c r="BW131" s="22"/>
      <c r="BX131" s="22"/>
      <c r="BY131" s="144"/>
      <c r="BZ131" s="22"/>
      <c r="CA131" s="22"/>
      <c r="CB131" s="144"/>
      <c r="CC131" s="22"/>
      <c r="CD131" s="22"/>
      <c r="CE131" s="144"/>
      <c r="CF131" s="22"/>
      <c r="CG131" s="22"/>
      <c r="CH131" s="144"/>
      <c r="CI131" s="22"/>
      <c r="CJ131" s="22"/>
      <c r="CK131" s="144"/>
    </row>
    <row r="132" spans="1:89" ht="15.75" customHeight="1" x14ac:dyDescent="0.45">
      <c r="A132" s="22"/>
      <c r="B132" s="22"/>
      <c r="C132" s="12"/>
      <c r="D132" s="12"/>
      <c r="E132" s="155"/>
      <c r="F132" s="144"/>
      <c r="G132" s="12"/>
      <c r="H132" s="22"/>
      <c r="I132" s="22"/>
      <c r="J132" s="22"/>
      <c r="K132" s="145"/>
      <c r="L132" s="144"/>
      <c r="M132" s="144"/>
      <c r="N132" s="152"/>
      <c r="O132" s="22"/>
      <c r="P132" s="152"/>
      <c r="Q132" s="22"/>
      <c r="R132" s="74"/>
      <c r="S132" s="45"/>
      <c r="T132" s="158"/>
      <c r="U132" s="45"/>
      <c r="V132" s="45"/>
      <c r="W132" s="45"/>
      <c r="X132" s="45"/>
      <c r="Y132" s="45"/>
      <c r="Z132" s="45"/>
      <c r="AA132" s="45"/>
      <c r="AB132" s="45"/>
      <c r="AC132" s="144"/>
      <c r="AD132" s="144"/>
      <c r="AE132" s="45"/>
      <c r="AF132" s="45"/>
      <c r="AG132" s="144"/>
      <c r="AH132" s="144"/>
      <c r="AI132" s="144"/>
      <c r="AJ132" s="22"/>
      <c r="AK132" s="22"/>
      <c r="AL132" s="144"/>
      <c r="AM132" s="22"/>
      <c r="AN132" s="22"/>
      <c r="AO132" s="144"/>
      <c r="AP132" s="22"/>
      <c r="AQ132" s="22"/>
      <c r="AR132" s="144"/>
      <c r="AS132" s="22"/>
      <c r="AT132" s="22"/>
      <c r="AU132" s="144"/>
      <c r="AV132" s="22"/>
      <c r="AW132" s="22"/>
      <c r="AX132" s="144"/>
      <c r="AY132" s="144"/>
      <c r="AZ132" s="22"/>
      <c r="BA132" s="144"/>
      <c r="BB132" s="144"/>
      <c r="BC132" s="144"/>
      <c r="BD132" s="144"/>
      <c r="BE132" s="144"/>
      <c r="BF132" s="22"/>
      <c r="BG132" s="144"/>
      <c r="BH132" s="144"/>
      <c r="BI132" s="22"/>
      <c r="BJ132" s="144"/>
      <c r="BK132" s="22"/>
      <c r="BL132" s="144"/>
      <c r="BM132" s="144"/>
      <c r="BN132" s="22"/>
      <c r="BO132" s="144"/>
      <c r="BP132" s="144"/>
      <c r="BQ132" s="22"/>
      <c r="BR132" s="22"/>
      <c r="BS132" s="144"/>
      <c r="BT132" s="22"/>
      <c r="BU132" s="22"/>
      <c r="BV132" s="144"/>
      <c r="BW132" s="22"/>
      <c r="BX132" s="22"/>
      <c r="BY132" s="144"/>
      <c r="BZ132" s="22"/>
      <c r="CA132" s="22"/>
      <c r="CB132" s="144"/>
      <c r="CC132" s="22"/>
      <c r="CD132" s="22"/>
      <c r="CE132" s="144"/>
      <c r="CF132" s="22"/>
      <c r="CG132" s="22"/>
      <c r="CH132" s="144"/>
      <c r="CI132" s="22"/>
      <c r="CJ132" s="22"/>
      <c r="CK132" s="144"/>
    </row>
    <row r="133" spans="1:89" ht="15.75" customHeight="1" x14ac:dyDescent="0.45">
      <c r="A133" s="22"/>
      <c r="B133" s="22"/>
      <c r="C133" s="12"/>
      <c r="D133" s="12"/>
      <c r="E133" s="155"/>
      <c r="F133" s="144"/>
      <c r="G133" s="12"/>
      <c r="H133" s="22"/>
      <c r="I133" s="22"/>
      <c r="J133" s="22"/>
      <c r="K133" s="145"/>
      <c r="L133" s="144"/>
      <c r="M133" s="144"/>
      <c r="N133" s="152"/>
      <c r="O133" s="22"/>
      <c r="P133" s="152"/>
      <c r="Q133" s="22"/>
      <c r="R133" s="74"/>
      <c r="S133" s="45"/>
      <c r="T133" s="158"/>
      <c r="U133" s="45"/>
      <c r="V133" s="45"/>
      <c r="W133" s="45"/>
      <c r="X133" s="45"/>
      <c r="Y133" s="45"/>
      <c r="Z133" s="45"/>
      <c r="AA133" s="45"/>
      <c r="AB133" s="45"/>
      <c r="AC133" s="144"/>
      <c r="AD133" s="144"/>
      <c r="AE133" s="45"/>
      <c r="AF133" s="45"/>
      <c r="AG133" s="144"/>
      <c r="AH133" s="144"/>
      <c r="AI133" s="144"/>
      <c r="AJ133" s="22"/>
      <c r="AK133" s="22"/>
      <c r="AL133" s="144"/>
      <c r="AM133" s="22"/>
      <c r="AN133" s="22"/>
      <c r="AO133" s="144"/>
      <c r="AP133" s="22"/>
      <c r="AQ133" s="22"/>
      <c r="AR133" s="144"/>
      <c r="AS133" s="22"/>
      <c r="AT133" s="22"/>
      <c r="AU133" s="144"/>
      <c r="AV133" s="22"/>
      <c r="AW133" s="22"/>
      <c r="AX133" s="144"/>
      <c r="AY133" s="144"/>
      <c r="AZ133" s="22"/>
      <c r="BA133" s="144"/>
      <c r="BB133" s="144"/>
      <c r="BC133" s="144"/>
      <c r="BD133" s="144"/>
      <c r="BE133" s="144"/>
      <c r="BF133" s="22"/>
      <c r="BG133" s="144"/>
      <c r="BH133" s="144"/>
      <c r="BI133" s="22"/>
      <c r="BJ133" s="144"/>
      <c r="BK133" s="22"/>
      <c r="BL133" s="144"/>
      <c r="BM133" s="144"/>
      <c r="BN133" s="22"/>
      <c r="BO133" s="144"/>
      <c r="BP133" s="144"/>
      <c r="BQ133" s="22"/>
      <c r="BR133" s="22"/>
      <c r="BS133" s="144"/>
      <c r="BT133" s="22"/>
      <c r="BU133" s="22"/>
      <c r="BV133" s="144"/>
      <c r="BW133" s="22"/>
      <c r="BX133" s="22"/>
      <c r="BY133" s="144"/>
      <c r="BZ133" s="22"/>
      <c r="CA133" s="22"/>
      <c r="CB133" s="144"/>
      <c r="CC133" s="22"/>
      <c r="CD133" s="22"/>
      <c r="CE133" s="144"/>
      <c r="CF133" s="22"/>
      <c r="CG133" s="22"/>
      <c r="CH133" s="144"/>
      <c r="CI133" s="22"/>
      <c r="CJ133" s="22"/>
      <c r="CK133" s="144"/>
    </row>
    <row r="134" spans="1:89" ht="15.75" customHeight="1" x14ac:dyDescent="0.45">
      <c r="A134" s="22"/>
      <c r="B134" s="22"/>
      <c r="C134" s="12"/>
      <c r="D134" s="12"/>
      <c r="E134" s="155"/>
      <c r="F134" s="144"/>
      <c r="G134" s="12"/>
      <c r="H134" s="22"/>
      <c r="I134" s="22"/>
      <c r="J134" s="22"/>
      <c r="K134" s="145"/>
      <c r="L134" s="144"/>
      <c r="M134" s="144"/>
      <c r="N134" s="152"/>
      <c r="O134" s="22"/>
      <c r="P134" s="152"/>
      <c r="Q134" s="22"/>
      <c r="R134" s="74"/>
      <c r="S134" s="45"/>
      <c r="T134" s="158"/>
      <c r="U134" s="45"/>
      <c r="V134" s="45"/>
      <c r="W134" s="45"/>
      <c r="X134" s="45"/>
      <c r="Y134" s="45"/>
      <c r="Z134" s="45"/>
      <c r="AA134" s="45"/>
      <c r="AB134" s="45"/>
      <c r="AC134" s="144"/>
      <c r="AD134" s="144"/>
      <c r="AE134" s="45"/>
      <c r="AF134" s="45"/>
      <c r="AG134" s="144"/>
      <c r="AH134" s="144"/>
      <c r="AI134" s="144"/>
      <c r="AJ134" s="22"/>
      <c r="AK134" s="22"/>
      <c r="AL134" s="144"/>
      <c r="AM134" s="22"/>
      <c r="AN134" s="22"/>
      <c r="AO134" s="144"/>
      <c r="AP134" s="22"/>
      <c r="AQ134" s="22"/>
      <c r="AR134" s="144"/>
      <c r="AS134" s="22"/>
      <c r="AT134" s="22"/>
      <c r="AU134" s="144"/>
      <c r="AV134" s="22"/>
      <c r="AW134" s="22"/>
      <c r="AX134" s="144"/>
      <c r="AY134" s="144"/>
      <c r="AZ134" s="22"/>
      <c r="BA134" s="144"/>
      <c r="BB134" s="144"/>
      <c r="BC134" s="144"/>
      <c r="BD134" s="144"/>
      <c r="BE134" s="144"/>
      <c r="BF134" s="22"/>
      <c r="BG134" s="144"/>
      <c r="BH134" s="144"/>
      <c r="BI134" s="22"/>
      <c r="BJ134" s="144"/>
      <c r="BK134" s="22"/>
      <c r="BL134" s="144"/>
      <c r="BM134" s="144"/>
      <c r="BN134" s="22"/>
      <c r="BO134" s="144"/>
      <c r="BP134" s="144"/>
      <c r="BQ134" s="22"/>
      <c r="BR134" s="22"/>
      <c r="BS134" s="144"/>
      <c r="BT134" s="22"/>
      <c r="BU134" s="22"/>
      <c r="BV134" s="144"/>
      <c r="BW134" s="22"/>
      <c r="BX134" s="22"/>
      <c r="BY134" s="144"/>
      <c r="BZ134" s="22"/>
      <c r="CA134" s="22"/>
      <c r="CB134" s="144"/>
      <c r="CC134" s="22"/>
      <c r="CD134" s="22"/>
      <c r="CE134" s="144"/>
      <c r="CF134" s="22"/>
      <c r="CG134" s="22"/>
      <c r="CH134" s="144"/>
      <c r="CI134" s="22"/>
      <c r="CJ134" s="22"/>
      <c r="CK134" s="144"/>
    </row>
    <row r="135" spans="1:89" ht="15.75" customHeight="1" x14ac:dyDescent="0.45">
      <c r="A135" s="22"/>
      <c r="B135" s="22"/>
      <c r="C135" s="12"/>
      <c r="D135" s="12"/>
      <c r="E135" s="155"/>
      <c r="F135" s="144"/>
      <c r="G135" s="12"/>
      <c r="H135" s="22"/>
      <c r="I135" s="22"/>
      <c r="J135" s="22"/>
      <c r="K135" s="145"/>
      <c r="L135" s="144"/>
      <c r="M135" s="144"/>
      <c r="N135" s="152"/>
      <c r="O135" s="22"/>
      <c r="P135" s="152"/>
      <c r="Q135" s="22"/>
      <c r="R135" s="74"/>
      <c r="S135" s="45"/>
      <c r="T135" s="158"/>
      <c r="U135" s="45"/>
      <c r="V135" s="45"/>
      <c r="W135" s="45"/>
      <c r="X135" s="45"/>
      <c r="Y135" s="45"/>
      <c r="Z135" s="45"/>
      <c r="AA135" s="45"/>
      <c r="AB135" s="45"/>
      <c r="AC135" s="144"/>
      <c r="AD135" s="144"/>
      <c r="AE135" s="45"/>
      <c r="AF135" s="45"/>
      <c r="AG135" s="144"/>
      <c r="AH135" s="144"/>
      <c r="AI135" s="144"/>
      <c r="AJ135" s="22"/>
      <c r="AK135" s="22"/>
      <c r="AL135" s="144"/>
      <c r="AM135" s="22"/>
      <c r="AN135" s="22"/>
      <c r="AO135" s="144"/>
      <c r="AP135" s="22"/>
      <c r="AQ135" s="22"/>
      <c r="AR135" s="144"/>
      <c r="AS135" s="22"/>
      <c r="AT135" s="22"/>
      <c r="AU135" s="144"/>
      <c r="AV135" s="22"/>
      <c r="AW135" s="22"/>
      <c r="AX135" s="144"/>
      <c r="AY135" s="144"/>
      <c r="AZ135" s="22"/>
      <c r="BA135" s="144"/>
      <c r="BB135" s="144"/>
      <c r="BC135" s="144"/>
      <c r="BD135" s="144"/>
      <c r="BE135" s="144"/>
      <c r="BF135" s="22"/>
      <c r="BG135" s="144"/>
      <c r="BH135" s="144"/>
      <c r="BI135" s="22"/>
      <c r="BJ135" s="144"/>
      <c r="BK135" s="22"/>
      <c r="BL135" s="144"/>
      <c r="BM135" s="144"/>
      <c r="BN135" s="22"/>
      <c r="BO135" s="144"/>
      <c r="BP135" s="144"/>
      <c r="BQ135" s="22"/>
      <c r="BR135" s="22"/>
      <c r="BS135" s="144"/>
      <c r="BT135" s="22"/>
      <c r="BU135" s="22"/>
      <c r="BV135" s="144"/>
      <c r="BW135" s="22"/>
      <c r="BX135" s="22"/>
      <c r="BY135" s="144"/>
      <c r="BZ135" s="22"/>
      <c r="CA135" s="22"/>
      <c r="CB135" s="144"/>
      <c r="CC135" s="22"/>
      <c r="CD135" s="22"/>
      <c r="CE135" s="144"/>
      <c r="CF135" s="22"/>
      <c r="CG135" s="22"/>
      <c r="CH135" s="144"/>
      <c r="CI135" s="22"/>
      <c r="CJ135" s="22"/>
      <c r="CK135" s="144"/>
    </row>
    <row r="136" spans="1:89" ht="15.75" customHeight="1" x14ac:dyDescent="0.45">
      <c r="A136" s="22"/>
      <c r="B136" s="22"/>
      <c r="C136" s="12"/>
      <c r="D136" s="12"/>
      <c r="E136" s="155"/>
      <c r="F136" s="144"/>
      <c r="G136" s="12"/>
      <c r="H136" s="22"/>
      <c r="I136" s="22"/>
      <c r="J136" s="22"/>
      <c r="K136" s="145"/>
      <c r="L136" s="144"/>
      <c r="M136" s="144"/>
      <c r="N136" s="152"/>
      <c r="O136" s="22"/>
      <c r="P136" s="152"/>
      <c r="Q136" s="22"/>
      <c r="R136" s="74"/>
      <c r="S136" s="45"/>
      <c r="T136" s="158"/>
      <c r="U136" s="45"/>
      <c r="V136" s="45"/>
      <c r="W136" s="45"/>
      <c r="X136" s="45"/>
      <c r="Y136" s="45"/>
      <c r="Z136" s="45"/>
      <c r="AA136" s="45"/>
      <c r="AB136" s="45"/>
      <c r="AC136" s="144"/>
      <c r="AD136" s="144"/>
      <c r="AE136" s="45"/>
      <c r="AF136" s="45"/>
      <c r="AG136" s="144"/>
      <c r="AH136" s="144"/>
      <c r="AI136" s="144"/>
      <c r="AJ136" s="22"/>
      <c r="AK136" s="22"/>
      <c r="AL136" s="144"/>
      <c r="AM136" s="22"/>
      <c r="AN136" s="22"/>
      <c r="AO136" s="144"/>
      <c r="AP136" s="22"/>
      <c r="AQ136" s="22"/>
      <c r="AR136" s="144"/>
      <c r="AS136" s="22"/>
      <c r="AT136" s="22"/>
      <c r="AU136" s="144"/>
      <c r="AV136" s="22"/>
      <c r="AW136" s="22"/>
      <c r="AX136" s="144"/>
      <c r="AY136" s="144"/>
      <c r="AZ136" s="22"/>
      <c r="BA136" s="144"/>
      <c r="BB136" s="144"/>
      <c r="BC136" s="144"/>
      <c r="BD136" s="144"/>
      <c r="BE136" s="144"/>
      <c r="BF136" s="22"/>
      <c r="BG136" s="144"/>
      <c r="BH136" s="144"/>
      <c r="BI136" s="22"/>
      <c r="BJ136" s="144"/>
      <c r="BK136" s="22"/>
      <c r="BL136" s="144"/>
      <c r="BM136" s="144"/>
      <c r="BN136" s="22"/>
      <c r="BO136" s="144"/>
      <c r="BP136" s="144"/>
      <c r="BQ136" s="22"/>
      <c r="BR136" s="22"/>
      <c r="BS136" s="144"/>
      <c r="BT136" s="22"/>
      <c r="BU136" s="22"/>
      <c r="BV136" s="144"/>
      <c r="BW136" s="22"/>
      <c r="BX136" s="22"/>
      <c r="BY136" s="144"/>
      <c r="BZ136" s="22"/>
      <c r="CA136" s="22"/>
      <c r="CB136" s="144"/>
      <c r="CC136" s="22"/>
      <c r="CD136" s="22"/>
      <c r="CE136" s="144"/>
      <c r="CF136" s="22"/>
      <c r="CG136" s="22"/>
      <c r="CH136" s="144"/>
      <c r="CI136" s="22"/>
      <c r="CJ136" s="22"/>
      <c r="CK136" s="144"/>
    </row>
    <row r="137" spans="1:89" ht="15.75" customHeight="1" x14ac:dyDescent="0.45">
      <c r="A137" s="22"/>
      <c r="B137" s="22"/>
      <c r="C137" s="12"/>
      <c r="D137" s="12"/>
      <c r="E137" s="155"/>
      <c r="F137" s="144"/>
      <c r="G137" s="12"/>
      <c r="H137" s="22"/>
      <c r="I137" s="22"/>
      <c r="J137" s="22"/>
      <c r="K137" s="145"/>
      <c r="L137" s="144"/>
      <c r="M137" s="144"/>
      <c r="N137" s="152"/>
      <c r="O137" s="22"/>
      <c r="P137" s="152"/>
      <c r="Q137" s="22"/>
      <c r="R137" s="74"/>
      <c r="S137" s="45"/>
      <c r="T137" s="158"/>
      <c r="U137" s="45"/>
      <c r="V137" s="45"/>
      <c r="W137" s="45"/>
      <c r="X137" s="45"/>
      <c r="Y137" s="45"/>
      <c r="Z137" s="45"/>
      <c r="AA137" s="45"/>
      <c r="AB137" s="45"/>
      <c r="AC137" s="144"/>
      <c r="AD137" s="144"/>
      <c r="AE137" s="45"/>
      <c r="AF137" s="45"/>
      <c r="AG137" s="144"/>
      <c r="AH137" s="144"/>
      <c r="AI137" s="144"/>
      <c r="AJ137" s="22"/>
      <c r="AK137" s="22"/>
      <c r="AL137" s="144"/>
      <c r="AM137" s="22"/>
      <c r="AN137" s="22"/>
      <c r="AO137" s="144"/>
      <c r="AP137" s="22"/>
      <c r="AQ137" s="22"/>
      <c r="AR137" s="144"/>
      <c r="AS137" s="22"/>
      <c r="AT137" s="22"/>
      <c r="AU137" s="144"/>
      <c r="AV137" s="22"/>
      <c r="AW137" s="22"/>
      <c r="AX137" s="144"/>
      <c r="AY137" s="144"/>
      <c r="AZ137" s="22"/>
      <c r="BA137" s="144"/>
      <c r="BB137" s="144"/>
      <c r="BC137" s="144"/>
      <c r="BD137" s="144"/>
      <c r="BE137" s="144"/>
      <c r="BF137" s="22"/>
      <c r="BG137" s="144"/>
      <c r="BH137" s="144"/>
      <c r="BI137" s="22"/>
      <c r="BJ137" s="144"/>
      <c r="BK137" s="22"/>
      <c r="BL137" s="144"/>
      <c r="BM137" s="144"/>
      <c r="BN137" s="22"/>
      <c r="BO137" s="144"/>
      <c r="BP137" s="144"/>
      <c r="BQ137" s="22"/>
      <c r="BR137" s="22"/>
      <c r="BS137" s="144"/>
      <c r="BT137" s="22"/>
      <c r="BU137" s="22"/>
      <c r="BV137" s="144"/>
      <c r="BW137" s="22"/>
      <c r="BX137" s="22"/>
      <c r="BY137" s="144"/>
      <c r="BZ137" s="22"/>
      <c r="CA137" s="22"/>
      <c r="CB137" s="144"/>
      <c r="CC137" s="22"/>
      <c r="CD137" s="22"/>
      <c r="CE137" s="144"/>
      <c r="CF137" s="22"/>
      <c r="CG137" s="22"/>
      <c r="CH137" s="144"/>
      <c r="CI137" s="22"/>
      <c r="CJ137" s="22"/>
      <c r="CK137" s="144"/>
    </row>
    <row r="138" spans="1:89" ht="15.75" customHeight="1" x14ac:dyDescent="0.45">
      <c r="A138" s="22"/>
      <c r="B138" s="22"/>
      <c r="C138" s="12"/>
      <c r="D138" s="12"/>
      <c r="E138" s="155"/>
      <c r="F138" s="144"/>
      <c r="G138" s="12"/>
      <c r="H138" s="22"/>
      <c r="I138" s="22"/>
      <c r="J138" s="22"/>
      <c r="K138" s="145"/>
      <c r="L138" s="144"/>
      <c r="M138" s="144"/>
      <c r="N138" s="152"/>
      <c r="O138" s="22"/>
      <c r="P138" s="152"/>
      <c r="Q138" s="22"/>
      <c r="R138" s="74"/>
      <c r="S138" s="45"/>
      <c r="T138" s="158"/>
      <c r="U138" s="45"/>
      <c r="V138" s="45"/>
      <c r="W138" s="45"/>
      <c r="X138" s="45"/>
      <c r="Y138" s="45"/>
      <c r="Z138" s="45"/>
      <c r="AA138" s="45"/>
      <c r="AB138" s="45"/>
      <c r="AC138" s="144"/>
      <c r="AD138" s="144"/>
      <c r="AE138" s="45"/>
      <c r="AF138" s="45"/>
      <c r="AG138" s="144"/>
      <c r="AH138" s="144"/>
      <c r="AI138" s="144"/>
      <c r="AJ138" s="22"/>
      <c r="AK138" s="22"/>
      <c r="AL138" s="144"/>
      <c r="AM138" s="22"/>
      <c r="AN138" s="22"/>
      <c r="AO138" s="144"/>
      <c r="AP138" s="22"/>
      <c r="AQ138" s="22"/>
      <c r="AR138" s="144"/>
      <c r="AS138" s="22"/>
      <c r="AT138" s="22"/>
      <c r="AU138" s="144"/>
      <c r="AV138" s="22"/>
      <c r="AW138" s="22"/>
      <c r="AX138" s="144"/>
      <c r="AY138" s="144"/>
      <c r="AZ138" s="22"/>
      <c r="BA138" s="144"/>
      <c r="BB138" s="144"/>
      <c r="BC138" s="144"/>
      <c r="BD138" s="144"/>
      <c r="BE138" s="144"/>
      <c r="BF138" s="22"/>
      <c r="BG138" s="144"/>
      <c r="BH138" s="144"/>
      <c r="BI138" s="22"/>
      <c r="BJ138" s="144"/>
      <c r="BK138" s="22"/>
      <c r="BL138" s="144"/>
      <c r="BM138" s="144"/>
      <c r="BN138" s="22"/>
      <c r="BO138" s="144"/>
      <c r="BP138" s="144"/>
      <c r="BQ138" s="22"/>
      <c r="BR138" s="22"/>
      <c r="BS138" s="144"/>
      <c r="BT138" s="22"/>
      <c r="BU138" s="22"/>
      <c r="BV138" s="144"/>
      <c r="BW138" s="22"/>
      <c r="BX138" s="22"/>
      <c r="BY138" s="144"/>
      <c r="BZ138" s="22"/>
      <c r="CA138" s="22"/>
      <c r="CB138" s="144"/>
      <c r="CC138" s="22"/>
      <c r="CD138" s="22"/>
      <c r="CE138" s="144"/>
      <c r="CF138" s="22"/>
      <c r="CG138" s="22"/>
      <c r="CH138" s="144"/>
      <c r="CI138" s="22"/>
      <c r="CJ138" s="22"/>
      <c r="CK138" s="144"/>
    </row>
    <row r="139" spans="1:89" ht="15.75" customHeight="1" x14ac:dyDescent="0.45">
      <c r="A139" s="22"/>
      <c r="B139" s="22"/>
      <c r="C139" s="12"/>
      <c r="D139" s="12"/>
      <c r="E139" s="155"/>
      <c r="F139" s="144"/>
      <c r="G139" s="12"/>
      <c r="H139" s="22"/>
      <c r="I139" s="22"/>
      <c r="J139" s="22"/>
      <c r="K139" s="145"/>
      <c r="L139" s="144"/>
      <c r="M139" s="144"/>
      <c r="N139" s="152"/>
      <c r="O139" s="22"/>
      <c r="P139" s="152"/>
      <c r="Q139" s="22"/>
      <c r="R139" s="74"/>
      <c r="S139" s="45"/>
      <c r="T139" s="158"/>
      <c r="U139" s="45"/>
      <c r="V139" s="45"/>
      <c r="W139" s="45"/>
      <c r="X139" s="45"/>
      <c r="Y139" s="45"/>
      <c r="Z139" s="45"/>
      <c r="AA139" s="45"/>
      <c r="AB139" s="45"/>
      <c r="AC139" s="144"/>
      <c r="AD139" s="144"/>
      <c r="AE139" s="45"/>
      <c r="AF139" s="45"/>
      <c r="AG139" s="144"/>
      <c r="AH139" s="144"/>
      <c r="AI139" s="144"/>
      <c r="AJ139" s="22"/>
      <c r="AK139" s="22"/>
      <c r="AL139" s="144"/>
      <c r="AM139" s="22"/>
      <c r="AN139" s="22"/>
      <c r="AO139" s="144"/>
      <c r="AP139" s="22"/>
      <c r="AQ139" s="22"/>
      <c r="AR139" s="144"/>
      <c r="AS139" s="22"/>
      <c r="AT139" s="22"/>
      <c r="AU139" s="144"/>
      <c r="AV139" s="22"/>
      <c r="AW139" s="22"/>
      <c r="AX139" s="144"/>
      <c r="AY139" s="144"/>
      <c r="AZ139" s="22"/>
      <c r="BA139" s="144"/>
      <c r="BB139" s="144"/>
      <c r="BC139" s="144"/>
      <c r="BD139" s="144"/>
      <c r="BE139" s="144"/>
      <c r="BF139" s="22"/>
      <c r="BG139" s="144"/>
      <c r="BH139" s="144"/>
      <c r="BI139" s="22"/>
      <c r="BJ139" s="144"/>
      <c r="BK139" s="22"/>
      <c r="BL139" s="144"/>
      <c r="BM139" s="144"/>
      <c r="BN139" s="22"/>
      <c r="BO139" s="144"/>
      <c r="BP139" s="144"/>
      <c r="BQ139" s="22"/>
      <c r="BR139" s="22"/>
      <c r="BS139" s="144"/>
      <c r="BT139" s="22"/>
      <c r="BU139" s="22"/>
      <c r="BV139" s="144"/>
      <c r="BW139" s="22"/>
      <c r="BX139" s="22"/>
      <c r="BY139" s="144"/>
      <c r="BZ139" s="22"/>
      <c r="CA139" s="22"/>
      <c r="CB139" s="144"/>
      <c r="CC139" s="22"/>
      <c r="CD139" s="22"/>
      <c r="CE139" s="144"/>
      <c r="CF139" s="22"/>
      <c r="CG139" s="22"/>
      <c r="CH139" s="144"/>
      <c r="CI139" s="22"/>
      <c r="CJ139" s="22"/>
      <c r="CK139" s="144"/>
    </row>
    <row r="140" spans="1:89" ht="15.75" customHeight="1" x14ac:dyDescent="0.45">
      <c r="A140" s="22"/>
      <c r="B140" s="22"/>
      <c r="C140" s="12"/>
      <c r="D140" s="12"/>
      <c r="E140" s="155"/>
      <c r="F140" s="144"/>
      <c r="G140" s="12"/>
      <c r="H140" s="22"/>
      <c r="I140" s="22"/>
      <c r="J140" s="22"/>
      <c r="K140" s="145"/>
      <c r="L140" s="144"/>
      <c r="M140" s="144"/>
      <c r="N140" s="152"/>
      <c r="O140" s="22"/>
      <c r="P140" s="152"/>
      <c r="Q140" s="22"/>
      <c r="R140" s="74"/>
      <c r="S140" s="45"/>
      <c r="T140" s="158"/>
      <c r="U140" s="45"/>
      <c r="V140" s="45"/>
      <c r="W140" s="45"/>
      <c r="X140" s="45"/>
      <c r="Y140" s="45"/>
      <c r="Z140" s="45"/>
      <c r="AA140" s="45"/>
      <c r="AB140" s="45"/>
      <c r="AC140" s="144"/>
      <c r="AD140" s="144"/>
      <c r="AE140" s="45"/>
      <c r="AF140" s="45"/>
      <c r="AG140" s="144"/>
      <c r="AH140" s="144"/>
      <c r="AI140" s="144"/>
      <c r="AJ140" s="22"/>
      <c r="AK140" s="22"/>
      <c r="AL140" s="144"/>
      <c r="AM140" s="22"/>
      <c r="AN140" s="22"/>
      <c r="AO140" s="144"/>
      <c r="AP140" s="22"/>
      <c r="AQ140" s="22"/>
      <c r="AR140" s="144"/>
      <c r="AS140" s="22"/>
      <c r="AT140" s="22"/>
      <c r="AU140" s="144"/>
      <c r="AV140" s="22"/>
      <c r="AW140" s="22"/>
      <c r="AX140" s="144"/>
      <c r="AY140" s="144"/>
      <c r="AZ140" s="22"/>
      <c r="BA140" s="144"/>
      <c r="BB140" s="144"/>
      <c r="BC140" s="144"/>
      <c r="BD140" s="144"/>
      <c r="BE140" s="144"/>
      <c r="BF140" s="22"/>
      <c r="BG140" s="144"/>
      <c r="BH140" s="144"/>
      <c r="BI140" s="22"/>
      <c r="BJ140" s="144"/>
      <c r="BK140" s="22"/>
      <c r="BL140" s="144"/>
      <c r="BM140" s="144"/>
      <c r="BN140" s="22"/>
      <c r="BO140" s="144"/>
      <c r="BP140" s="144"/>
      <c r="BQ140" s="22"/>
      <c r="BR140" s="22"/>
      <c r="BS140" s="144"/>
      <c r="BT140" s="22"/>
      <c r="BU140" s="22"/>
      <c r="BV140" s="144"/>
      <c r="BW140" s="22"/>
      <c r="BX140" s="22"/>
      <c r="BY140" s="144"/>
      <c r="BZ140" s="22"/>
      <c r="CA140" s="22"/>
      <c r="CB140" s="144"/>
      <c r="CC140" s="22"/>
      <c r="CD140" s="22"/>
      <c r="CE140" s="144"/>
      <c r="CF140" s="22"/>
      <c r="CG140" s="22"/>
      <c r="CH140" s="144"/>
      <c r="CI140" s="22"/>
      <c r="CJ140" s="22"/>
      <c r="CK140" s="144"/>
    </row>
    <row r="141" spans="1:89" ht="15.75" customHeight="1" x14ac:dyDescent="0.45">
      <c r="A141" s="22"/>
      <c r="B141" s="22"/>
      <c r="C141" s="12"/>
      <c r="D141" s="12"/>
      <c r="E141" s="155"/>
      <c r="F141" s="144"/>
      <c r="G141" s="12"/>
      <c r="H141" s="22"/>
      <c r="I141" s="22"/>
      <c r="J141" s="22"/>
      <c r="K141" s="145"/>
      <c r="L141" s="144"/>
      <c r="M141" s="144"/>
      <c r="N141" s="152"/>
      <c r="O141" s="22"/>
      <c r="P141" s="152"/>
      <c r="Q141" s="22"/>
      <c r="R141" s="74"/>
      <c r="S141" s="45"/>
      <c r="T141" s="158"/>
      <c r="U141" s="45"/>
      <c r="V141" s="45"/>
      <c r="W141" s="45"/>
      <c r="X141" s="45"/>
      <c r="Y141" s="45"/>
      <c r="Z141" s="45"/>
      <c r="AA141" s="45"/>
      <c r="AB141" s="45"/>
      <c r="AC141" s="144"/>
      <c r="AD141" s="144"/>
      <c r="AE141" s="45"/>
      <c r="AF141" s="45"/>
      <c r="AG141" s="144"/>
      <c r="AH141" s="144"/>
      <c r="AI141" s="144"/>
      <c r="AJ141" s="22"/>
      <c r="AK141" s="22"/>
      <c r="AL141" s="144"/>
      <c r="AM141" s="22"/>
      <c r="AN141" s="22"/>
      <c r="AO141" s="144"/>
      <c r="AP141" s="22"/>
      <c r="AQ141" s="22"/>
      <c r="AR141" s="144"/>
      <c r="AS141" s="22"/>
      <c r="AT141" s="22"/>
      <c r="AU141" s="144"/>
      <c r="AV141" s="22"/>
      <c r="AW141" s="22"/>
      <c r="AX141" s="144"/>
      <c r="AY141" s="144"/>
      <c r="AZ141" s="22"/>
      <c r="BA141" s="144"/>
      <c r="BB141" s="144"/>
      <c r="BC141" s="144"/>
      <c r="BD141" s="144"/>
      <c r="BE141" s="144"/>
      <c r="BF141" s="22"/>
      <c r="BG141" s="144"/>
      <c r="BH141" s="144"/>
      <c r="BI141" s="22"/>
      <c r="BJ141" s="144"/>
      <c r="BK141" s="22"/>
      <c r="BL141" s="144"/>
      <c r="BM141" s="144"/>
      <c r="BN141" s="22"/>
      <c r="BO141" s="144"/>
      <c r="BP141" s="144"/>
      <c r="BQ141" s="22"/>
      <c r="BR141" s="22"/>
      <c r="BS141" s="144"/>
      <c r="BT141" s="22"/>
      <c r="BU141" s="22"/>
      <c r="BV141" s="144"/>
      <c r="BW141" s="22"/>
      <c r="BX141" s="22"/>
      <c r="BY141" s="144"/>
      <c r="BZ141" s="22"/>
      <c r="CA141" s="22"/>
      <c r="CB141" s="144"/>
      <c r="CC141" s="22"/>
      <c r="CD141" s="22"/>
      <c r="CE141" s="144"/>
      <c r="CF141" s="22"/>
      <c r="CG141" s="22"/>
      <c r="CH141" s="144"/>
      <c r="CI141" s="22"/>
      <c r="CJ141" s="22"/>
      <c r="CK141" s="144"/>
    </row>
    <row r="142" spans="1:89" ht="15.75" customHeight="1" x14ac:dyDescent="0.45">
      <c r="A142" s="22"/>
      <c r="B142" s="22"/>
      <c r="C142" s="12"/>
      <c r="D142" s="12"/>
      <c r="E142" s="155"/>
      <c r="F142" s="144"/>
      <c r="G142" s="12"/>
      <c r="H142" s="22"/>
      <c r="I142" s="22"/>
      <c r="J142" s="22"/>
      <c r="K142" s="145"/>
      <c r="L142" s="144"/>
      <c r="M142" s="144"/>
      <c r="N142" s="152"/>
      <c r="O142" s="22"/>
      <c r="P142" s="152"/>
      <c r="Q142" s="22"/>
      <c r="R142" s="74"/>
      <c r="S142" s="45"/>
      <c r="T142" s="158"/>
      <c r="U142" s="45"/>
      <c r="V142" s="45"/>
      <c r="W142" s="45"/>
      <c r="X142" s="45"/>
      <c r="Y142" s="45"/>
      <c r="Z142" s="45"/>
      <c r="AA142" s="45"/>
      <c r="AB142" s="45"/>
      <c r="AC142" s="144"/>
      <c r="AD142" s="144"/>
      <c r="AE142" s="45"/>
      <c r="AF142" s="45"/>
      <c r="AG142" s="144"/>
      <c r="AH142" s="144"/>
      <c r="AI142" s="144"/>
      <c r="AJ142" s="22"/>
      <c r="AK142" s="22"/>
      <c r="AL142" s="144"/>
      <c r="AM142" s="22"/>
      <c r="AN142" s="22"/>
      <c r="AO142" s="144"/>
      <c r="AP142" s="22"/>
      <c r="AQ142" s="22"/>
      <c r="AR142" s="144"/>
      <c r="AS142" s="22"/>
      <c r="AT142" s="22"/>
      <c r="AU142" s="144"/>
      <c r="AV142" s="22"/>
      <c r="AW142" s="22"/>
      <c r="AX142" s="144"/>
      <c r="AY142" s="144"/>
      <c r="AZ142" s="22"/>
      <c r="BA142" s="144"/>
      <c r="BB142" s="144"/>
      <c r="BC142" s="144"/>
      <c r="BD142" s="144"/>
      <c r="BE142" s="144"/>
      <c r="BF142" s="22"/>
      <c r="BG142" s="144"/>
      <c r="BH142" s="144"/>
      <c r="BI142" s="22"/>
      <c r="BJ142" s="144"/>
      <c r="BK142" s="22"/>
      <c r="BL142" s="144"/>
      <c r="BM142" s="144"/>
      <c r="BN142" s="22"/>
      <c r="BO142" s="144"/>
      <c r="BP142" s="144"/>
      <c r="BQ142" s="22"/>
      <c r="BR142" s="22"/>
      <c r="BS142" s="144"/>
      <c r="BT142" s="22"/>
      <c r="BU142" s="22"/>
      <c r="BV142" s="144"/>
      <c r="BW142" s="22"/>
      <c r="BX142" s="22"/>
      <c r="BY142" s="144"/>
      <c r="BZ142" s="22"/>
      <c r="CA142" s="22"/>
      <c r="CB142" s="144"/>
      <c r="CC142" s="22"/>
      <c r="CD142" s="22"/>
      <c r="CE142" s="144"/>
      <c r="CF142" s="22"/>
      <c r="CG142" s="22"/>
      <c r="CH142" s="144"/>
      <c r="CI142" s="22"/>
      <c r="CJ142" s="22"/>
      <c r="CK142" s="144"/>
    </row>
    <row r="143" spans="1:89" ht="15.75" customHeight="1" x14ac:dyDescent="0.45">
      <c r="A143" s="22"/>
      <c r="B143" s="22"/>
      <c r="C143" s="12"/>
      <c r="D143" s="12"/>
      <c r="E143" s="155"/>
      <c r="F143" s="144"/>
      <c r="G143" s="12"/>
      <c r="H143" s="22"/>
      <c r="I143" s="22"/>
      <c r="J143" s="22"/>
      <c r="K143" s="145"/>
      <c r="L143" s="144"/>
      <c r="M143" s="144"/>
      <c r="N143" s="152"/>
      <c r="O143" s="22"/>
      <c r="P143" s="152"/>
      <c r="Q143" s="22"/>
      <c r="R143" s="74"/>
      <c r="S143" s="45"/>
      <c r="T143" s="158"/>
      <c r="U143" s="45"/>
      <c r="V143" s="45"/>
      <c r="W143" s="45"/>
      <c r="X143" s="45"/>
      <c r="Y143" s="45"/>
      <c r="Z143" s="45"/>
      <c r="AA143" s="45"/>
      <c r="AB143" s="45"/>
      <c r="AC143" s="144"/>
      <c r="AD143" s="144"/>
      <c r="AE143" s="45"/>
      <c r="AF143" s="45"/>
      <c r="AG143" s="144"/>
      <c r="AH143" s="144"/>
      <c r="AI143" s="144"/>
      <c r="AJ143" s="22"/>
      <c r="AK143" s="22"/>
      <c r="AL143" s="144"/>
      <c r="AM143" s="22"/>
      <c r="AN143" s="22"/>
      <c r="AO143" s="144"/>
      <c r="AP143" s="22"/>
      <c r="AQ143" s="22"/>
      <c r="AR143" s="144"/>
      <c r="AS143" s="22"/>
      <c r="AT143" s="22"/>
      <c r="AU143" s="144"/>
      <c r="AV143" s="22"/>
      <c r="AW143" s="22"/>
      <c r="AX143" s="144"/>
      <c r="AY143" s="144"/>
      <c r="AZ143" s="22"/>
      <c r="BA143" s="144"/>
      <c r="BB143" s="144"/>
      <c r="BC143" s="144"/>
      <c r="BD143" s="144"/>
      <c r="BE143" s="144"/>
      <c r="BF143" s="22"/>
      <c r="BG143" s="144"/>
      <c r="BH143" s="144"/>
      <c r="BI143" s="22"/>
      <c r="BJ143" s="144"/>
      <c r="BK143" s="22"/>
      <c r="BL143" s="144"/>
      <c r="BM143" s="144"/>
      <c r="BN143" s="22"/>
      <c r="BO143" s="144"/>
      <c r="BP143" s="144"/>
      <c r="BQ143" s="22"/>
      <c r="BR143" s="22"/>
      <c r="BS143" s="144"/>
      <c r="BT143" s="22"/>
      <c r="BU143" s="22"/>
      <c r="BV143" s="144"/>
      <c r="BW143" s="22"/>
      <c r="BX143" s="22"/>
      <c r="BY143" s="144"/>
      <c r="BZ143" s="22"/>
      <c r="CA143" s="22"/>
      <c r="CB143" s="144"/>
      <c r="CC143" s="22"/>
      <c r="CD143" s="22"/>
      <c r="CE143" s="144"/>
      <c r="CF143" s="22"/>
      <c r="CG143" s="22"/>
      <c r="CH143" s="144"/>
      <c r="CI143" s="22"/>
      <c r="CJ143" s="22"/>
      <c r="CK143" s="144"/>
    </row>
    <row r="144" spans="1:89" ht="15.75" customHeight="1" x14ac:dyDescent="0.45">
      <c r="A144" s="22"/>
      <c r="B144" s="22"/>
      <c r="C144" s="12"/>
      <c r="D144" s="12"/>
      <c r="E144" s="155"/>
      <c r="F144" s="144"/>
      <c r="G144" s="12"/>
      <c r="H144" s="22"/>
      <c r="I144" s="22"/>
      <c r="J144" s="22"/>
      <c r="K144" s="145"/>
      <c r="L144" s="144"/>
      <c r="M144" s="144"/>
      <c r="N144" s="152"/>
      <c r="O144" s="22"/>
      <c r="P144" s="152"/>
      <c r="Q144" s="22"/>
      <c r="R144" s="74"/>
      <c r="S144" s="45"/>
      <c r="T144" s="158"/>
      <c r="U144" s="45"/>
      <c r="V144" s="45"/>
      <c r="W144" s="45"/>
      <c r="X144" s="45"/>
      <c r="Y144" s="45"/>
      <c r="Z144" s="45"/>
      <c r="AA144" s="45"/>
      <c r="AB144" s="45"/>
      <c r="AC144" s="144"/>
      <c r="AD144" s="144"/>
      <c r="AE144" s="45"/>
      <c r="AF144" s="45"/>
      <c r="AG144" s="144"/>
      <c r="AH144" s="144"/>
      <c r="AI144" s="144"/>
      <c r="AJ144" s="22"/>
      <c r="AK144" s="22"/>
      <c r="AL144" s="144"/>
      <c r="AM144" s="22"/>
      <c r="AN144" s="22"/>
      <c r="AO144" s="144"/>
      <c r="AP144" s="22"/>
      <c r="AQ144" s="22"/>
      <c r="AR144" s="144"/>
      <c r="AS144" s="22"/>
      <c r="AT144" s="22"/>
      <c r="AU144" s="144"/>
      <c r="AV144" s="22"/>
      <c r="AW144" s="22"/>
      <c r="AX144" s="144"/>
      <c r="AY144" s="144"/>
      <c r="AZ144" s="22"/>
      <c r="BA144" s="144"/>
      <c r="BB144" s="144"/>
      <c r="BC144" s="144"/>
      <c r="BD144" s="144"/>
      <c r="BE144" s="144"/>
      <c r="BF144" s="22"/>
      <c r="BG144" s="144"/>
      <c r="BH144" s="144"/>
      <c r="BI144" s="22"/>
      <c r="BJ144" s="144"/>
      <c r="BK144" s="22"/>
      <c r="BL144" s="144"/>
      <c r="BM144" s="144"/>
      <c r="BN144" s="22"/>
      <c r="BO144" s="144"/>
      <c r="BP144" s="144"/>
      <c r="BQ144" s="22"/>
      <c r="BR144" s="22"/>
      <c r="BS144" s="144"/>
      <c r="BT144" s="22"/>
      <c r="BU144" s="22"/>
      <c r="BV144" s="144"/>
      <c r="BW144" s="22"/>
      <c r="BX144" s="22"/>
      <c r="BY144" s="144"/>
      <c r="BZ144" s="22"/>
      <c r="CA144" s="22"/>
      <c r="CB144" s="144"/>
      <c r="CC144" s="22"/>
      <c r="CD144" s="22"/>
      <c r="CE144" s="144"/>
      <c r="CF144" s="22"/>
      <c r="CG144" s="22"/>
      <c r="CH144" s="144"/>
      <c r="CI144" s="22"/>
      <c r="CJ144" s="22"/>
      <c r="CK144" s="144"/>
    </row>
    <row r="145" spans="1:89" ht="15.75" customHeight="1" x14ac:dyDescent="0.45">
      <c r="A145" s="22"/>
      <c r="B145" s="22"/>
      <c r="C145" s="12"/>
      <c r="D145" s="12"/>
      <c r="E145" s="155"/>
      <c r="F145" s="144"/>
      <c r="G145" s="12"/>
      <c r="H145" s="22"/>
      <c r="I145" s="22"/>
      <c r="J145" s="22"/>
      <c r="K145" s="145"/>
      <c r="L145" s="144"/>
      <c r="M145" s="144"/>
      <c r="N145" s="152"/>
      <c r="O145" s="22"/>
      <c r="P145" s="152"/>
      <c r="Q145" s="22"/>
      <c r="R145" s="74"/>
      <c r="S145" s="45"/>
      <c r="T145" s="158"/>
      <c r="U145" s="45"/>
      <c r="V145" s="45"/>
      <c r="W145" s="45"/>
      <c r="X145" s="45"/>
      <c r="Y145" s="45"/>
      <c r="Z145" s="45"/>
      <c r="AA145" s="45"/>
      <c r="AB145" s="45"/>
      <c r="AC145" s="144"/>
      <c r="AD145" s="144"/>
      <c r="AE145" s="45"/>
      <c r="AF145" s="45"/>
      <c r="AG145" s="144"/>
      <c r="AH145" s="144"/>
      <c r="AI145" s="144"/>
      <c r="AJ145" s="22"/>
      <c r="AK145" s="22"/>
      <c r="AL145" s="144"/>
      <c r="AM145" s="22"/>
      <c r="AN145" s="22"/>
      <c r="AO145" s="144"/>
      <c r="AP145" s="22"/>
      <c r="AQ145" s="22"/>
      <c r="AR145" s="144"/>
      <c r="AS145" s="22"/>
      <c r="AT145" s="22"/>
      <c r="AU145" s="144"/>
      <c r="AV145" s="22"/>
      <c r="AW145" s="22"/>
      <c r="AX145" s="144"/>
      <c r="AY145" s="144"/>
      <c r="AZ145" s="22"/>
      <c r="BA145" s="144"/>
      <c r="BB145" s="144"/>
      <c r="BC145" s="144"/>
      <c r="BD145" s="144"/>
      <c r="BE145" s="144"/>
      <c r="BF145" s="22"/>
      <c r="BG145" s="144"/>
      <c r="BH145" s="144"/>
      <c r="BI145" s="22"/>
      <c r="BJ145" s="144"/>
      <c r="BK145" s="22"/>
      <c r="BL145" s="144"/>
      <c r="BM145" s="144"/>
      <c r="BN145" s="22"/>
      <c r="BO145" s="144"/>
      <c r="BP145" s="144"/>
      <c r="BQ145" s="22"/>
      <c r="BR145" s="22"/>
      <c r="BS145" s="144"/>
      <c r="BT145" s="22"/>
      <c r="BU145" s="22"/>
      <c r="BV145" s="144"/>
      <c r="BW145" s="22"/>
      <c r="BX145" s="22"/>
      <c r="BY145" s="144"/>
      <c r="BZ145" s="22"/>
      <c r="CA145" s="22"/>
      <c r="CB145" s="144"/>
      <c r="CC145" s="22"/>
      <c r="CD145" s="22"/>
      <c r="CE145" s="144"/>
      <c r="CF145" s="22"/>
      <c r="CG145" s="22"/>
      <c r="CH145" s="144"/>
      <c r="CI145" s="22"/>
      <c r="CJ145" s="22"/>
      <c r="CK145" s="144"/>
    </row>
    <row r="146" spans="1:89" ht="15.75" customHeight="1" x14ac:dyDescent="0.45">
      <c r="A146" s="22"/>
      <c r="B146" s="22"/>
      <c r="C146" s="12"/>
      <c r="D146" s="12"/>
      <c r="E146" s="155"/>
      <c r="F146" s="144"/>
      <c r="G146" s="12"/>
      <c r="H146" s="22"/>
      <c r="I146" s="22"/>
      <c r="J146" s="22"/>
      <c r="K146" s="145"/>
      <c r="L146" s="144"/>
      <c r="M146" s="144"/>
      <c r="N146" s="152"/>
      <c r="O146" s="22"/>
      <c r="P146" s="152"/>
      <c r="Q146" s="22"/>
      <c r="R146" s="74"/>
      <c r="S146" s="45"/>
      <c r="T146" s="158"/>
      <c r="U146" s="45"/>
      <c r="V146" s="45"/>
      <c r="W146" s="45"/>
      <c r="X146" s="45"/>
      <c r="Y146" s="45"/>
      <c r="Z146" s="45"/>
      <c r="AA146" s="45"/>
      <c r="AB146" s="45"/>
      <c r="AC146" s="144"/>
      <c r="AD146" s="144"/>
      <c r="AE146" s="45"/>
      <c r="AF146" s="45"/>
      <c r="AG146" s="144"/>
      <c r="AH146" s="144"/>
      <c r="AI146" s="144"/>
      <c r="AJ146" s="22"/>
      <c r="AK146" s="22"/>
      <c r="AL146" s="144"/>
      <c r="AM146" s="22"/>
      <c r="AN146" s="22"/>
      <c r="AO146" s="144"/>
      <c r="AP146" s="22"/>
      <c r="AQ146" s="22"/>
      <c r="AR146" s="144"/>
      <c r="AS146" s="22"/>
      <c r="AT146" s="22"/>
      <c r="AU146" s="144"/>
      <c r="AV146" s="22"/>
      <c r="AW146" s="22"/>
      <c r="AX146" s="144"/>
      <c r="AY146" s="144"/>
      <c r="AZ146" s="22"/>
      <c r="BA146" s="144"/>
      <c r="BB146" s="144"/>
      <c r="BC146" s="144"/>
      <c r="BD146" s="144"/>
      <c r="BE146" s="144"/>
      <c r="BF146" s="22"/>
      <c r="BG146" s="144"/>
      <c r="BH146" s="144"/>
      <c r="BI146" s="22"/>
      <c r="BJ146" s="144"/>
      <c r="BK146" s="22"/>
      <c r="BL146" s="144"/>
      <c r="BM146" s="144"/>
      <c r="BN146" s="22"/>
      <c r="BO146" s="144"/>
      <c r="BP146" s="144"/>
      <c r="BQ146" s="22"/>
      <c r="BR146" s="22"/>
      <c r="BS146" s="144"/>
      <c r="BT146" s="22"/>
      <c r="BU146" s="22"/>
      <c r="BV146" s="144"/>
      <c r="BW146" s="22"/>
      <c r="BX146" s="22"/>
      <c r="BY146" s="144"/>
      <c r="BZ146" s="22"/>
      <c r="CA146" s="22"/>
      <c r="CB146" s="144"/>
      <c r="CC146" s="22"/>
      <c r="CD146" s="22"/>
      <c r="CE146" s="144"/>
      <c r="CF146" s="22"/>
      <c r="CG146" s="22"/>
      <c r="CH146" s="144"/>
      <c r="CI146" s="22"/>
      <c r="CJ146" s="22"/>
      <c r="CK146" s="144"/>
    </row>
    <row r="147" spans="1:89" ht="15.75" customHeight="1" x14ac:dyDescent="0.45">
      <c r="A147" s="22"/>
      <c r="B147" s="22"/>
      <c r="C147" s="12"/>
      <c r="D147" s="12"/>
      <c r="E147" s="155"/>
      <c r="F147" s="144"/>
      <c r="G147" s="12"/>
      <c r="H147" s="22"/>
      <c r="I147" s="22"/>
      <c r="J147" s="22"/>
      <c r="K147" s="145"/>
      <c r="L147" s="144"/>
      <c r="M147" s="144"/>
      <c r="N147" s="152"/>
      <c r="O147" s="22"/>
      <c r="P147" s="152"/>
      <c r="Q147" s="22"/>
      <c r="R147" s="74"/>
      <c r="S147" s="45"/>
      <c r="T147" s="158"/>
      <c r="U147" s="45"/>
      <c r="V147" s="45"/>
      <c r="W147" s="45"/>
      <c r="X147" s="45"/>
      <c r="Y147" s="45"/>
      <c r="Z147" s="45"/>
      <c r="AA147" s="45"/>
      <c r="AB147" s="45"/>
      <c r="AC147" s="144"/>
      <c r="AD147" s="144"/>
      <c r="AE147" s="45"/>
      <c r="AF147" s="45"/>
      <c r="AG147" s="144"/>
      <c r="AH147" s="144"/>
      <c r="AI147" s="144"/>
      <c r="AJ147" s="22"/>
      <c r="AK147" s="22"/>
      <c r="AL147" s="144"/>
      <c r="AM147" s="22"/>
      <c r="AN147" s="22"/>
      <c r="AO147" s="144"/>
      <c r="AP147" s="22"/>
      <c r="AQ147" s="22"/>
      <c r="AR147" s="144"/>
      <c r="AS147" s="22"/>
      <c r="AT147" s="22"/>
      <c r="AU147" s="144"/>
      <c r="AV147" s="22"/>
      <c r="AW147" s="22"/>
      <c r="AX147" s="144"/>
      <c r="AY147" s="144"/>
      <c r="AZ147" s="22"/>
      <c r="BA147" s="144"/>
      <c r="BB147" s="144"/>
      <c r="BC147" s="144"/>
      <c r="BD147" s="144"/>
      <c r="BE147" s="144"/>
      <c r="BF147" s="22"/>
      <c r="BG147" s="144"/>
      <c r="BH147" s="144"/>
      <c r="BI147" s="22"/>
      <c r="BJ147" s="144"/>
      <c r="BK147" s="22"/>
      <c r="BL147" s="144"/>
      <c r="BM147" s="144"/>
      <c r="BN147" s="22"/>
      <c r="BO147" s="144"/>
      <c r="BP147" s="144"/>
      <c r="BQ147" s="22"/>
      <c r="BR147" s="22"/>
      <c r="BS147" s="144"/>
      <c r="BT147" s="22"/>
      <c r="BU147" s="22"/>
      <c r="BV147" s="144"/>
      <c r="BW147" s="22"/>
      <c r="BX147" s="22"/>
      <c r="BY147" s="144"/>
      <c r="BZ147" s="22"/>
      <c r="CA147" s="22"/>
      <c r="CB147" s="144"/>
      <c r="CC147" s="22"/>
      <c r="CD147" s="22"/>
      <c r="CE147" s="144"/>
      <c r="CF147" s="22"/>
      <c r="CG147" s="22"/>
      <c r="CH147" s="144"/>
      <c r="CI147" s="22"/>
      <c r="CJ147" s="22"/>
      <c r="CK147" s="144"/>
    </row>
    <row r="148" spans="1:89" ht="15.75" customHeight="1" x14ac:dyDescent="0.45">
      <c r="A148" s="22"/>
      <c r="B148" s="22"/>
      <c r="C148" s="12"/>
      <c r="D148" s="12"/>
      <c r="E148" s="155"/>
      <c r="F148" s="144"/>
      <c r="G148" s="12"/>
      <c r="H148" s="22"/>
      <c r="I148" s="22"/>
      <c r="J148" s="22"/>
      <c r="K148" s="145"/>
      <c r="L148" s="144"/>
      <c r="M148" s="144"/>
      <c r="N148" s="152"/>
      <c r="O148" s="22"/>
      <c r="P148" s="152"/>
      <c r="Q148" s="22"/>
      <c r="R148" s="74"/>
      <c r="S148" s="45"/>
      <c r="T148" s="158"/>
      <c r="U148" s="45"/>
      <c r="V148" s="45"/>
      <c r="W148" s="45"/>
      <c r="X148" s="45"/>
      <c r="Y148" s="45"/>
      <c r="Z148" s="45"/>
      <c r="AA148" s="45"/>
      <c r="AB148" s="45"/>
      <c r="AC148" s="144"/>
      <c r="AD148" s="144"/>
      <c r="AE148" s="45"/>
      <c r="AF148" s="45"/>
      <c r="AG148" s="144"/>
      <c r="AH148" s="144"/>
      <c r="AI148" s="144"/>
      <c r="AJ148" s="22"/>
      <c r="AK148" s="22"/>
      <c r="AL148" s="144"/>
      <c r="AM148" s="22"/>
      <c r="AN148" s="22"/>
      <c r="AO148" s="144"/>
      <c r="AP148" s="22"/>
      <c r="AQ148" s="22"/>
      <c r="AR148" s="144"/>
      <c r="AS148" s="22"/>
      <c r="AT148" s="22"/>
      <c r="AU148" s="144"/>
      <c r="AV148" s="22"/>
      <c r="AW148" s="22"/>
      <c r="AX148" s="144"/>
      <c r="AY148" s="144"/>
      <c r="AZ148" s="22"/>
      <c r="BA148" s="144"/>
      <c r="BB148" s="144"/>
      <c r="BC148" s="144"/>
      <c r="BD148" s="144"/>
      <c r="BE148" s="144"/>
      <c r="BF148" s="22"/>
      <c r="BG148" s="144"/>
      <c r="BH148" s="144"/>
      <c r="BI148" s="22"/>
      <c r="BJ148" s="144"/>
      <c r="BK148" s="22"/>
      <c r="BL148" s="144"/>
      <c r="BM148" s="144"/>
      <c r="BN148" s="22"/>
      <c r="BO148" s="144"/>
      <c r="BP148" s="144"/>
      <c r="BQ148" s="22"/>
      <c r="BR148" s="22"/>
      <c r="BS148" s="144"/>
      <c r="BT148" s="22"/>
      <c r="BU148" s="22"/>
      <c r="BV148" s="144"/>
      <c r="BW148" s="22"/>
      <c r="BX148" s="22"/>
      <c r="BY148" s="144"/>
      <c r="BZ148" s="22"/>
      <c r="CA148" s="22"/>
      <c r="CB148" s="144"/>
      <c r="CC148" s="22"/>
      <c r="CD148" s="22"/>
      <c r="CE148" s="144"/>
      <c r="CF148" s="22"/>
      <c r="CG148" s="22"/>
      <c r="CH148" s="144"/>
      <c r="CI148" s="22"/>
      <c r="CJ148" s="22"/>
      <c r="CK148" s="144"/>
    </row>
    <row r="149" spans="1:89" ht="15.75" customHeight="1" x14ac:dyDescent="0.45">
      <c r="A149" s="22"/>
      <c r="B149" s="22"/>
      <c r="C149" s="12"/>
      <c r="D149" s="12"/>
      <c r="E149" s="155"/>
      <c r="F149" s="144"/>
      <c r="G149" s="12"/>
      <c r="H149" s="22"/>
      <c r="I149" s="22"/>
      <c r="J149" s="22"/>
      <c r="K149" s="145"/>
      <c r="L149" s="144"/>
      <c r="M149" s="144"/>
      <c r="N149" s="152"/>
      <c r="O149" s="22"/>
      <c r="P149" s="152"/>
      <c r="Q149" s="22"/>
      <c r="R149" s="74"/>
      <c r="S149" s="45"/>
      <c r="T149" s="158"/>
      <c r="U149" s="45"/>
      <c r="V149" s="45"/>
      <c r="W149" s="45"/>
      <c r="X149" s="45"/>
      <c r="Y149" s="45"/>
      <c r="Z149" s="45"/>
      <c r="AA149" s="45"/>
      <c r="AB149" s="45"/>
      <c r="AC149" s="144"/>
      <c r="AD149" s="144"/>
      <c r="AE149" s="45"/>
      <c r="AF149" s="45"/>
      <c r="AG149" s="144"/>
      <c r="AH149" s="144"/>
      <c r="AI149" s="144"/>
      <c r="AJ149" s="22"/>
      <c r="AK149" s="22"/>
      <c r="AL149" s="144"/>
      <c r="AM149" s="22"/>
      <c r="AN149" s="22"/>
      <c r="AO149" s="144"/>
      <c r="AP149" s="22"/>
      <c r="AQ149" s="22"/>
      <c r="AR149" s="144"/>
      <c r="AS149" s="22"/>
      <c r="AT149" s="22"/>
      <c r="AU149" s="144"/>
      <c r="AV149" s="22"/>
      <c r="AW149" s="22"/>
      <c r="AX149" s="144"/>
      <c r="AY149" s="144"/>
      <c r="AZ149" s="22"/>
      <c r="BA149" s="144"/>
      <c r="BB149" s="144"/>
      <c r="BC149" s="144"/>
      <c r="BD149" s="144"/>
      <c r="BE149" s="144"/>
      <c r="BF149" s="22"/>
      <c r="BG149" s="144"/>
      <c r="BH149" s="144"/>
      <c r="BI149" s="22"/>
      <c r="BJ149" s="144"/>
      <c r="BK149" s="22"/>
      <c r="BL149" s="144"/>
      <c r="BM149" s="144"/>
      <c r="BN149" s="22"/>
      <c r="BO149" s="144"/>
      <c r="BP149" s="144"/>
      <c r="BQ149" s="22"/>
      <c r="BR149" s="22"/>
      <c r="BS149" s="144"/>
      <c r="BT149" s="22"/>
      <c r="BU149" s="22"/>
      <c r="BV149" s="144"/>
      <c r="BW149" s="22"/>
      <c r="BX149" s="22"/>
      <c r="BY149" s="144"/>
      <c r="BZ149" s="22"/>
      <c r="CA149" s="22"/>
      <c r="CB149" s="144"/>
      <c r="CC149" s="22"/>
      <c r="CD149" s="22"/>
      <c r="CE149" s="144"/>
      <c r="CF149" s="22"/>
      <c r="CG149" s="22"/>
      <c r="CH149" s="144"/>
      <c r="CI149" s="22"/>
      <c r="CJ149" s="22"/>
      <c r="CK149" s="144"/>
    </row>
    <row r="150" spans="1:89" ht="15.75" customHeight="1" x14ac:dyDescent="0.45">
      <c r="A150" s="22"/>
      <c r="B150" s="22"/>
      <c r="C150" s="12"/>
      <c r="D150" s="12"/>
      <c r="E150" s="155"/>
      <c r="F150" s="144"/>
      <c r="G150" s="12"/>
      <c r="H150" s="22"/>
      <c r="I150" s="22"/>
      <c r="J150" s="22"/>
      <c r="K150" s="145"/>
      <c r="L150" s="144"/>
      <c r="M150" s="144"/>
      <c r="N150" s="152"/>
      <c r="O150" s="22"/>
      <c r="P150" s="152"/>
      <c r="Q150" s="22"/>
      <c r="R150" s="74"/>
      <c r="S150" s="45"/>
      <c r="T150" s="158"/>
      <c r="U150" s="45"/>
      <c r="V150" s="45"/>
      <c r="W150" s="45"/>
      <c r="X150" s="45"/>
      <c r="Y150" s="45"/>
      <c r="Z150" s="45"/>
      <c r="AA150" s="45"/>
      <c r="AB150" s="45"/>
      <c r="AC150" s="144"/>
      <c r="AD150" s="144"/>
      <c r="AE150" s="45"/>
      <c r="AF150" s="45"/>
      <c r="AG150" s="144"/>
      <c r="AH150" s="144"/>
      <c r="AI150" s="144"/>
      <c r="AJ150" s="22"/>
      <c r="AK150" s="22"/>
      <c r="AL150" s="144"/>
      <c r="AM150" s="22"/>
      <c r="AN150" s="22"/>
      <c r="AO150" s="144"/>
      <c r="AP150" s="22"/>
      <c r="AQ150" s="22"/>
      <c r="AR150" s="144"/>
      <c r="AS150" s="22"/>
      <c r="AT150" s="22"/>
      <c r="AU150" s="144"/>
      <c r="AV150" s="22"/>
      <c r="AW150" s="22"/>
      <c r="AX150" s="144"/>
      <c r="AY150" s="144"/>
      <c r="AZ150" s="22"/>
      <c r="BA150" s="144"/>
      <c r="BB150" s="144"/>
      <c r="BC150" s="144"/>
      <c r="BD150" s="144"/>
      <c r="BE150" s="144"/>
      <c r="BF150" s="22"/>
      <c r="BG150" s="144"/>
      <c r="BH150" s="144"/>
      <c r="BI150" s="22"/>
      <c r="BJ150" s="144"/>
      <c r="BK150" s="22"/>
      <c r="BL150" s="144"/>
      <c r="BM150" s="144"/>
      <c r="BN150" s="22"/>
      <c r="BO150" s="144"/>
      <c r="BP150" s="144"/>
      <c r="BQ150" s="22"/>
      <c r="BR150" s="22"/>
      <c r="BS150" s="144"/>
      <c r="BT150" s="22"/>
      <c r="BU150" s="22"/>
      <c r="BV150" s="144"/>
      <c r="BW150" s="22"/>
      <c r="BX150" s="22"/>
      <c r="BY150" s="144"/>
      <c r="BZ150" s="22"/>
      <c r="CA150" s="22"/>
      <c r="CB150" s="144"/>
      <c r="CC150" s="22"/>
      <c r="CD150" s="22"/>
      <c r="CE150" s="144"/>
      <c r="CF150" s="22"/>
      <c r="CG150" s="22"/>
      <c r="CH150" s="144"/>
      <c r="CI150" s="22"/>
      <c r="CJ150" s="22"/>
      <c r="CK150" s="144"/>
    </row>
    <row r="151" spans="1:89" ht="15.75" customHeight="1" x14ac:dyDescent="0.45">
      <c r="A151" s="22"/>
      <c r="B151" s="22"/>
      <c r="C151" s="12"/>
      <c r="D151" s="12"/>
      <c r="E151" s="155"/>
      <c r="F151" s="144"/>
      <c r="G151" s="12"/>
      <c r="H151" s="22"/>
      <c r="I151" s="22"/>
      <c r="J151" s="22"/>
      <c r="K151" s="145"/>
      <c r="L151" s="144"/>
      <c r="M151" s="144"/>
      <c r="N151" s="152"/>
      <c r="O151" s="22"/>
      <c r="P151" s="152"/>
      <c r="Q151" s="22"/>
      <c r="R151" s="74"/>
      <c r="S151" s="45"/>
      <c r="T151" s="158"/>
      <c r="U151" s="45"/>
      <c r="V151" s="45"/>
      <c r="W151" s="45"/>
      <c r="X151" s="45"/>
      <c r="Y151" s="45"/>
      <c r="Z151" s="45"/>
      <c r="AA151" s="45"/>
      <c r="AB151" s="45"/>
      <c r="AC151" s="144"/>
      <c r="AD151" s="144"/>
      <c r="AE151" s="45"/>
      <c r="AF151" s="45"/>
      <c r="AG151" s="144"/>
      <c r="AH151" s="144"/>
      <c r="AI151" s="144"/>
      <c r="AJ151" s="22"/>
      <c r="AK151" s="22"/>
      <c r="AL151" s="144"/>
      <c r="AM151" s="22"/>
      <c r="AN151" s="22"/>
      <c r="AO151" s="144"/>
      <c r="AP151" s="22"/>
      <c r="AQ151" s="22"/>
      <c r="AR151" s="144"/>
      <c r="AS151" s="22"/>
      <c r="AT151" s="22"/>
      <c r="AU151" s="144"/>
      <c r="AV151" s="22"/>
      <c r="AW151" s="22"/>
      <c r="AX151" s="144"/>
      <c r="AY151" s="144"/>
      <c r="AZ151" s="22"/>
      <c r="BA151" s="144"/>
      <c r="BB151" s="144"/>
      <c r="BC151" s="144"/>
      <c r="BD151" s="144"/>
      <c r="BE151" s="144"/>
      <c r="BF151" s="22"/>
      <c r="BG151" s="144"/>
      <c r="BH151" s="144"/>
      <c r="BI151" s="22"/>
      <c r="BJ151" s="144"/>
      <c r="BK151" s="22"/>
      <c r="BL151" s="144"/>
      <c r="BM151" s="144"/>
      <c r="BN151" s="22"/>
      <c r="BO151" s="144"/>
      <c r="BP151" s="144"/>
      <c r="BQ151" s="22"/>
      <c r="BR151" s="22"/>
      <c r="BS151" s="144"/>
      <c r="BT151" s="22"/>
      <c r="BU151" s="22"/>
      <c r="BV151" s="144"/>
      <c r="BW151" s="22"/>
      <c r="BX151" s="22"/>
      <c r="BY151" s="144"/>
      <c r="BZ151" s="22"/>
      <c r="CA151" s="22"/>
      <c r="CB151" s="144"/>
      <c r="CC151" s="22"/>
      <c r="CD151" s="22"/>
      <c r="CE151" s="144"/>
      <c r="CF151" s="22"/>
      <c r="CG151" s="22"/>
      <c r="CH151" s="144"/>
      <c r="CI151" s="22"/>
      <c r="CJ151" s="22"/>
      <c r="CK151" s="144"/>
    </row>
    <row r="152" spans="1:89" ht="15.75" customHeight="1" x14ac:dyDescent="0.45">
      <c r="A152" s="22"/>
      <c r="B152" s="22"/>
      <c r="C152" s="12"/>
      <c r="D152" s="12"/>
      <c r="E152" s="155"/>
      <c r="F152" s="144"/>
      <c r="G152" s="12"/>
      <c r="H152" s="22"/>
      <c r="I152" s="22"/>
      <c r="J152" s="22"/>
      <c r="K152" s="145"/>
      <c r="L152" s="144"/>
      <c r="M152" s="144"/>
      <c r="N152" s="152"/>
      <c r="O152" s="22"/>
      <c r="P152" s="152"/>
      <c r="Q152" s="22"/>
      <c r="R152" s="74"/>
      <c r="S152" s="45"/>
      <c r="T152" s="158"/>
      <c r="U152" s="45"/>
      <c r="V152" s="45"/>
      <c r="W152" s="45"/>
      <c r="X152" s="45"/>
      <c r="Y152" s="45"/>
      <c r="Z152" s="45"/>
      <c r="AA152" s="45"/>
      <c r="AB152" s="45"/>
      <c r="AC152" s="144"/>
      <c r="AD152" s="144"/>
      <c r="AE152" s="45"/>
      <c r="AF152" s="45"/>
      <c r="AG152" s="144"/>
      <c r="AH152" s="144"/>
      <c r="AI152" s="144"/>
      <c r="AJ152" s="22"/>
      <c r="AK152" s="22"/>
      <c r="AL152" s="144"/>
      <c r="AM152" s="22"/>
      <c r="AN152" s="22"/>
      <c r="AO152" s="144"/>
      <c r="AP152" s="22"/>
      <c r="AQ152" s="22"/>
      <c r="AR152" s="144"/>
      <c r="AS152" s="22"/>
      <c r="AT152" s="22"/>
      <c r="AU152" s="144"/>
      <c r="AV152" s="22"/>
      <c r="AW152" s="22"/>
      <c r="AX152" s="144"/>
      <c r="AY152" s="144"/>
      <c r="AZ152" s="22"/>
      <c r="BA152" s="144"/>
      <c r="BB152" s="144"/>
      <c r="BC152" s="144"/>
      <c r="BD152" s="144"/>
      <c r="BE152" s="144"/>
      <c r="BF152" s="22"/>
      <c r="BG152" s="144"/>
      <c r="BH152" s="144"/>
      <c r="BI152" s="22"/>
      <c r="BJ152" s="144"/>
      <c r="BK152" s="22"/>
      <c r="BL152" s="144"/>
      <c r="BM152" s="144"/>
      <c r="BN152" s="22"/>
      <c r="BO152" s="144"/>
      <c r="BP152" s="144"/>
      <c r="BQ152" s="22"/>
      <c r="BR152" s="22"/>
      <c r="BS152" s="144"/>
      <c r="BT152" s="22"/>
      <c r="BU152" s="22"/>
      <c r="BV152" s="144"/>
      <c r="BW152" s="22"/>
      <c r="BX152" s="22"/>
      <c r="BY152" s="144"/>
      <c r="BZ152" s="22"/>
      <c r="CA152" s="22"/>
      <c r="CB152" s="144"/>
      <c r="CC152" s="22"/>
      <c r="CD152" s="22"/>
      <c r="CE152" s="144"/>
      <c r="CF152" s="22"/>
      <c r="CG152" s="22"/>
      <c r="CH152" s="144"/>
      <c r="CI152" s="22"/>
      <c r="CJ152" s="22"/>
      <c r="CK152" s="144"/>
    </row>
    <row r="153" spans="1:89" ht="15.75" customHeight="1" x14ac:dyDescent="0.45">
      <c r="A153" s="22"/>
      <c r="B153" s="22"/>
      <c r="C153" s="12"/>
      <c r="D153" s="12"/>
      <c r="E153" s="155"/>
      <c r="F153" s="144"/>
      <c r="G153" s="12"/>
      <c r="H153" s="22"/>
      <c r="I153" s="22"/>
      <c r="J153" s="22"/>
      <c r="K153" s="145"/>
      <c r="L153" s="144"/>
      <c r="M153" s="144"/>
      <c r="N153" s="152"/>
      <c r="O153" s="22"/>
      <c r="P153" s="152"/>
      <c r="Q153" s="22"/>
      <c r="R153" s="74"/>
      <c r="S153" s="45"/>
      <c r="T153" s="158"/>
      <c r="U153" s="45"/>
      <c r="V153" s="45"/>
      <c r="W153" s="45"/>
      <c r="X153" s="45"/>
      <c r="Y153" s="45"/>
      <c r="Z153" s="45"/>
      <c r="AA153" s="45"/>
      <c r="AB153" s="45"/>
      <c r="AC153" s="144"/>
      <c r="AD153" s="144"/>
      <c r="AE153" s="45"/>
      <c r="AF153" s="45"/>
      <c r="AG153" s="144"/>
      <c r="AH153" s="144"/>
      <c r="AI153" s="144"/>
      <c r="AJ153" s="22"/>
      <c r="AK153" s="22"/>
      <c r="AL153" s="144"/>
      <c r="AM153" s="22"/>
      <c r="AN153" s="22"/>
      <c r="AO153" s="144"/>
      <c r="AP153" s="22"/>
      <c r="AQ153" s="22"/>
      <c r="AR153" s="144"/>
      <c r="AS153" s="22"/>
      <c r="AT153" s="22"/>
      <c r="AU153" s="144"/>
      <c r="AV153" s="22"/>
      <c r="AW153" s="22"/>
      <c r="AX153" s="144"/>
      <c r="AY153" s="144"/>
      <c r="AZ153" s="22"/>
      <c r="BA153" s="144"/>
      <c r="BB153" s="144"/>
      <c r="BC153" s="144"/>
      <c r="BD153" s="144"/>
      <c r="BE153" s="144"/>
      <c r="BF153" s="22"/>
      <c r="BG153" s="144"/>
      <c r="BH153" s="144"/>
      <c r="BI153" s="22"/>
      <c r="BJ153" s="144"/>
      <c r="BK153" s="22"/>
      <c r="BL153" s="144"/>
      <c r="BM153" s="144"/>
      <c r="BN153" s="22"/>
      <c r="BO153" s="144"/>
      <c r="BP153" s="144"/>
      <c r="BQ153" s="22"/>
      <c r="BR153" s="22"/>
      <c r="BS153" s="144"/>
      <c r="BT153" s="22"/>
      <c r="BU153" s="22"/>
      <c r="BV153" s="144"/>
      <c r="BW153" s="22"/>
      <c r="BX153" s="22"/>
      <c r="BY153" s="144"/>
      <c r="BZ153" s="22"/>
      <c r="CA153" s="22"/>
      <c r="CB153" s="144"/>
      <c r="CC153" s="22"/>
      <c r="CD153" s="22"/>
      <c r="CE153" s="144"/>
      <c r="CF153" s="22"/>
      <c r="CG153" s="22"/>
      <c r="CH153" s="144"/>
      <c r="CI153" s="22"/>
      <c r="CJ153" s="22"/>
      <c r="CK153" s="144"/>
    </row>
    <row r="154" spans="1:89" ht="15.75" customHeight="1" x14ac:dyDescent="0.45">
      <c r="A154" s="22"/>
      <c r="B154" s="22"/>
      <c r="C154" s="12"/>
      <c r="D154" s="12"/>
      <c r="E154" s="155"/>
      <c r="F154" s="144"/>
      <c r="G154" s="12"/>
      <c r="H154" s="22"/>
      <c r="I154" s="22"/>
      <c r="J154" s="22"/>
      <c r="K154" s="145"/>
      <c r="L154" s="144"/>
      <c r="M154" s="144"/>
      <c r="N154" s="152"/>
      <c r="O154" s="22"/>
      <c r="P154" s="152"/>
      <c r="Q154" s="22"/>
      <c r="R154" s="74"/>
      <c r="S154" s="45"/>
      <c r="T154" s="158"/>
      <c r="U154" s="45"/>
      <c r="V154" s="45"/>
      <c r="W154" s="45"/>
      <c r="X154" s="45"/>
      <c r="Y154" s="45"/>
      <c r="Z154" s="45"/>
      <c r="AA154" s="45"/>
      <c r="AB154" s="45"/>
      <c r="AC154" s="144"/>
      <c r="AD154" s="144"/>
      <c r="AE154" s="45"/>
      <c r="AF154" s="45"/>
      <c r="AG154" s="144"/>
      <c r="AH154" s="144"/>
      <c r="AI154" s="144"/>
      <c r="AJ154" s="22"/>
      <c r="AK154" s="22"/>
      <c r="AL154" s="144"/>
      <c r="AM154" s="22"/>
      <c r="AN154" s="22"/>
      <c r="AO154" s="144"/>
      <c r="AP154" s="22"/>
      <c r="AQ154" s="22"/>
      <c r="AR154" s="144"/>
      <c r="AS154" s="22"/>
      <c r="AT154" s="22"/>
      <c r="AU154" s="144"/>
      <c r="AV154" s="22"/>
      <c r="AW154" s="22"/>
      <c r="AX154" s="144"/>
      <c r="AY154" s="144"/>
      <c r="AZ154" s="22"/>
      <c r="BA154" s="144"/>
      <c r="BB154" s="144"/>
      <c r="BC154" s="144"/>
      <c r="BD154" s="144"/>
      <c r="BE154" s="144"/>
      <c r="BF154" s="22"/>
      <c r="BG154" s="144"/>
      <c r="BH154" s="144"/>
      <c r="BI154" s="22"/>
      <c r="BJ154" s="144"/>
      <c r="BK154" s="22"/>
      <c r="BL154" s="144"/>
      <c r="BM154" s="144"/>
      <c r="BN154" s="22"/>
      <c r="BO154" s="144"/>
      <c r="BP154" s="144"/>
      <c r="BQ154" s="22"/>
      <c r="BR154" s="22"/>
      <c r="BS154" s="144"/>
      <c r="BT154" s="22"/>
      <c r="BU154" s="22"/>
      <c r="BV154" s="144"/>
      <c r="BW154" s="22"/>
      <c r="BX154" s="22"/>
      <c r="BY154" s="144"/>
      <c r="BZ154" s="22"/>
      <c r="CA154" s="22"/>
      <c r="CB154" s="144"/>
      <c r="CC154" s="22"/>
      <c r="CD154" s="22"/>
      <c r="CE154" s="144"/>
      <c r="CF154" s="22"/>
      <c r="CG154" s="22"/>
      <c r="CH154" s="144"/>
      <c r="CI154" s="22"/>
      <c r="CJ154" s="22"/>
      <c r="CK154" s="144"/>
    </row>
    <row r="155" spans="1:89" ht="15.75" customHeight="1" x14ac:dyDescent="0.45">
      <c r="A155" s="22"/>
      <c r="B155" s="22"/>
      <c r="C155" s="12"/>
      <c r="D155" s="12"/>
      <c r="E155" s="155"/>
      <c r="F155" s="144"/>
      <c r="G155" s="12"/>
      <c r="H155" s="22"/>
      <c r="I155" s="22"/>
      <c r="J155" s="22"/>
      <c r="K155" s="145"/>
      <c r="L155" s="144"/>
      <c r="M155" s="144"/>
      <c r="N155" s="152"/>
      <c r="O155" s="22"/>
      <c r="P155" s="152"/>
      <c r="Q155" s="22"/>
      <c r="R155" s="74"/>
      <c r="S155" s="45"/>
      <c r="T155" s="158"/>
      <c r="U155" s="45"/>
      <c r="V155" s="45"/>
      <c r="W155" s="45"/>
      <c r="X155" s="45"/>
      <c r="Y155" s="45"/>
      <c r="Z155" s="45"/>
      <c r="AA155" s="45"/>
      <c r="AB155" s="45"/>
      <c r="AC155" s="144"/>
      <c r="AD155" s="144"/>
      <c r="AE155" s="45"/>
      <c r="AF155" s="45"/>
      <c r="AG155" s="144"/>
      <c r="AH155" s="144"/>
      <c r="AI155" s="144"/>
      <c r="AJ155" s="22"/>
      <c r="AK155" s="22"/>
      <c r="AL155" s="144"/>
      <c r="AM155" s="22"/>
      <c r="AN155" s="22"/>
      <c r="AO155" s="144"/>
      <c r="AP155" s="22"/>
      <c r="AQ155" s="22"/>
      <c r="AR155" s="144"/>
      <c r="AS155" s="22"/>
      <c r="AT155" s="22"/>
      <c r="AU155" s="144"/>
      <c r="AV155" s="22"/>
      <c r="AW155" s="22"/>
      <c r="AX155" s="144"/>
      <c r="AY155" s="144"/>
      <c r="AZ155" s="22"/>
      <c r="BA155" s="144"/>
      <c r="BB155" s="144"/>
      <c r="BC155" s="144"/>
      <c r="BD155" s="144"/>
      <c r="BE155" s="144"/>
      <c r="BF155" s="22"/>
      <c r="BG155" s="144"/>
      <c r="BH155" s="144"/>
      <c r="BI155" s="22"/>
      <c r="BJ155" s="144"/>
      <c r="BK155" s="22"/>
      <c r="BL155" s="144"/>
      <c r="BM155" s="144"/>
      <c r="BN155" s="22"/>
      <c r="BO155" s="144"/>
      <c r="BP155" s="144"/>
      <c r="BQ155" s="22"/>
      <c r="BR155" s="22"/>
      <c r="BS155" s="144"/>
      <c r="BT155" s="22"/>
      <c r="BU155" s="22"/>
      <c r="BV155" s="144"/>
      <c r="BW155" s="22"/>
      <c r="BX155" s="22"/>
      <c r="BY155" s="144"/>
      <c r="BZ155" s="22"/>
      <c r="CA155" s="22"/>
      <c r="CB155" s="144"/>
      <c r="CC155" s="22"/>
      <c r="CD155" s="22"/>
      <c r="CE155" s="144"/>
      <c r="CF155" s="22"/>
      <c r="CG155" s="22"/>
      <c r="CH155" s="144"/>
      <c r="CI155" s="22"/>
      <c r="CJ155" s="22"/>
      <c r="CK155" s="144"/>
    </row>
    <row r="156" spans="1:89" ht="15.75" customHeight="1" x14ac:dyDescent="0.45">
      <c r="A156" s="22"/>
      <c r="B156" s="22"/>
      <c r="C156" s="12"/>
      <c r="D156" s="12"/>
      <c r="E156" s="155"/>
      <c r="F156" s="144"/>
      <c r="G156" s="12"/>
      <c r="H156" s="22"/>
      <c r="I156" s="22"/>
      <c r="J156" s="22"/>
      <c r="K156" s="145"/>
      <c r="L156" s="144"/>
      <c r="M156" s="144"/>
      <c r="N156" s="152"/>
      <c r="O156" s="22"/>
      <c r="P156" s="152"/>
      <c r="Q156" s="22"/>
      <c r="R156" s="74"/>
      <c r="S156" s="45"/>
      <c r="T156" s="158"/>
      <c r="U156" s="45"/>
      <c r="V156" s="45"/>
      <c r="W156" s="45"/>
      <c r="X156" s="45"/>
      <c r="Y156" s="45"/>
      <c r="Z156" s="45"/>
      <c r="AA156" s="45"/>
      <c r="AB156" s="45"/>
      <c r="AC156" s="144"/>
      <c r="AD156" s="144"/>
      <c r="AE156" s="45"/>
      <c r="AF156" s="45"/>
      <c r="AG156" s="144"/>
      <c r="AH156" s="144"/>
      <c r="AI156" s="144"/>
      <c r="AJ156" s="22"/>
      <c r="AK156" s="22"/>
      <c r="AL156" s="144"/>
      <c r="AM156" s="22"/>
      <c r="AN156" s="22"/>
      <c r="AO156" s="144"/>
      <c r="AP156" s="22"/>
      <c r="AQ156" s="22"/>
      <c r="AR156" s="144"/>
      <c r="AS156" s="22"/>
      <c r="AT156" s="22"/>
      <c r="AU156" s="144"/>
      <c r="AV156" s="22"/>
      <c r="AW156" s="22"/>
      <c r="AX156" s="144"/>
      <c r="AY156" s="144"/>
      <c r="AZ156" s="22"/>
      <c r="BA156" s="144"/>
      <c r="BB156" s="144"/>
      <c r="BC156" s="144"/>
      <c r="BD156" s="144"/>
      <c r="BE156" s="144"/>
      <c r="BF156" s="22"/>
      <c r="BG156" s="144"/>
      <c r="BH156" s="144"/>
      <c r="BI156" s="22"/>
      <c r="BJ156" s="144"/>
      <c r="BK156" s="22"/>
      <c r="BL156" s="144"/>
      <c r="BM156" s="144"/>
      <c r="BN156" s="22"/>
      <c r="BO156" s="144"/>
      <c r="BP156" s="144"/>
      <c r="BQ156" s="22"/>
      <c r="BR156" s="22"/>
      <c r="BS156" s="144"/>
      <c r="BT156" s="22"/>
      <c r="BU156" s="22"/>
      <c r="BV156" s="144"/>
      <c r="BW156" s="22"/>
      <c r="BX156" s="22"/>
      <c r="BY156" s="144"/>
      <c r="BZ156" s="22"/>
      <c r="CA156" s="22"/>
      <c r="CB156" s="144"/>
      <c r="CC156" s="22"/>
      <c r="CD156" s="22"/>
      <c r="CE156" s="144"/>
      <c r="CF156" s="22"/>
      <c r="CG156" s="22"/>
      <c r="CH156" s="144"/>
      <c r="CI156" s="22"/>
      <c r="CJ156" s="22"/>
      <c r="CK156" s="144"/>
    </row>
    <row r="157" spans="1:89" ht="15.75" customHeight="1" x14ac:dyDescent="0.45">
      <c r="A157" s="22"/>
      <c r="B157" s="22"/>
      <c r="C157" s="12"/>
      <c r="D157" s="12"/>
      <c r="E157" s="155"/>
      <c r="F157" s="144"/>
      <c r="G157" s="12"/>
      <c r="H157" s="22"/>
      <c r="I157" s="22"/>
      <c r="J157" s="22"/>
      <c r="K157" s="145"/>
      <c r="L157" s="144"/>
      <c r="M157" s="144"/>
      <c r="N157" s="152"/>
      <c r="O157" s="22"/>
      <c r="P157" s="152"/>
      <c r="Q157" s="22"/>
      <c r="R157" s="74"/>
      <c r="S157" s="45"/>
      <c r="T157" s="158"/>
      <c r="U157" s="45"/>
      <c r="V157" s="45"/>
      <c r="W157" s="45"/>
      <c r="X157" s="45"/>
      <c r="Y157" s="45"/>
      <c r="Z157" s="45"/>
      <c r="AA157" s="45"/>
      <c r="AB157" s="45"/>
      <c r="AC157" s="144"/>
      <c r="AD157" s="144"/>
      <c r="AE157" s="45"/>
      <c r="AF157" s="45"/>
      <c r="AG157" s="144"/>
      <c r="AH157" s="144"/>
      <c r="AI157" s="144"/>
      <c r="AJ157" s="22"/>
      <c r="AK157" s="22"/>
      <c r="AL157" s="144"/>
      <c r="AM157" s="22"/>
      <c r="AN157" s="22"/>
      <c r="AO157" s="144"/>
      <c r="AP157" s="22"/>
      <c r="AQ157" s="22"/>
      <c r="AR157" s="144"/>
      <c r="AS157" s="22"/>
      <c r="AT157" s="22"/>
      <c r="AU157" s="144"/>
      <c r="AV157" s="22"/>
      <c r="AW157" s="22"/>
      <c r="AX157" s="144"/>
      <c r="AY157" s="144"/>
      <c r="AZ157" s="22"/>
      <c r="BA157" s="144"/>
      <c r="BB157" s="144"/>
      <c r="BC157" s="144"/>
      <c r="BD157" s="144"/>
      <c r="BE157" s="144"/>
      <c r="BF157" s="22"/>
      <c r="BG157" s="144"/>
      <c r="BH157" s="144"/>
      <c r="BI157" s="22"/>
      <c r="BJ157" s="144"/>
      <c r="BK157" s="22"/>
      <c r="BL157" s="144"/>
      <c r="BM157" s="144"/>
      <c r="BN157" s="22"/>
      <c r="BO157" s="144"/>
      <c r="BP157" s="144"/>
      <c r="BQ157" s="22"/>
      <c r="BR157" s="22"/>
      <c r="BS157" s="144"/>
      <c r="BT157" s="22"/>
      <c r="BU157" s="22"/>
      <c r="BV157" s="144"/>
      <c r="BW157" s="22"/>
      <c r="BX157" s="22"/>
      <c r="BY157" s="144"/>
      <c r="BZ157" s="22"/>
      <c r="CA157" s="22"/>
      <c r="CB157" s="144"/>
      <c r="CC157" s="22"/>
      <c r="CD157" s="22"/>
      <c r="CE157" s="144"/>
      <c r="CF157" s="22"/>
      <c r="CG157" s="22"/>
      <c r="CH157" s="144"/>
      <c r="CI157" s="22"/>
      <c r="CJ157" s="22"/>
      <c r="CK157" s="144"/>
    </row>
    <row r="158" spans="1:89" ht="15.75" customHeight="1" x14ac:dyDescent="0.45">
      <c r="A158" s="22"/>
      <c r="B158" s="22"/>
      <c r="C158" s="12"/>
      <c r="D158" s="12"/>
      <c r="E158" s="155"/>
      <c r="F158" s="144"/>
      <c r="G158" s="12"/>
      <c r="H158" s="22"/>
      <c r="I158" s="22"/>
      <c r="J158" s="22"/>
      <c r="K158" s="145"/>
      <c r="L158" s="144"/>
      <c r="M158" s="144"/>
      <c r="N158" s="152"/>
      <c r="O158" s="22"/>
      <c r="P158" s="152"/>
      <c r="Q158" s="22"/>
      <c r="R158" s="74"/>
      <c r="S158" s="45"/>
      <c r="T158" s="158"/>
      <c r="U158" s="45"/>
      <c r="V158" s="45"/>
      <c r="W158" s="45"/>
      <c r="X158" s="45"/>
      <c r="Y158" s="45"/>
      <c r="Z158" s="45"/>
      <c r="AA158" s="45"/>
      <c r="AB158" s="45"/>
      <c r="AC158" s="144"/>
      <c r="AD158" s="144"/>
      <c r="AE158" s="45"/>
      <c r="AF158" s="45"/>
      <c r="AG158" s="144"/>
      <c r="AH158" s="144"/>
      <c r="AI158" s="144"/>
      <c r="AJ158" s="22"/>
      <c r="AK158" s="22"/>
      <c r="AL158" s="144"/>
      <c r="AM158" s="22"/>
      <c r="AN158" s="22"/>
      <c r="AO158" s="144"/>
      <c r="AP158" s="22"/>
      <c r="AQ158" s="22"/>
      <c r="AR158" s="144"/>
      <c r="AS158" s="22"/>
      <c r="AT158" s="22"/>
      <c r="AU158" s="144"/>
      <c r="AV158" s="22"/>
      <c r="AW158" s="22"/>
      <c r="AX158" s="144"/>
      <c r="AY158" s="144"/>
      <c r="AZ158" s="22"/>
      <c r="BA158" s="144"/>
      <c r="BB158" s="144"/>
      <c r="BC158" s="144"/>
      <c r="BD158" s="144"/>
      <c r="BE158" s="144"/>
      <c r="BF158" s="22"/>
      <c r="BG158" s="144"/>
      <c r="BH158" s="144"/>
      <c r="BI158" s="22"/>
      <c r="BJ158" s="144"/>
      <c r="BK158" s="22"/>
      <c r="BL158" s="144"/>
      <c r="BM158" s="144"/>
      <c r="BN158" s="22"/>
      <c r="BO158" s="144"/>
      <c r="BP158" s="144"/>
      <c r="BQ158" s="22"/>
      <c r="BR158" s="22"/>
      <c r="BS158" s="144"/>
      <c r="BT158" s="22"/>
      <c r="BU158" s="22"/>
      <c r="BV158" s="144"/>
      <c r="BW158" s="22"/>
      <c r="BX158" s="22"/>
      <c r="BY158" s="144"/>
      <c r="BZ158" s="22"/>
      <c r="CA158" s="22"/>
      <c r="CB158" s="144"/>
      <c r="CC158" s="22"/>
      <c r="CD158" s="22"/>
      <c r="CE158" s="144"/>
      <c r="CF158" s="22"/>
      <c r="CG158" s="22"/>
      <c r="CH158" s="144"/>
      <c r="CI158" s="22"/>
      <c r="CJ158" s="22"/>
      <c r="CK158" s="144"/>
    </row>
    <row r="159" spans="1:89" ht="15.75" customHeight="1" x14ac:dyDescent="0.45">
      <c r="A159" s="22"/>
      <c r="B159" s="22"/>
      <c r="C159" s="12"/>
      <c r="D159" s="12"/>
      <c r="E159" s="155"/>
      <c r="F159" s="144"/>
      <c r="G159" s="12"/>
      <c r="H159" s="22"/>
      <c r="I159" s="22"/>
      <c r="J159" s="22"/>
      <c r="K159" s="145"/>
      <c r="L159" s="144"/>
      <c r="M159" s="144"/>
      <c r="N159" s="152"/>
      <c r="O159" s="22"/>
      <c r="P159" s="152"/>
      <c r="Q159" s="22"/>
      <c r="R159" s="74"/>
      <c r="S159" s="45"/>
      <c r="T159" s="158"/>
      <c r="U159" s="45"/>
      <c r="V159" s="45"/>
      <c r="W159" s="45"/>
      <c r="X159" s="45"/>
      <c r="Y159" s="45"/>
      <c r="Z159" s="45"/>
      <c r="AA159" s="45"/>
      <c r="AB159" s="45"/>
      <c r="AC159" s="144"/>
      <c r="AD159" s="144"/>
      <c r="AE159" s="45"/>
      <c r="AF159" s="45"/>
      <c r="AG159" s="144"/>
      <c r="AH159" s="144"/>
      <c r="AI159" s="144"/>
      <c r="AJ159" s="22"/>
      <c r="AK159" s="22"/>
      <c r="AL159" s="144"/>
      <c r="AM159" s="22"/>
      <c r="AN159" s="22"/>
      <c r="AO159" s="144"/>
      <c r="AP159" s="22"/>
      <c r="AQ159" s="22"/>
      <c r="AR159" s="144"/>
      <c r="AS159" s="22"/>
      <c r="AT159" s="22"/>
      <c r="AU159" s="144"/>
      <c r="AV159" s="22"/>
      <c r="AW159" s="22"/>
      <c r="AX159" s="144"/>
      <c r="AY159" s="144"/>
      <c r="AZ159" s="22"/>
      <c r="BA159" s="144"/>
      <c r="BB159" s="144"/>
      <c r="BC159" s="144"/>
      <c r="BD159" s="144"/>
      <c r="BE159" s="144"/>
      <c r="BF159" s="22"/>
      <c r="BG159" s="144"/>
      <c r="BH159" s="144"/>
      <c r="BI159" s="22"/>
      <c r="BJ159" s="144"/>
      <c r="BK159" s="22"/>
      <c r="BL159" s="144"/>
      <c r="BM159" s="144"/>
      <c r="BN159" s="22"/>
      <c r="BO159" s="144"/>
      <c r="BP159" s="144"/>
      <c r="BQ159" s="22"/>
      <c r="BR159" s="22"/>
      <c r="BS159" s="144"/>
      <c r="BT159" s="22"/>
      <c r="BU159" s="22"/>
      <c r="BV159" s="144"/>
      <c r="BW159" s="22"/>
      <c r="BX159" s="22"/>
      <c r="BY159" s="144"/>
      <c r="BZ159" s="22"/>
      <c r="CA159" s="22"/>
      <c r="CB159" s="144"/>
      <c r="CC159" s="22"/>
      <c r="CD159" s="22"/>
      <c r="CE159" s="144"/>
      <c r="CF159" s="22"/>
      <c r="CG159" s="22"/>
      <c r="CH159" s="144"/>
      <c r="CI159" s="22"/>
      <c r="CJ159" s="22"/>
      <c r="CK159" s="144"/>
    </row>
    <row r="160" spans="1:89" ht="15.75" customHeight="1" x14ac:dyDescent="0.45">
      <c r="A160" s="22"/>
      <c r="B160" s="22"/>
      <c r="C160" s="12"/>
      <c r="D160" s="12"/>
      <c r="E160" s="155"/>
      <c r="F160" s="144"/>
      <c r="G160" s="12"/>
      <c r="H160" s="22"/>
      <c r="I160" s="22"/>
      <c r="J160" s="22"/>
      <c r="K160" s="145"/>
      <c r="L160" s="144"/>
      <c r="M160" s="144"/>
      <c r="N160" s="152"/>
      <c r="O160" s="22"/>
      <c r="P160" s="152"/>
      <c r="Q160" s="22"/>
      <c r="R160" s="74"/>
      <c r="S160" s="45"/>
      <c r="T160" s="158"/>
      <c r="U160" s="45"/>
      <c r="V160" s="45"/>
      <c r="W160" s="45"/>
      <c r="X160" s="45"/>
      <c r="Y160" s="45"/>
      <c r="Z160" s="45"/>
      <c r="AA160" s="45"/>
      <c r="AB160" s="45"/>
      <c r="AC160" s="144"/>
      <c r="AD160" s="144"/>
      <c r="AE160" s="45"/>
      <c r="AF160" s="45"/>
      <c r="AG160" s="144"/>
      <c r="AH160" s="144"/>
      <c r="AI160" s="144"/>
      <c r="AJ160" s="22"/>
      <c r="AK160" s="22"/>
      <c r="AL160" s="144"/>
      <c r="AM160" s="22"/>
      <c r="AN160" s="22"/>
      <c r="AO160" s="144"/>
      <c r="AP160" s="22"/>
      <c r="AQ160" s="22"/>
      <c r="AR160" s="144"/>
      <c r="AS160" s="22"/>
      <c r="AT160" s="22"/>
      <c r="AU160" s="144"/>
      <c r="AV160" s="22"/>
      <c r="AW160" s="22"/>
      <c r="AX160" s="144"/>
      <c r="AY160" s="144"/>
      <c r="AZ160" s="22"/>
      <c r="BA160" s="144"/>
      <c r="BB160" s="144"/>
      <c r="BC160" s="144"/>
      <c r="BD160" s="144"/>
      <c r="BE160" s="144"/>
      <c r="BF160" s="22"/>
      <c r="BG160" s="144"/>
      <c r="BH160" s="144"/>
      <c r="BI160" s="22"/>
      <c r="BJ160" s="144"/>
      <c r="BK160" s="22"/>
      <c r="BL160" s="144"/>
      <c r="BM160" s="144"/>
      <c r="BN160" s="22"/>
      <c r="BO160" s="144"/>
      <c r="BP160" s="144"/>
      <c r="BQ160" s="22"/>
      <c r="BR160" s="22"/>
      <c r="BS160" s="144"/>
      <c r="BT160" s="22"/>
      <c r="BU160" s="22"/>
      <c r="BV160" s="144"/>
      <c r="BW160" s="22"/>
      <c r="BX160" s="22"/>
      <c r="BY160" s="144"/>
      <c r="BZ160" s="22"/>
      <c r="CA160" s="22"/>
      <c r="CB160" s="144"/>
      <c r="CC160" s="22"/>
      <c r="CD160" s="22"/>
      <c r="CE160" s="144"/>
      <c r="CF160" s="22"/>
      <c r="CG160" s="22"/>
      <c r="CH160" s="144"/>
      <c r="CI160" s="22"/>
      <c r="CJ160" s="22"/>
      <c r="CK160" s="144"/>
    </row>
    <row r="161" spans="1:89" ht="15.75" customHeight="1" x14ac:dyDescent="0.45">
      <c r="A161" s="22"/>
      <c r="B161" s="22"/>
      <c r="C161" s="12"/>
      <c r="D161" s="12"/>
      <c r="E161" s="155"/>
      <c r="F161" s="144"/>
      <c r="G161" s="12"/>
      <c r="H161" s="22"/>
      <c r="I161" s="22"/>
      <c r="J161" s="22"/>
      <c r="K161" s="145"/>
      <c r="L161" s="144"/>
      <c r="M161" s="144"/>
      <c r="N161" s="152"/>
      <c r="O161" s="22"/>
      <c r="P161" s="152"/>
      <c r="Q161" s="22"/>
      <c r="R161" s="74"/>
      <c r="S161" s="45"/>
      <c r="T161" s="158"/>
      <c r="U161" s="45"/>
      <c r="V161" s="45"/>
      <c r="W161" s="45"/>
      <c r="X161" s="45"/>
      <c r="Y161" s="45"/>
      <c r="Z161" s="45"/>
      <c r="AA161" s="45"/>
      <c r="AB161" s="45"/>
      <c r="AC161" s="144"/>
      <c r="AD161" s="144"/>
      <c r="AE161" s="45"/>
      <c r="AF161" s="45"/>
      <c r="AG161" s="144"/>
      <c r="AH161" s="144"/>
      <c r="AI161" s="144"/>
      <c r="AJ161" s="22"/>
      <c r="AK161" s="22"/>
      <c r="AL161" s="144"/>
      <c r="AM161" s="22"/>
      <c r="AN161" s="22"/>
      <c r="AO161" s="144"/>
      <c r="AP161" s="22"/>
      <c r="AQ161" s="22"/>
      <c r="AR161" s="144"/>
      <c r="AS161" s="22"/>
      <c r="AT161" s="22"/>
      <c r="AU161" s="144"/>
      <c r="AV161" s="22"/>
      <c r="AW161" s="22"/>
      <c r="AX161" s="144"/>
      <c r="AY161" s="144"/>
      <c r="AZ161" s="22"/>
      <c r="BA161" s="144"/>
      <c r="BB161" s="144"/>
      <c r="BC161" s="144"/>
      <c r="BD161" s="144"/>
      <c r="BE161" s="144"/>
      <c r="BF161" s="22"/>
      <c r="BG161" s="144"/>
      <c r="BH161" s="144"/>
      <c r="BI161" s="22"/>
      <c r="BJ161" s="144"/>
      <c r="BK161" s="22"/>
      <c r="BL161" s="144"/>
      <c r="BM161" s="144"/>
      <c r="BN161" s="22"/>
      <c r="BO161" s="144"/>
      <c r="BP161" s="144"/>
      <c r="BQ161" s="22"/>
      <c r="BR161" s="22"/>
      <c r="BS161" s="144"/>
      <c r="BT161" s="22"/>
      <c r="BU161" s="22"/>
      <c r="BV161" s="144"/>
      <c r="BW161" s="22"/>
      <c r="BX161" s="22"/>
      <c r="BY161" s="144"/>
      <c r="BZ161" s="22"/>
      <c r="CA161" s="22"/>
      <c r="CB161" s="144"/>
      <c r="CC161" s="22"/>
      <c r="CD161" s="22"/>
      <c r="CE161" s="144"/>
      <c r="CF161" s="22"/>
      <c r="CG161" s="22"/>
      <c r="CH161" s="144"/>
      <c r="CI161" s="22"/>
      <c r="CJ161" s="22"/>
      <c r="CK161" s="144"/>
    </row>
    <row r="162" spans="1:89" ht="15.75" customHeight="1" x14ac:dyDescent="0.45">
      <c r="A162" s="22"/>
      <c r="B162" s="22"/>
      <c r="C162" s="12"/>
      <c r="D162" s="12"/>
      <c r="E162" s="155"/>
      <c r="F162" s="144"/>
      <c r="G162" s="12"/>
      <c r="H162" s="22"/>
      <c r="I162" s="22"/>
      <c r="J162" s="22"/>
      <c r="K162" s="145"/>
      <c r="L162" s="144"/>
      <c r="M162" s="144"/>
      <c r="N162" s="152"/>
      <c r="O162" s="22"/>
      <c r="P162" s="152"/>
      <c r="Q162" s="22"/>
      <c r="R162" s="74"/>
      <c r="S162" s="45"/>
      <c r="T162" s="158"/>
      <c r="U162" s="45"/>
      <c r="V162" s="45"/>
      <c r="W162" s="45"/>
      <c r="X162" s="45"/>
      <c r="Y162" s="45"/>
      <c r="Z162" s="45"/>
      <c r="AA162" s="45"/>
      <c r="AB162" s="45"/>
      <c r="AC162" s="144"/>
      <c r="AD162" s="144"/>
      <c r="AE162" s="45"/>
      <c r="AF162" s="45"/>
      <c r="AG162" s="144"/>
      <c r="AH162" s="144"/>
      <c r="AI162" s="144"/>
      <c r="AJ162" s="22"/>
      <c r="AK162" s="22"/>
      <c r="AL162" s="144"/>
      <c r="AM162" s="22"/>
      <c r="AN162" s="22"/>
      <c r="AO162" s="144"/>
      <c r="AP162" s="22"/>
      <c r="AQ162" s="22"/>
      <c r="AR162" s="144"/>
      <c r="AS162" s="22"/>
      <c r="AT162" s="22"/>
      <c r="AU162" s="144"/>
      <c r="AV162" s="22"/>
      <c r="AW162" s="22"/>
      <c r="AX162" s="144"/>
      <c r="AY162" s="144"/>
      <c r="AZ162" s="22"/>
      <c r="BA162" s="144"/>
      <c r="BB162" s="144"/>
      <c r="BC162" s="144"/>
      <c r="BD162" s="144"/>
      <c r="BE162" s="144"/>
      <c r="BF162" s="22"/>
      <c r="BG162" s="144"/>
      <c r="BH162" s="144"/>
      <c r="BI162" s="22"/>
      <c r="BJ162" s="144"/>
      <c r="BK162" s="22"/>
      <c r="BL162" s="144"/>
      <c r="BM162" s="144"/>
      <c r="BN162" s="22"/>
      <c r="BO162" s="144"/>
      <c r="BP162" s="144"/>
      <c r="BQ162" s="22"/>
      <c r="BR162" s="22"/>
      <c r="BS162" s="144"/>
      <c r="BT162" s="22"/>
      <c r="BU162" s="22"/>
      <c r="BV162" s="144"/>
      <c r="BW162" s="22"/>
      <c r="BX162" s="22"/>
      <c r="BY162" s="144"/>
      <c r="BZ162" s="22"/>
      <c r="CA162" s="22"/>
      <c r="CB162" s="144"/>
      <c r="CC162" s="22"/>
      <c r="CD162" s="22"/>
      <c r="CE162" s="144"/>
      <c r="CF162" s="22"/>
      <c r="CG162" s="22"/>
      <c r="CH162" s="144"/>
      <c r="CI162" s="22"/>
      <c r="CJ162" s="22"/>
      <c r="CK162" s="144"/>
    </row>
    <row r="163" spans="1:89" ht="15.75" customHeight="1" x14ac:dyDescent="0.45">
      <c r="A163" s="22"/>
      <c r="B163" s="22"/>
      <c r="C163" s="12"/>
      <c r="D163" s="12"/>
      <c r="E163" s="155"/>
      <c r="F163" s="144"/>
      <c r="G163" s="12"/>
      <c r="H163" s="22"/>
      <c r="I163" s="22"/>
      <c r="J163" s="22"/>
      <c r="K163" s="145"/>
      <c r="L163" s="144"/>
      <c r="M163" s="144"/>
      <c r="N163" s="152"/>
      <c r="O163" s="22"/>
      <c r="P163" s="152"/>
      <c r="Q163" s="22"/>
      <c r="R163" s="74"/>
      <c r="S163" s="45"/>
      <c r="T163" s="158"/>
      <c r="U163" s="45"/>
      <c r="V163" s="45"/>
      <c r="W163" s="45"/>
      <c r="X163" s="45"/>
      <c r="Y163" s="45"/>
      <c r="Z163" s="45"/>
      <c r="AA163" s="45"/>
      <c r="AB163" s="45"/>
      <c r="AC163" s="144"/>
      <c r="AD163" s="144"/>
      <c r="AE163" s="45"/>
      <c r="AF163" s="45"/>
      <c r="AG163" s="144"/>
      <c r="AH163" s="144"/>
      <c r="AI163" s="144"/>
      <c r="AJ163" s="22"/>
      <c r="AK163" s="22"/>
      <c r="AL163" s="144"/>
      <c r="AM163" s="22"/>
      <c r="AN163" s="22"/>
      <c r="AO163" s="144"/>
      <c r="AP163" s="22"/>
      <c r="AQ163" s="22"/>
      <c r="AR163" s="144"/>
      <c r="AS163" s="22"/>
      <c r="AT163" s="22"/>
      <c r="AU163" s="144"/>
      <c r="AV163" s="22"/>
      <c r="AW163" s="22"/>
      <c r="AX163" s="144"/>
      <c r="AY163" s="144"/>
      <c r="AZ163" s="22"/>
      <c r="BA163" s="144"/>
      <c r="BB163" s="144"/>
      <c r="BC163" s="144"/>
      <c r="BD163" s="144"/>
      <c r="BE163" s="144"/>
      <c r="BF163" s="22"/>
      <c r="BG163" s="144"/>
      <c r="BH163" s="144"/>
      <c r="BI163" s="22"/>
      <c r="BJ163" s="144"/>
      <c r="BK163" s="22"/>
      <c r="BL163" s="144"/>
      <c r="BM163" s="144"/>
      <c r="BN163" s="22"/>
      <c r="BO163" s="144"/>
      <c r="BP163" s="144"/>
      <c r="BQ163" s="22"/>
      <c r="BR163" s="22"/>
      <c r="BS163" s="144"/>
      <c r="BT163" s="22"/>
      <c r="BU163" s="22"/>
      <c r="BV163" s="144"/>
      <c r="BW163" s="22"/>
      <c r="BX163" s="22"/>
      <c r="BY163" s="144"/>
      <c r="BZ163" s="22"/>
      <c r="CA163" s="22"/>
      <c r="CB163" s="144"/>
      <c r="CC163" s="22"/>
      <c r="CD163" s="22"/>
      <c r="CE163" s="144"/>
      <c r="CF163" s="22"/>
      <c r="CG163" s="22"/>
      <c r="CH163" s="144"/>
      <c r="CI163" s="22"/>
      <c r="CJ163" s="22"/>
      <c r="CK163" s="144"/>
    </row>
    <row r="164" spans="1:89" ht="15.75" customHeight="1" x14ac:dyDescent="0.45">
      <c r="A164" s="22"/>
      <c r="B164" s="22"/>
      <c r="C164" s="12"/>
      <c r="D164" s="12"/>
      <c r="E164" s="155"/>
      <c r="F164" s="144"/>
      <c r="G164" s="12"/>
      <c r="H164" s="22"/>
      <c r="I164" s="22"/>
      <c r="J164" s="22"/>
      <c r="K164" s="145"/>
      <c r="L164" s="144"/>
      <c r="M164" s="144"/>
      <c r="N164" s="152"/>
      <c r="O164" s="22"/>
      <c r="P164" s="152"/>
      <c r="Q164" s="22"/>
      <c r="R164" s="74"/>
      <c r="S164" s="45"/>
      <c r="T164" s="158"/>
      <c r="U164" s="45"/>
      <c r="V164" s="45"/>
      <c r="W164" s="45"/>
      <c r="X164" s="45"/>
      <c r="Y164" s="45"/>
      <c r="Z164" s="45"/>
      <c r="AA164" s="45"/>
      <c r="AB164" s="45"/>
      <c r="AC164" s="144"/>
      <c r="AD164" s="144"/>
      <c r="AE164" s="45"/>
      <c r="AF164" s="45"/>
      <c r="AG164" s="144"/>
      <c r="AH164" s="144"/>
      <c r="AI164" s="144"/>
      <c r="AJ164" s="22"/>
      <c r="AK164" s="22"/>
      <c r="AL164" s="144"/>
      <c r="AM164" s="22"/>
      <c r="AN164" s="22"/>
      <c r="AO164" s="144"/>
      <c r="AP164" s="22"/>
      <c r="AQ164" s="22"/>
      <c r="AR164" s="144"/>
      <c r="AS164" s="22"/>
      <c r="AT164" s="22"/>
      <c r="AU164" s="144"/>
      <c r="AV164" s="22"/>
      <c r="AW164" s="22"/>
      <c r="AX164" s="144"/>
      <c r="AY164" s="144"/>
      <c r="AZ164" s="22"/>
      <c r="BA164" s="144"/>
      <c r="BB164" s="144"/>
      <c r="BC164" s="144"/>
      <c r="BD164" s="144"/>
      <c r="BE164" s="144"/>
      <c r="BF164" s="22"/>
      <c r="BG164" s="144"/>
      <c r="BH164" s="144"/>
      <c r="BI164" s="22"/>
      <c r="BJ164" s="144"/>
      <c r="BK164" s="22"/>
      <c r="BL164" s="144"/>
      <c r="BM164" s="144"/>
      <c r="BN164" s="22"/>
      <c r="BO164" s="144"/>
      <c r="BP164" s="144"/>
      <c r="BQ164" s="22"/>
      <c r="BR164" s="22"/>
      <c r="BS164" s="144"/>
      <c r="BT164" s="22"/>
      <c r="BU164" s="22"/>
      <c r="BV164" s="144"/>
      <c r="BW164" s="22"/>
      <c r="BX164" s="22"/>
      <c r="BY164" s="144"/>
      <c r="BZ164" s="22"/>
      <c r="CA164" s="22"/>
      <c r="CB164" s="144"/>
      <c r="CC164" s="22"/>
      <c r="CD164" s="22"/>
      <c r="CE164" s="144"/>
      <c r="CF164" s="22"/>
      <c r="CG164" s="22"/>
      <c r="CH164" s="144"/>
      <c r="CI164" s="22"/>
      <c r="CJ164" s="22"/>
      <c r="CK164" s="144"/>
    </row>
    <row r="165" spans="1:89" ht="15.75" customHeight="1" x14ac:dyDescent="0.45">
      <c r="A165" s="22"/>
      <c r="B165" s="22"/>
      <c r="C165" s="12"/>
      <c r="D165" s="12"/>
      <c r="E165" s="155"/>
      <c r="F165" s="144"/>
      <c r="G165" s="12"/>
      <c r="H165" s="22"/>
      <c r="I165" s="22"/>
      <c r="J165" s="22"/>
      <c r="K165" s="145"/>
      <c r="L165" s="144"/>
      <c r="M165" s="144"/>
      <c r="N165" s="152"/>
      <c r="O165" s="22"/>
      <c r="P165" s="152"/>
      <c r="Q165" s="22"/>
      <c r="R165" s="74"/>
      <c r="S165" s="45"/>
      <c r="T165" s="158"/>
      <c r="U165" s="45"/>
      <c r="V165" s="45"/>
      <c r="W165" s="45"/>
      <c r="X165" s="45"/>
      <c r="Y165" s="45"/>
      <c r="Z165" s="45"/>
      <c r="AA165" s="45"/>
      <c r="AB165" s="45"/>
      <c r="AC165" s="144"/>
      <c r="AD165" s="144"/>
      <c r="AE165" s="45"/>
      <c r="AF165" s="45"/>
      <c r="AG165" s="144"/>
      <c r="AH165" s="144"/>
      <c r="AI165" s="144"/>
      <c r="AJ165" s="22"/>
      <c r="AK165" s="22"/>
      <c r="AL165" s="144"/>
      <c r="AM165" s="22"/>
      <c r="AN165" s="22"/>
      <c r="AO165" s="144"/>
      <c r="AP165" s="22"/>
      <c r="AQ165" s="22"/>
      <c r="AR165" s="144"/>
      <c r="AS165" s="22"/>
      <c r="AT165" s="22"/>
      <c r="AU165" s="144"/>
      <c r="AV165" s="22"/>
      <c r="AW165" s="22"/>
      <c r="AX165" s="144"/>
      <c r="AY165" s="144"/>
      <c r="AZ165" s="22"/>
      <c r="BA165" s="144"/>
      <c r="BB165" s="144"/>
      <c r="BC165" s="144"/>
      <c r="BD165" s="144"/>
      <c r="BE165" s="144"/>
      <c r="BF165" s="22"/>
      <c r="BG165" s="144"/>
      <c r="BH165" s="144"/>
      <c r="BI165" s="22"/>
      <c r="BJ165" s="144"/>
      <c r="BK165" s="22"/>
      <c r="BL165" s="144"/>
      <c r="BM165" s="144"/>
      <c r="BN165" s="22"/>
      <c r="BO165" s="144"/>
      <c r="BP165" s="144"/>
      <c r="BQ165" s="22"/>
      <c r="BR165" s="22"/>
      <c r="BS165" s="144"/>
      <c r="BT165" s="22"/>
      <c r="BU165" s="22"/>
      <c r="BV165" s="144"/>
      <c r="BW165" s="22"/>
      <c r="BX165" s="22"/>
      <c r="BY165" s="144"/>
      <c r="BZ165" s="22"/>
      <c r="CA165" s="22"/>
      <c r="CB165" s="144"/>
      <c r="CC165" s="22"/>
      <c r="CD165" s="22"/>
      <c r="CE165" s="144"/>
      <c r="CF165" s="22"/>
      <c r="CG165" s="22"/>
      <c r="CH165" s="144"/>
      <c r="CI165" s="22"/>
      <c r="CJ165" s="22"/>
      <c r="CK165" s="144"/>
    </row>
    <row r="166" spans="1:89" ht="15.75" customHeight="1" x14ac:dyDescent="0.45">
      <c r="A166" s="22"/>
      <c r="B166" s="22"/>
      <c r="C166" s="12"/>
      <c r="D166" s="12"/>
      <c r="E166" s="155"/>
      <c r="F166" s="144"/>
      <c r="G166" s="12"/>
      <c r="H166" s="22"/>
      <c r="I166" s="22"/>
      <c r="J166" s="22"/>
      <c r="K166" s="145"/>
      <c r="L166" s="144"/>
      <c r="M166" s="144"/>
      <c r="N166" s="152"/>
      <c r="O166" s="22"/>
      <c r="P166" s="152"/>
      <c r="Q166" s="22"/>
      <c r="R166" s="74"/>
      <c r="S166" s="45"/>
      <c r="T166" s="158"/>
      <c r="U166" s="45"/>
      <c r="V166" s="45"/>
      <c r="W166" s="45"/>
      <c r="X166" s="45"/>
      <c r="Y166" s="45"/>
      <c r="Z166" s="45"/>
      <c r="AA166" s="45"/>
      <c r="AB166" s="45"/>
      <c r="AC166" s="144"/>
      <c r="AD166" s="144"/>
      <c r="AE166" s="45"/>
      <c r="AF166" s="45"/>
      <c r="AG166" s="144"/>
      <c r="AH166" s="144"/>
      <c r="AI166" s="144"/>
      <c r="AJ166" s="22"/>
      <c r="AK166" s="22"/>
      <c r="AL166" s="144"/>
      <c r="AM166" s="22"/>
      <c r="AN166" s="22"/>
      <c r="AO166" s="144"/>
      <c r="AP166" s="22"/>
      <c r="AQ166" s="22"/>
      <c r="AR166" s="144"/>
      <c r="AS166" s="22"/>
      <c r="AT166" s="22"/>
      <c r="AU166" s="144"/>
      <c r="AV166" s="22"/>
      <c r="AW166" s="22"/>
      <c r="AX166" s="144"/>
      <c r="AY166" s="144"/>
      <c r="AZ166" s="22"/>
      <c r="BA166" s="144"/>
      <c r="BB166" s="144"/>
      <c r="BC166" s="144"/>
      <c r="BD166" s="144"/>
      <c r="BE166" s="144"/>
      <c r="BF166" s="22"/>
      <c r="BG166" s="144"/>
      <c r="BH166" s="144"/>
      <c r="BI166" s="22"/>
      <c r="BJ166" s="144"/>
      <c r="BK166" s="22"/>
      <c r="BL166" s="144"/>
      <c r="BM166" s="144"/>
      <c r="BN166" s="22"/>
      <c r="BO166" s="144"/>
      <c r="BP166" s="144"/>
      <c r="BQ166" s="22"/>
      <c r="BR166" s="22"/>
      <c r="BS166" s="144"/>
      <c r="BT166" s="22"/>
      <c r="BU166" s="22"/>
      <c r="BV166" s="144"/>
      <c r="BW166" s="22"/>
      <c r="BX166" s="22"/>
      <c r="BY166" s="144"/>
      <c r="BZ166" s="22"/>
      <c r="CA166" s="22"/>
      <c r="CB166" s="144"/>
      <c r="CC166" s="22"/>
      <c r="CD166" s="22"/>
      <c r="CE166" s="144"/>
      <c r="CF166" s="22"/>
      <c r="CG166" s="22"/>
      <c r="CH166" s="144"/>
      <c r="CI166" s="22"/>
      <c r="CJ166" s="22"/>
      <c r="CK166" s="144"/>
    </row>
    <row r="167" spans="1:89" ht="15.75" customHeight="1" x14ac:dyDescent="0.45">
      <c r="A167" s="22"/>
      <c r="B167" s="22"/>
      <c r="C167" s="12"/>
      <c r="D167" s="12"/>
      <c r="E167" s="155"/>
      <c r="F167" s="144"/>
      <c r="G167" s="12"/>
      <c r="H167" s="22"/>
      <c r="I167" s="22"/>
      <c r="J167" s="22"/>
      <c r="K167" s="145"/>
      <c r="L167" s="144"/>
      <c r="M167" s="144"/>
      <c r="N167" s="152"/>
      <c r="O167" s="22"/>
      <c r="P167" s="152"/>
      <c r="Q167" s="22"/>
      <c r="R167" s="74"/>
      <c r="S167" s="45"/>
      <c r="T167" s="158"/>
      <c r="U167" s="45"/>
      <c r="V167" s="45"/>
      <c r="W167" s="45"/>
      <c r="X167" s="45"/>
      <c r="Y167" s="45"/>
      <c r="Z167" s="45"/>
      <c r="AA167" s="45"/>
      <c r="AB167" s="45"/>
      <c r="AC167" s="144"/>
      <c r="AD167" s="144"/>
      <c r="AE167" s="45"/>
      <c r="AF167" s="45"/>
      <c r="AG167" s="144"/>
      <c r="AH167" s="144"/>
      <c r="AI167" s="144"/>
      <c r="AJ167" s="22"/>
      <c r="AK167" s="22"/>
      <c r="AL167" s="144"/>
      <c r="AM167" s="22"/>
      <c r="AN167" s="22"/>
      <c r="AO167" s="144"/>
      <c r="AP167" s="22"/>
      <c r="AQ167" s="22"/>
      <c r="AR167" s="144"/>
      <c r="AS167" s="22"/>
      <c r="AT167" s="22"/>
      <c r="AU167" s="144"/>
      <c r="AV167" s="22"/>
      <c r="AW167" s="22"/>
      <c r="AX167" s="144"/>
      <c r="AY167" s="144"/>
      <c r="AZ167" s="22"/>
      <c r="BA167" s="144"/>
      <c r="BB167" s="144"/>
      <c r="BC167" s="144"/>
      <c r="BD167" s="144"/>
      <c r="BE167" s="144"/>
      <c r="BF167" s="22"/>
      <c r="BG167" s="144"/>
      <c r="BH167" s="144"/>
      <c r="BI167" s="22"/>
      <c r="BJ167" s="144"/>
      <c r="BK167" s="22"/>
      <c r="BL167" s="144"/>
      <c r="BM167" s="144"/>
      <c r="BN167" s="22"/>
      <c r="BO167" s="144"/>
      <c r="BP167" s="144"/>
      <c r="BQ167" s="22"/>
      <c r="BR167" s="22"/>
      <c r="BS167" s="144"/>
      <c r="BT167" s="22"/>
      <c r="BU167" s="22"/>
      <c r="BV167" s="144"/>
      <c r="BW167" s="22"/>
      <c r="BX167" s="22"/>
      <c r="BY167" s="144"/>
      <c r="BZ167" s="22"/>
      <c r="CA167" s="22"/>
      <c r="CB167" s="144"/>
      <c r="CC167" s="22"/>
      <c r="CD167" s="22"/>
      <c r="CE167" s="144"/>
      <c r="CF167" s="22"/>
      <c r="CG167" s="22"/>
      <c r="CH167" s="144"/>
      <c r="CI167" s="22"/>
      <c r="CJ167" s="22"/>
      <c r="CK167" s="144"/>
    </row>
    <row r="168" spans="1:89" ht="15.75" customHeight="1" x14ac:dyDescent="0.45">
      <c r="A168" s="22"/>
      <c r="B168" s="22"/>
      <c r="C168" s="12"/>
      <c r="D168" s="12"/>
      <c r="E168" s="155"/>
      <c r="F168" s="144"/>
      <c r="G168" s="12"/>
      <c r="H168" s="22"/>
      <c r="I168" s="22"/>
      <c r="J168" s="22"/>
      <c r="K168" s="145"/>
      <c r="L168" s="144"/>
      <c r="M168" s="144"/>
      <c r="N168" s="152"/>
      <c r="O168" s="22"/>
      <c r="P168" s="152"/>
      <c r="Q168" s="22"/>
      <c r="R168" s="74"/>
      <c r="S168" s="45"/>
      <c r="T168" s="158"/>
      <c r="U168" s="45"/>
      <c r="V168" s="45"/>
      <c r="W168" s="45"/>
      <c r="X168" s="45"/>
      <c r="Y168" s="45"/>
      <c r="Z168" s="45"/>
      <c r="AA168" s="45"/>
      <c r="AB168" s="45"/>
      <c r="AC168" s="144"/>
      <c r="AD168" s="144"/>
      <c r="AE168" s="45"/>
      <c r="AF168" s="45"/>
      <c r="AG168" s="144"/>
      <c r="AH168" s="144"/>
      <c r="AI168" s="144"/>
      <c r="AJ168" s="22"/>
      <c r="AK168" s="22"/>
      <c r="AL168" s="144"/>
      <c r="AM168" s="22"/>
      <c r="AN168" s="22"/>
      <c r="AO168" s="144"/>
      <c r="AP168" s="22"/>
      <c r="AQ168" s="22"/>
      <c r="AR168" s="144"/>
      <c r="AS168" s="22"/>
      <c r="AT168" s="22"/>
      <c r="AU168" s="144"/>
      <c r="AV168" s="22"/>
      <c r="AW168" s="22"/>
      <c r="AX168" s="144"/>
      <c r="AY168" s="144"/>
      <c r="AZ168" s="22"/>
      <c r="BA168" s="144"/>
      <c r="BB168" s="144"/>
      <c r="BC168" s="144"/>
      <c r="BD168" s="144"/>
      <c r="BE168" s="144"/>
      <c r="BF168" s="22"/>
      <c r="BG168" s="144"/>
      <c r="BH168" s="144"/>
      <c r="BI168" s="22"/>
      <c r="BJ168" s="144"/>
      <c r="BK168" s="22"/>
      <c r="BL168" s="144"/>
      <c r="BM168" s="144"/>
      <c r="BN168" s="22"/>
      <c r="BO168" s="144"/>
      <c r="BP168" s="144"/>
      <c r="BQ168" s="22"/>
      <c r="BR168" s="22"/>
      <c r="BS168" s="144"/>
      <c r="BT168" s="22"/>
      <c r="BU168" s="22"/>
      <c r="BV168" s="144"/>
      <c r="BW168" s="22"/>
      <c r="BX168" s="22"/>
      <c r="BY168" s="144"/>
      <c r="BZ168" s="22"/>
      <c r="CA168" s="22"/>
      <c r="CB168" s="144"/>
      <c r="CC168" s="22"/>
      <c r="CD168" s="22"/>
      <c r="CE168" s="144"/>
      <c r="CF168" s="22"/>
      <c r="CG168" s="22"/>
      <c r="CH168" s="144"/>
      <c r="CI168" s="22"/>
      <c r="CJ168" s="22"/>
      <c r="CK168" s="144"/>
    </row>
    <row r="169" spans="1:89" ht="15.75" customHeight="1" x14ac:dyDescent="0.45">
      <c r="A169" s="22"/>
      <c r="B169" s="22"/>
      <c r="C169" s="12"/>
      <c r="D169" s="12"/>
      <c r="E169" s="155"/>
      <c r="F169" s="144"/>
      <c r="G169" s="12"/>
      <c r="H169" s="22"/>
      <c r="I169" s="22"/>
      <c r="J169" s="22"/>
      <c r="K169" s="145"/>
      <c r="L169" s="144"/>
      <c r="M169" s="144"/>
      <c r="N169" s="152"/>
      <c r="O169" s="22"/>
      <c r="P169" s="152"/>
      <c r="Q169" s="22"/>
      <c r="R169" s="74"/>
      <c r="S169" s="45"/>
      <c r="T169" s="158"/>
      <c r="U169" s="45"/>
      <c r="V169" s="45"/>
      <c r="W169" s="45"/>
      <c r="X169" s="45"/>
      <c r="Y169" s="45"/>
      <c r="Z169" s="45"/>
      <c r="AA169" s="45"/>
      <c r="AB169" s="45"/>
      <c r="AC169" s="144"/>
      <c r="AD169" s="144"/>
      <c r="AE169" s="45"/>
      <c r="AF169" s="45"/>
      <c r="AG169" s="144"/>
      <c r="AH169" s="144"/>
      <c r="AI169" s="144"/>
      <c r="AJ169" s="22"/>
      <c r="AK169" s="22"/>
      <c r="AL169" s="144"/>
      <c r="AM169" s="22"/>
      <c r="AN169" s="22"/>
      <c r="AO169" s="144"/>
      <c r="AP169" s="22"/>
      <c r="AQ169" s="22"/>
      <c r="AR169" s="144"/>
      <c r="AS169" s="22"/>
      <c r="AT169" s="22"/>
      <c r="AU169" s="144"/>
      <c r="AV169" s="22"/>
      <c r="AW169" s="22"/>
      <c r="AX169" s="144"/>
      <c r="AY169" s="144"/>
      <c r="AZ169" s="22"/>
      <c r="BA169" s="144"/>
      <c r="BB169" s="144"/>
      <c r="BC169" s="144"/>
      <c r="BD169" s="144"/>
      <c r="BE169" s="144"/>
      <c r="BF169" s="22"/>
      <c r="BG169" s="144"/>
      <c r="BH169" s="144"/>
      <c r="BI169" s="22"/>
      <c r="BJ169" s="144"/>
      <c r="BK169" s="22"/>
      <c r="BL169" s="144"/>
      <c r="BM169" s="144"/>
      <c r="BN169" s="22"/>
      <c r="BO169" s="144"/>
      <c r="BP169" s="144"/>
      <c r="BQ169" s="22"/>
      <c r="BR169" s="22"/>
      <c r="BS169" s="144"/>
      <c r="BT169" s="22"/>
      <c r="BU169" s="22"/>
      <c r="BV169" s="144"/>
      <c r="BW169" s="22"/>
      <c r="BX169" s="22"/>
      <c r="BY169" s="144"/>
      <c r="BZ169" s="22"/>
      <c r="CA169" s="22"/>
      <c r="CB169" s="144"/>
      <c r="CC169" s="22"/>
      <c r="CD169" s="22"/>
      <c r="CE169" s="144"/>
      <c r="CF169" s="22"/>
      <c r="CG169" s="22"/>
      <c r="CH169" s="144"/>
      <c r="CI169" s="22"/>
      <c r="CJ169" s="22"/>
      <c r="CK169" s="144"/>
    </row>
    <row r="170" spans="1:89" ht="15.75" customHeight="1" x14ac:dyDescent="0.45">
      <c r="A170" s="22"/>
      <c r="B170" s="22"/>
      <c r="C170" s="12"/>
      <c r="D170" s="12"/>
      <c r="E170" s="155"/>
      <c r="F170" s="144"/>
      <c r="G170" s="12"/>
      <c r="H170" s="22"/>
      <c r="I170" s="22"/>
      <c r="J170" s="22"/>
      <c r="K170" s="145"/>
      <c r="L170" s="144"/>
      <c r="M170" s="144"/>
      <c r="N170" s="152"/>
      <c r="O170" s="22"/>
      <c r="P170" s="152"/>
      <c r="Q170" s="22"/>
      <c r="R170" s="74"/>
      <c r="S170" s="45"/>
      <c r="T170" s="158"/>
      <c r="U170" s="45"/>
      <c r="V170" s="45"/>
      <c r="W170" s="45"/>
      <c r="X170" s="45"/>
      <c r="Y170" s="45"/>
      <c r="Z170" s="45"/>
      <c r="AA170" s="45"/>
      <c r="AB170" s="45"/>
      <c r="AC170" s="144"/>
      <c r="AD170" s="144"/>
      <c r="AE170" s="45"/>
      <c r="AF170" s="45"/>
      <c r="AG170" s="144"/>
      <c r="AH170" s="144"/>
      <c r="AI170" s="144"/>
      <c r="AJ170" s="22"/>
      <c r="AK170" s="22"/>
      <c r="AL170" s="144"/>
      <c r="AM170" s="22"/>
      <c r="AN170" s="22"/>
      <c r="AO170" s="144"/>
      <c r="AP170" s="22"/>
      <c r="AQ170" s="22"/>
      <c r="AR170" s="144"/>
      <c r="AS170" s="22"/>
      <c r="AT170" s="22"/>
      <c r="AU170" s="144"/>
      <c r="AV170" s="22"/>
      <c r="AW170" s="22"/>
      <c r="AX170" s="144"/>
      <c r="AY170" s="144"/>
      <c r="AZ170" s="22"/>
      <c r="BA170" s="144"/>
      <c r="BB170" s="144"/>
      <c r="BC170" s="144"/>
      <c r="BD170" s="144"/>
      <c r="BE170" s="144"/>
      <c r="BF170" s="22"/>
      <c r="BG170" s="144"/>
      <c r="BH170" s="144"/>
      <c r="BI170" s="22"/>
      <c r="BJ170" s="144"/>
      <c r="BK170" s="22"/>
      <c r="BL170" s="144"/>
      <c r="BM170" s="144"/>
      <c r="BN170" s="22"/>
      <c r="BO170" s="144"/>
      <c r="BP170" s="144"/>
      <c r="BQ170" s="22"/>
      <c r="BR170" s="22"/>
      <c r="BS170" s="144"/>
      <c r="BT170" s="22"/>
      <c r="BU170" s="22"/>
      <c r="BV170" s="144"/>
      <c r="BW170" s="22"/>
      <c r="BX170" s="22"/>
      <c r="BY170" s="144"/>
      <c r="BZ170" s="22"/>
      <c r="CA170" s="22"/>
      <c r="CB170" s="144"/>
      <c r="CC170" s="22"/>
      <c r="CD170" s="22"/>
      <c r="CE170" s="144"/>
      <c r="CF170" s="22"/>
      <c r="CG170" s="22"/>
      <c r="CH170" s="144"/>
      <c r="CI170" s="22"/>
      <c r="CJ170" s="22"/>
      <c r="CK170" s="144"/>
    </row>
    <row r="171" spans="1:89" ht="15.75" customHeight="1" x14ac:dyDescent="0.45">
      <c r="A171" s="22"/>
      <c r="B171" s="22"/>
      <c r="C171" s="12"/>
      <c r="D171" s="12"/>
      <c r="E171" s="155"/>
      <c r="F171" s="144"/>
      <c r="G171" s="12"/>
      <c r="H171" s="22"/>
      <c r="I171" s="22"/>
      <c r="J171" s="22"/>
      <c r="K171" s="145"/>
      <c r="L171" s="144"/>
      <c r="M171" s="144"/>
      <c r="N171" s="152"/>
      <c r="O171" s="22"/>
      <c r="P171" s="152"/>
      <c r="Q171" s="22"/>
      <c r="R171" s="74"/>
      <c r="S171" s="45"/>
      <c r="T171" s="158"/>
      <c r="U171" s="45"/>
      <c r="V171" s="45"/>
      <c r="W171" s="45"/>
      <c r="X171" s="45"/>
      <c r="Y171" s="45"/>
      <c r="Z171" s="45"/>
      <c r="AA171" s="45"/>
      <c r="AB171" s="45"/>
      <c r="AC171" s="144"/>
      <c r="AD171" s="144"/>
      <c r="AE171" s="45"/>
      <c r="AF171" s="45"/>
      <c r="AG171" s="144"/>
      <c r="AH171" s="144"/>
      <c r="AI171" s="144"/>
      <c r="AJ171" s="22"/>
      <c r="AK171" s="22"/>
      <c r="AL171" s="144"/>
      <c r="AM171" s="22"/>
      <c r="AN171" s="22"/>
      <c r="AO171" s="144"/>
      <c r="AP171" s="22"/>
      <c r="AQ171" s="22"/>
      <c r="AR171" s="144"/>
      <c r="AS171" s="22"/>
      <c r="AT171" s="22"/>
      <c r="AU171" s="144"/>
      <c r="AV171" s="22"/>
      <c r="AW171" s="22"/>
      <c r="AX171" s="144"/>
      <c r="AY171" s="144"/>
      <c r="AZ171" s="22"/>
      <c r="BA171" s="144"/>
      <c r="BB171" s="144"/>
      <c r="BC171" s="144"/>
      <c r="BD171" s="144"/>
      <c r="BE171" s="144"/>
      <c r="BF171" s="22"/>
      <c r="BG171" s="144"/>
      <c r="BH171" s="144"/>
      <c r="BI171" s="22"/>
      <c r="BJ171" s="144"/>
      <c r="BK171" s="22"/>
      <c r="BL171" s="144"/>
      <c r="BM171" s="144"/>
      <c r="BN171" s="22"/>
      <c r="BO171" s="144"/>
      <c r="BP171" s="144"/>
      <c r="BQ171" s="22"/>
      <c r="BR171" s="22"/>
      <c r="BS171" s="144"/>
      <c r="BT171" s="22"/>
      <c r="BU171" s="22"/>
      <c r="BV171" s="144"/>
      <c r="BW171" s="22"/>
      <c r="BX171" s="22"/>
      <c r="BY171" s="144"/>
      <c r="BZ171" s="22"/>
      <c r="CA171" s="22"/>
      <c r="CB171" s="144"/>
      <c r="CC171" s="22"/>
      <c r="CD171" s="22"/>
      <c r="CE171" s="144"/>
      <c r="CF171" s="22"/>
      <c r="CG171" s="22"/>
      <c r="CH171" s="144"/>
      <c r="CI171" s="22"/>
      <c r="CJ171" s="22"/>
      <c r="CK171" s="144"/>
    </row>
    <row r="172" spans="1:89" ht="15.75" customHeight="1" x14ac:dyDescent="0.45">
      <c r="A172" s="22"/>
      <c r="B172" s="22"/>
      <c r="C172" s="12"/>
      <c r="D172" s="12"/>
      <c r="E172" s="155"/>
      <c r="F172" s="144"/>
      <c r="G172" s="12"/>
      <c r="H172" s="22"/>
      <c r="I172" s="22"/>
      <c r="J172" s="22"/>
      <c r="K172" s="145"/>
      <c r="L172" s="144"/>
      <c r="M172" s="144"/>
      <c r="N172" s="152"/>
      <c r="O172" s="22"/>
      <c r="P172" s="152"/>
      <c r="Q172" s="22"/>
      <c r="R172" s="74"/>
      <c r="S172" s="45"/>
      <c r="T172" s="158"/>
      <c r="U172" s="45"/>
      <c r="V172" s="45"/>
      <c r="W172" s="45"/>
      <c r="X172" s="45"/>
      <c r="Y172" s="45"/>
      <c r="Z172" s="45"/>
      <c r="AA172" s="45"/>
      <c r="AB172" s="45"/>
      <c r="AC172" s="144"/>
      <c r="AD172" s="144"/>
      <c r="AE172" s="45"/>
      <c r="AF172" s="45"/>
      <c r="AG172" s="144"/>
      <c r="AH172" s="144"/>
      <c r="AI172" s="144"/>
      <c r="AJ172" s="22"/>
      <c r="AK172" s="22"/>
      <c r="AL172" s="144"/>
      <c r="AM172" s="22"/>
      <c r="AN172" s="22"/>
      <c r="AO172" s="144"/>
      <c r="AP172" s="22"/>
      <c r="AQ172" s="22"/>
      <c r="AR172" s="144"/>
      <c r="AS172" s="22"/>
      <c r="AT172" s="22"/>
      <c r="AU172" s="144"/>
      <c r="AV172" s="22"/>
      <c r="AW172" s="22"/>
      <c r="AX172" s="144"/>
      <c r="AY172" s="144"/>
      <c r="AZ172" s="22"/>
      <c r="BA172" s="144"/>
      <c r="BB172" s="144"/>
      <c r="BC172" s="144"/>
      <c r="BD172" s="144"/>
      <c r="BE172" s="144"/>
      <c r="BF172" s="22"/>
      <c r="BG172" s="144"/>
      <c r="BH172" s="144"/>
      <c r="BI172" s="22"/>
      <c r="BJ172" s="144"/>
      <c r="BK172" s="22"/>
      <c r="BL172" s="144"/>
      <c r="BM172" s="144"/>
      <c r="BN172" s="22"/>
      <c r="BO172" s="144"/>
      <c r="BP172" s="144"/>
      <c r="BQ172" s="22"/>
      <c r="BR172" s="22"/>
      <c r="BS172" s="144"/>
      <c r="BT172" s="22"/>
      <c r="BU172" s="22"/>
      <c r="BV172" s="144"/>
      <c r="BW172" s="22"/>
      <c r="BX172" s="22"/>
      <c r="BY172" s="144"/>
      <c r="BZ172" s="22"/>
      <c r="CA172" s="22"/>
      <c r="CB172" s="144"/>
      <c r="CC172" s="22"/>
      <c r="CD172" s="22"/>
      <c r="CE172" s="144"/>
      <c r="CF172" s="22"/>
      <c r="CG172" s="22"/>
      <c r="CH172" s="144"/>
      <c r="CI172" s="22"/>
      <c r="CJ172" s="22"/>
      <c r="CK172" s="144"/>
    </row>
    <row r="173" spans="1:89" ht="15.75" customHeight="1" x14ac:dyDescent="0.45">
      <c r="A173" s="22"/>
      <c r="B173" s="22"/>
      <c r="C173" s="12"/>
      <c r="D173" s="12"/>
      <c r="E173" s="155"/>
      <c r="F173" s="144"/>
      <c r="G173" s="12"/>
      <c r="H173" s="22"/>
      <c r="I173" s="22"/>
      <c r="J173" s="22"/>
      <c r="K173" s="145"/>
      <c r="L173" s="144"/>
      <c r="M173" s="144"/>
      <c r="N173" s="152"/>
      <c r="O173" s="22"/>
      <c r="P173" s="152"/>
      <c r="Q173" s="22"/>
      <c r="R173" s="74"/>
      <c r="S173" s="45"/>
      <c r="T173" s="158"/>
      <c r="U173" s="45"/>
      <c r="V173" s="45"/>
      <c r="W173" s="45"/>
      <c r="X173" s="45"/>
      <c r="Y173" s="45"/>
      <c r="Z173" s="45"/>
      <c r="AA173" s="45"/>
      <c r="AB173" s="45"/>
      <c r="AC173" s="144"/>
      <c r="AD173" s="144"/>
      <c r="AE173" s="45"/>
      <c r="AF173" s="45"/>
      <c r="AG173" s="144"/>
      <c r="AH173" s="144"/>
      <c r="AI173" s="144"/>
      <c r="AJ173" s="22"/>
      <c r="AK173" s="22"/>
      <c r="AL173" s="144"/>
      <c r="AM173" s="22"/>
      <c r="AN173" s="22"/>
      <c r="AO173" s="144"/>
      <c r="AP173" s="22"/>
      <c r="AQ173" s="22"/>
      <c r="AR173" s="144"/>
      <c r="AS173" s="22"/>
      <c r="AT173" s="22"/>
      <c r="AU173" s="144"/>
      <c r="AV173" s="22"/>
      <c r="AW173" s="22"/>
      <c r="AX173" s="144"/>
      <c r="AY173" s="144"/>
      <c r="AZ173" s="22"/>
      <c r="BA173" s="144"/>
      <c r="BB173" s="144"/>
      <c r="BC173" s="144"/>
      <c r="BD173" s="144"/>
      <c r="BE173" s="144"/>
      <c r="BF173" s="22"/>
      <c r="BG173" s="144"/>
      <c r="BH173" s="144"/>
      <c r="BI173" s="22"/>
      <c r="BJ173" s="144"/>
      <c r="BK173" s="22"/>
      <c r="BL173" s="144"/>
      <c r="BM173" s="144"/>
      <c r="BN173" s="22"/>
      <c r="BO173" s="144"/>
      <c r="BP173" s="144"/>
      <c r="BQ173" s="22"/>
      <c r="BR173" s="22"/>
      <c r="BS173" s="144"/>
      <c r="BT173" s="22"/>
      <c r="BU173" s="22"/>
      <c r="BV173" s="144"/>
      <c r="BW173" s="22"/>
      <c r="BX173" s="22"/>
      <c r="BY173" s="144"/>
      <c r="BZ173" s="22"/>
      <c r="CA173" s="22"/>
      <c r="CB173" s="144"/>
      <c r="CC173" s="22"/>
      <c r="CD173" s="22"/>
      <c r="CE173" s="144"/>
      <c r="CF173" s="22"/>
      <c r="CG173" s="22"/>
      <c r="CH173" s="144"/>
      <c r="CI173" s="22"/>
      <c r="CJ173" s="22"/>
      <c r="CK173" s="144"/>
    </row>
    <row r="174" spans="1:89" ht="15.75" customHeight="1" x14ac:dyDescent="0.45">
      <c r="A174" s="22"/>
      <c r="B174" s="22"/>
      <c r="C174" s="12"/>
      <c r="D174" s="12"/>
      <c r="E174" s="155"/>
      <c r="F174" s="144"/>
      <c r="G174" s="12"/>
      <c r="H174" s="22"/>
      <c r="I174" s="22"/>
      <c r="J174" s="22"/>
      <c r="K174" s="145"/>
      <c r="L174" s="144"/>
      <c r="M174" s="144"/>
      <c r="N174" s="152"/>
      <c r="O174" s="22"/>
      <c r="P174" s="152"/>
      <c r="Q174" s="22"/>
      <c r="R174" s="74"/>
      <c r="S174" s="45"/>
      <c r="T174" s="158"/>
      <c r="U174" s="45"/>
      <c r="V174" s="45"/>
      <c r="W174" s="45"/>
      <c r="X174" s="45"/>
      <c r="Y174" s="45"/>
      <c r="Z174" s="45"/>
      <c r="AA174" s="45"/>
      <c r="AB174" s="45"/>
      <c r="AC174" s="144"/>
      <c r="AD174" s="144"/>
      <c r="AE174" s="45"/>
      <c r="AF174" s="45"/>
      <c r="AG174" s="144"/>
      <c r="AH174" s="144"/>
      <c r="AI174" s="144"/>
      <c r="AJ174" s="22"/>
      <c r="AK174" s="22"/>
      <c r="AL174" s="144"/>
      <c r="AM174" s="22"/>
      <c r="AN174" s="22"/>
      <c r="AO174" s="144"/>
      <c r="AP174" s="22"/>
      <c r="AQ174" s="22"/>
      <c r="AR174" s="144"/>
      <c r="AS174" s="22"/>
      <c r="AT174" s="22"/>
      <c r="AU174" s="144"/>
      <c r="AV174" s="22"/>
      <c r="AW174" s="22"/>
      <c r="AX174" s="144"/>
      <c r="AY174" s="144"/>
      <c r="AZ174" s="22"/>
      <c r="BA174" s="144"/>
      <c r="BB174" s="144"/>
      <c r="BC174" s="144"/>
      <c r="BD174" s="144"/>
      <c r="BE174" s="144"/>
      <c r="BF174" s="22"/>
      <c r="BG174" s="144"/>
      <c r="BH174" s="144"/>
      <c r="BI174" s="22"/>
      <c r="BJ174" s="144"/>
      <c r="BK174" s="22"/>
      <c r="BL174" s="144"/>
      <c r="BM174" s="144"/>
      <c r="BN174" s="22"/>
      <c r="BO174" s="144"/>
      <c r="BP174" s="144"/>
      <c r="BQ174" s="22"/>
      <c r="BR174" s="22"/>
      <c r="BS174" s="144"/>
      <c r="BT174" s="22"/>
      <c r="BU174" s="22"/>
      <c r="BV174" s="144"/>
      <c r="BW174" s="22"/>
      <c r="BX174" s="22"/>
      <c r="BY174" s="144"/>
      <c r="BZ174" s="22"/>
      <c r="CA174" s="22"/>
      <c r="CB174" s="144"/>
      <c r="CC174" s="22"/>
      <c r="CD174" s="22"/>
      <c r="CE174" s="144"/>
      <c r="CF174" s="22"/>
      <c r="CG174" s="22"/>
      <c r="CH174" s="144"/>
      <c r="CI174" s="22"/>
      <c r="CJ174" s="22"/>
      <c r="CK174" s="144"/>
    </row>
    <row r="175" spans="1:89" ht="15.75" customHeight="1" x14ac:dyDescent="0.45">
      <c r="A175" s="22"/>
      <c r="B175" s="22"/>
      <c r="C175" s="12"/>
      <c r="D175" s="12"/>
      <c r="E175" s="155"/>
      <c r="F175" s="144"/>
      <c r="G175" s="12"/>
      <c r="H175" s="22"/>
      <c r="I175" s="22"/>
      <c r="J175" s="22"/>
      <c r="K175" s="145"/>
      <c r="L175" s="144"/>
      <c r="M175" s="144"/>
      <c r="N175" s="152"/>
      <c r="O175" s="22"/>
      <c r="P175" s="152"/>
      <c r="Q175" s="22"/>
      <c r="R175" s="74"/>
      <c r="S175" s="45"/>
      <c r="T175" s="158"/>
      <c r="U175" s="45"/>
      <c r="V175" s="45"/>
      <c r="W175" s="45"/>
      <c r="X175" s="45"/>
      <c r="Y175" s="45"/>
      <c r="Z175" s="45"/>
      <c r="AA175" s="45"/>
      <c r="AB175" s="45"/>
      <c r="AC175" s="144"/>
      <c r="AD175" s="144"/>
      <c r="AE175" s="45"/>
      <c r="AF175" s="45"/>
      <c r="AG175" s="144"/>
      <c r="AH175" s="144"/>
      <c r="AI175" s="144"/>
      <c r="AJ175" s="22"/>
      <c r="AK175" s="22"/>
      <c r="AL175" s="144"/>
      <c r="AM175" s="22"/>
      <c r="AN175" s="22"/>
      <c r="AO175" s="144"/>
      <c r="AP175" s="22"/>
      <c r="AQ175" s="22"/>
      <c r="AR175" s="144"/>
      <c r="AS175" s="22"/>
      <c r="AT175" s="22"/>
      <c r="AU175" s="144"/>
      <c r="AV175" s="22"/>
      <c r="AW175" s="22"/>
      <c r="AX175" s="144"/>
      <c r="AY175" s="144"/>
      <c r="AZ175" s="22"/>
      <c r="BA175" s="144"/>
      <c r="BB175" s="144"/>
      <c r="BC175" s="144"/>
      <c r="BD175" s="144"/>
      <c r="BE175" s="144"/>
      <c r="BF175" s="22"/>
      <c r="BG175" s="144"/>
      <c r="BH175" s="144"/>
      <c r="BI175" s="22"/>
      <c r="BJ175" s="144"/>
      <c r="BK175" s="22"/>
      <c r="BL175" s="144"/>
      <c r="BM175" s="144"/>
      <c r="BN175" s="22"/>
      <c r="BO175" s="144"/>
      <c r="BP175" s="144"/>
      <c r="BQ175" s="22"/>
      <c r="BR175" s="22"/>
      <c r="BS175" s="144"/>
      <c r="BT175" s="22"/>
      <c r="BU175" s="22"/>
      <c r="BV175" s="144"/>
      <c r="BW175" s="22"/>
      <c r="BX175" s="22"/>
      <c r="BY175" s="144"/>
      <c r="BZ175" s="22"/>
      <c r="CA175" s="22"/>
      <c r="CB175" s="144"/>
      <c r="CC175" s="22"/>
      <c r="CD175" s="22"/>
      <c r="CE175" s="144"/>
      <c r="CF175" s="22"/>
      <c r="CG175" s="22"/>
      <c r="CH175" s="144"/>
      <c r="CI175" s="22"/>
      <c r="CJ175" s="22"/>
      <c r="CK175" s="144"/>
    </row>
    <row r="176" spans="1:89" ht="15.75" customHeight="1" x14ac:dyDescent="0.45">
      <c r="A176" s="22"/>
      <c r="B176" s="22"/>
      <c r="C176" s="12"/>
      <c r="D176" s="12"/>
      <c r="E176" s="155"/>
      <c r="F176" s="144"/>
      <c r="G176" s="12"/>
      <c r="H176" s="22"/>
      <c r="I176" s="22"/>
      <c r="J176" s="22"/>
      <c r="K176" s="145"/>
      <c r="L176" s="144"/>
      <c r="M176" s="144"/>
      <c r="N176" s="152"/>
      <c r="O176" s="22"/>
      <c r="P176" s="152"/>
      <c r="Q176" s="22"/>
      <c r="R176" s="74"/>
      <c r="S176" s="45"/>
      <c r="T176" s="158"/>
      <c r="U176" s="45"/>
      <c r="V176" s="45"/>
      <c r="W176" s="45"/>
      <c r="X176" s="45"/>
      <c r="Y176" s="45"/>
      <c r="Z176" s="45"/>
      <c r="AA176" s="45"/>
      <c r="AB176" s="45"/>
      <c r="AC176" s="144"/>
      <c r="AD176" s="144"/>
      <c r="AE176" s="45"/>
      <c r="AF176" s="45"/>
      <c r="AG176" s="144"/>
      <c r="AH176" s="144"/>
      <c r="AI176" s="144"/>
      <c r="AJ176" s="22"/>
      <c r="AK176" s="22"/>
      <c r="AL176" s="144"/>
      <c r="AM176" s="22"/>
      <c r="AN176" s="22"/>
      <c r="AO176" s="144"/>
      <c r="AP176" s="22"/>
      <c r="AQ176" s="22"/>
      <c r="AR176" s="144"/>
      <c r="AS176" s="22"/>
      <c r="AT176" s="22"/>
      <c r="AU176" s="144"/>
      <c r="AV176" s="22"/>
      <c r="AW176" s="22"/>
      <c r="AX176" s="144"/>
      <c r="AY176" s="144"/>
      <c r="AZ176" s="22"/>
      <c r="BA176" s="144"/>
      <c r="BB176" s="144"/>
      <c r="BC176" s="144"/>
      <c r="BD176" s="144"/>
      <c r="BE176" s="144"/>
      <c r="BF176" s="22"/>
      <c r="BG176" s="144"/>
      <c r="BH176" s="144"/>
      <c r="BI176" s="22"/>
      <c r="BJ176" s="144"/>
      <c r="BK176" s="22"/>
      <c r="BL176" s="144"/>
      <c r="BM176" s="144"/>
      <c r="BN176" s="22"/>
      <c r="BO176" s="144"/>
      <c r="BP176" s="144"/>
      <c r="BQ176" s="22"/>
      <c r="BR176" s="22"/>
      <c r="BS176" s="144"/>
      <c r="BT176" s="22"/>
      <c r="BU176" s="22"/>
      <c r="BV176" s="144"/>
      <c r="BW176" s="22"/>
      <c r="BX176" s="22"/>
      <c r="BY176" s="144"/>
      <c r="BZ176" s="22"/>
      <c r="CA176" s="22"/>
      <c r="CB176" s="144"/>
      <c r="CC176" s="22"/>
      <c r="CD176" s="22"/>
      <c r="CE176" s="144"/>
      <c r="CF176" s="22"/>
      <c r="CG176" s="22"/>
      <c r="CH176" s="144"/>
      <c r="CI176" s="22"/>
      <c r="CJ176" s="22"/>
      <c r="CK176" s="144"/>
    </row>
    <row r="177" spans="1:89" ht="15.75" customHeight="1" x14ac:dyDescent="0.45">
      <c r="A177" s="22"/>
      <c r="B177" s="22"/>
      <c r="C177" s="12"/>
      <c r="D177" s="12"/>
      <c r="E177" s="155"/>
      <c r="F177" s="144"/>
      <c r="G177" s="12"/>
      <c r="H177" s="22"/>
      <c r="I177" s="22"/>
      <c r="J177" s="22"/>
      <c r="K177" s="145"/>
      <c r="L177" s="144"/>
      <c r="M177" s="144"/>
      <c r="N177" s="152"/>
      <c r="O177" s="22"/>
      <c r="P177" s="152"/>
      <c r="Q177" s="22"/>
      <c r="R177" s="74"/>
      <c r="S177" s="45"/>
      <c r="T177" s="158"/>
      <c r="U177" s="45"/>
      <c r="V177" s="45"/>
      <c r="W177" s="45"/>
      <c r="X177" s="45"/>
      <c r="Y177" s="45"/>
      <c r="Z177" s="45"/>
      <c r="AA177" s="45"/>
      <c r="AB177" s="45"/>
      <c r="AC177" s="144"/>
      <c r="AD177" s="144"/>
      <c r="AE177" s="45"/>
      <c r="AF177" s="45"/>
      <c r="AG177" s="144"/>
      <c r="AH177" s="144"/>
      <c r="AI177" s="144"/>
      <c r="AJ177" s="22"/>
      <c r="AK177" s="22"/>
      <c r="AL177" s="144"/>
      <c r="AM177" s="22"/>
      <c r="AN177" s="22"/>
      <c r="AO177" s="144"/>
      <c r="AP177" s="22"/>
      <c r="AQ177" s="22"/>
      <c r="AR177" s="144"/>
      <c r="AS177" s="22"/>
      <c r="AT177" s="22"/>
      <c r="AU177" s="144"/>
      <c r="AV177" s="22"/>
      <c r="AW177" s="22"/>
      <c r="AX177" s="144"/>
      <c r="AY177" s="144"/>
      <c r="AZ177" s="22"/>
      <c r="BA177" s="144"/>
      <c r="BB177" s="144"/>
      <c r="BC177" s="144"/>
      <c r="BD177" s="144"/>
      <c r="BE177" s="144"/>
      <c r="BF177" s="22"/>
      <c r="BG177" s="144"/>
      <c r="BH177" s="144"/>
      <c r="BI177" s="22"/>
      <c r="BJ177" s="144"/>
      <c r="BK177" s="22"/>
      <c r="BL177" s="144"/>
      <c r="BM177" s="144"/>
      <c r="BN177" s="22"/>
      <c r="BO177" s="144"/>
      <c r="BP177" s="144"/>
      <c r="BQ177" s="22"/>
      <c r="BR177" s="22"/>
      <c r="BS177" s="144"/>
      <c r="BT177" s="22"/>
      <c r="BU177" s="22"/>
      <c r="BV177" s="144"/>
      <c r="BW177" s="22"/>
      <c r="BX177" s="22"/>
      <c r="BY177" s="144"/>
      <c r="BZ177" s="22"/>
      <c r="CA177" s="22"/>
      <c r="CB177" s="144"/>
      <c r="CC177" s="22"/>
      <c r="CD177" s="22"/>
      <c r="CE177" s="144"/>
      <c r="CF177" s="22"/>
      <c r="CG177" s="22"/>
      <c r="CH177" s="144"/>
      <c r="CI177" s="22"/>
      <c r="CJ177" s="22"/>
      <c r="CK177" s="144"/>
    </row>
    <row r="178" spans="1:89" ht="15.75" customHeight="1" x14ac:dyDescent="0.45">
      <c r="A178" s="22"/>
      <c r="B178" s="22"/>
      <c r="C178" s="12"/>
      <c r="D178" s="12"/>
      <c r="E178" s="155"/>
      <c r="F178" s="144"/>
      <c r="G178" s="12"/>
      <c r="H178" s="22"/>
      <c r="I178" s="22"/>
      <c r="J178" s="22"/>
      <c r="K178" s="145"/>
      <c r="L178" s="144"/>
      <c r="M178" s="144"/>
      <c r="N178" s="152"/>
      <c r="O178" s="22"/>
      <c r="P178" s="152"/>
      <c r="Q178" s="22"/>
      <c r="R178" s="74"/>
      <c r="S178" s="45"/>
      <c r="T178" s="158"/>
      <c r="U178" s="45"/>
      <c r="V178" s="45"/>
      <c r="W178" s="45"/>
      <c r="X178" s="45"/>
      <c r="Y178" s="45"/>
      <c r="Z178" s="45"/>
      <c r="AA178" s="45"/>
      <c r="AB178" s="45"/>
      <c r="AC178" s="144"/>
      <c r="AD178" s="144"/>
      <c r="AE178" s="45"/>
      <c r="AF178" s="45"/>
      <c r="AG178" s="144"/>
      <c r="AH178" s="144"/>
      <c r="AI178" s="144"/>
      <c r="AJ178" s="22"/>
      <c r="AK178" s="22"/>
      <c r="AL178" s="144"/>
      <c r="AM178" s="22"/>
      <c r="AN178" s="22"/>
      <c r="AO178" s="144"/>
      <c r="AP178" s="22"/>
      <c r="AQ178" s="22"/>
      <c r="AR178" s="144"/>
      <c r="AS178" s="22"/>
      <c r="AT178" s="22"/>
      <c r="AU178" s="144"/>
      <c r="AV178" s="22"/>
      <c r="AW178" s="22"/>
      <c r="AX178" s="144"/>
      <c r="AY178" s="144"/>
      <c r="AZ178" s="22"/>
      <c r="BA178" s="144"/>
      <c r="BB178" s="144"/>
      <c r="BC178" s="144"/>
      <c r="BD178" s="144"/>
      <c r="BE178" s="144"/>
      <c r="BF178" s="22"/>
      <c r="BG178" s="144"/>
      <c r="BH178" s="144"/>
      <c r="BI178" s="22"/>
      <c r="BJ178" s="144"/>
      <c r="BK178" s="22"/>
      <c r="BL178" s="144"/>
      <c r="BM178" s="144"/>
      <c r="BN178" s="22"/>
      <c r="BO178" s="144"/>
      <c r="BP178" s="144"/>
      <c r="BQ178" s="22"/>
      <c r="BR178" s="22"/>
      <c r="BS178" s="144"/>
      <c r="BT178" s="22"/>
      <c r="BU178" s="22"/>
      <c r="BV178" s="144"/>
      <c r="BW178" s="22"/>
      <c r="BX178" s="22"/>
      <c r="BY178" s="144"/>
      <c r="BZ178" s="22"/>
      <c r="CA178" s="22"/>
      <c r="CB178" s="144"/>
      <c r="CC178" s="22"/>
      <c r="CD178" s="22"/>
      <c r="CE178" s="144"/>
      <c r="CF178" s="22"/>
      <c r="CG178" s="22"/>
      <c r="CH178" s="144"/>
      <c r="CI178" s="22"/>
      <c r="CJ178" s="22"/>
      <c r="CK178" s="144"/>
    </row>
    <row r="179" spans="1:89" ht="15.75" customHeight="1" x14ac:dyDescent="0.45">
      <c r="A179" s="22"/>
      <c r="B179" s="22"/>
      <c r="C179" s="12"/>
      <c r="D179" s="12"/>
      <c r="E179" s="155"/>
      <c r="F179" s="144"/>
      <c r="G179" s="12"/>
      <c r="H179" s="22"/>
      <c r="I179" s="22"/>
      <c r="J179" s="22"/>
      <c r="K179" s="145"/>
      <c r="L179" s="144"/>
      <c r="M179" s="144"/>
      <c r="N179" s="152"/>
      <c r="O179" s="22"/>
      <c r="P179" s="152"/>
      <c r="Q179" s="22"/>
      <c r="R179" s="74"/>
      <c r="S179" s="45"/>
      <c r="T179" s="158"/>
      <c r="U179" s="45"/>
      <c r="V179" s="45"/>
      <c r="W179" s="45"/>
      <c r="X179" s="45"/>
      <c r="Y179" s="45"/>
      <c r="Z179" s="45"/>
      <c r="AA179" s="45"/>
      <c r="AB179" s="45"/>
      <c r="AC179" s="144"/>
      <c r="AD179" s="144"/>
      <c r="AE179" s="45"/>
      <c r="AF179" s="45"/>
      <c r="AG179" s="144"/>
      <c r="AH179" s="144"/>
      <c r="AI179" s="144"/>
      <c r="AJ179" s="22"/>
      <c r="AK179" s="22"/>
      <c r="AL179" s="144"/>
      <c r="AM179" s="22"/>
      <c r="AN179" s="22"/>
      <c r="AO179" s="144"/>
      <c r="AP179" s="22"/>
      <c r="AQ179" s="22"/>
      <c r="AR179" s="144"/>
      <c r="AS179" s="22"/>
      <c r="AT179" s="22"/>
      <c r="AU179" s="144"/>
      <c r="AV179" s="22"/>
      <c r="AW179" s="22"/>
      <c r="AX179" s="144"/>
      <c r="AY179" s="144"/>
      <c r="AZ179" s="22"/>
      <c r="BA179" s="144"/>
      <c r="BB179" s="144"/>
      <c r="BC179" s="144"/>
      <c r="BD179" s="144"/>
      <c r="BE179" s="144"/>
      <c r="BF179" s="22"/>
      <c r="BG179" s="144"/>
      <c r="BH179" s="144"/>
      <c r="BI179" s="22"/>
      <c r="BJ179" s="144"/>
      <c r="BK179" s="22"/>
      <c r="BL179" s="144"/>
      <c r="BM179" s="144"/>
      <c r="BN179" s="22"/>
      <c r="BO179" s="144"/>
      <c r="BP179" s="144"/>
      <c r="BQ179" s="22"/>
      <c r="BR179" s="22"/>
      <c r="BS179" s="144"/>
      <c r="BT179" s="22"/>
      <c r="BU179" s="22"/>
      <c r="BV179" s="144"/>
      <c r="BW179" s="22"/>
      <c r="BX179" s="22"/>
      <c r="BY179" s="144"/>
      <c r="BZ179" s="22"/>
      <c r="CA179" s="22"/>
      <c r="CB179" s="144"/>
      <c r="CC179" s="22"/>
      <c r="CD179" s="22"/>
      <c r="CE179" s="144"/>
      <c r="CF179" s="22"/>
      <c r="CG179" s="22"/>
      <c r="CH179" s="144"/>
      <c r="CI179" s="22"/>
      <c r="CJ179" s="22"/>
      <c r="CK179" s="144"/>
    </row>
    <row r="180" spans="1:89" ht="15.75" customHeight="1" x14ac:dyDescent="0.45">
      <c r="A180" s="22"/>
      <c r="B180" s="22"/>
      <c r="C180" s="12"/>
      <c r="D180" s="12"/>
      <c r="E180" s="155"/>
      <c r="F180" s="144"/>
      <c r="G180" s="12"/>
      <c r="H180" s="22"/>
      <c r="I180" s="22"/>
      <c r="J180" s="22"/>
      <c r="K180" s="145"/>
      <c r="L180" s="144"/>
      <c r="M180" s="144"/>
      <c r="N180" s="152"/>
      <c r="O180" s="22"/>
      <c r="P180" s="152"/>
      <c r="Q180" s="22"/>
      <c r="R180" s="74"/>
      <c r="S180" s="45"/>
      <c r="T180" s="158"/>
      <c r="U180" s="45"/>
      <c r="V180" s="45"/>
      <c r="W180" s="45"/>
      <c r="X180" s="45"/>
      <c r="Y180" s="45"/>
      <c r="Z180" s="45"/>
      <c r="AA180" s="45"/>
      <c r="AB180" s="45"/>
      <c r="AC180" s="144"/>
      <c r="AD180" s="144"/>
      <c r="AE180" s="45"/>
      <c r="AF180" s="45"/>
      <c r="AG180" s="144"/>
      <c r="AH180" s="144"/>
      <c r="AI180" s="144"/>
      <c r="AJ180" s="22"/>
      <c r="AK180" s="22"/>
      <c r="AL180" s="144"/>
      <c r="AM180" s="22"/>
      <c r="AN180" s="22"/>
      <c r="AO180" s="144"/>
      <c r="AP180" s="22"/>
      <c r="AQ180" s="22"/>
      <c r="AR180" s="144"/>
      <c r="AS180" s="22"/>
      <c r="AT180" s="22"/>
      <c r="AU180" s="144"/>
      <c r="AV180" s="22"/>
      <c r="AW180" s="22"/>
      <c r="AX180" s="144"/>
      <c r="AY180" s="144"/>
      <c r="AZ180" s="22"/>
      <c r="BA180" s="144"/>
      <c r="BB180" s="144"/>
      <c r="BC180" s="144"/>
      <c r="BD180" s="144"/>
      <c r="BE180" s="144"/>
      <c r="BF180" s="22"/>
      <c r="BG180" s="144"/>
      <c r="BH180" s="144"/>
      <c r="BI180" s="22"/>
      <c r="BJ180" s="144"/>
      <c r="BK180" s="22"/>
      <c r="BL180" s="144"/>
      <c r="BM180" s="144"/>
      <c r="BN180" s="22"/>
      <c r="BO180" s="144"/>
      <c r="BP180" s="144"/>
      <c r="BQ180" s="22"/>
      <c r="BR180" s="22"/>
      <c r="BS180" s="144"/>
      <c r="BT180" s="22"/>
      <c r="BU180" s="22"/>
      <c r="BV180" s="144"/>
      <c r="BW180" s="22"/>
      <c r="BX180" s="22"/>
      <c r="BY180" s="144"/>
      <c r="BZ180" s="22"/>
      <c r="CA180" s="22"/>
      <c r="CB180" s="144"/>
      <c r="CC180" s="22"/>
      <c r="CD180" s="22"/>
      <c r="CE180" s="144"/>
      <c r="CF180" s="22"/>
      <c r="CG180" s="22"/>
      <c r="CH180" s="144"/>
      <c r="CI180" s="22"/>
      <c r="CJ180" s="22"/>
      <c r="CK180" s="144"/>
    </row>
    <row r="181" spans="1:89" ht="15.75" customHeight="1" x14ac:dyDescent="0.45">
      <c r="A181" s="22"/>
      <c r="B181" s="22"/>
      <c r="C181" s="12"/>
      <c r="D181" s="12"/>
      <c r="E181" s="155"/>
      <c r="F181" s="144"/>
      <c r="G181" s="12"/>
      <c r="H181" s="22"/>
      <c r="I181" s="22"/>
      <c r="J181" s="22"/>
      <c r="K181" s="145"/>
      <c r="L181" s="144"/>
      <c r="M181" s="144"/>
      <c r="N181" s="152"/>
      <c r="O181" s="22"/>
      <c r="P181" s="152"/>
      <c r="Q181" s="22"/>
      <c r="R181" s="74"/>
      <c r="S181" s="45"/>
      <c r="T181" s="158"/>
      <c r="U181" s="45"/>
      <c r="V181" s="45"/>
      <c r="W181" s="45"/>
      <c r="X181" s="45"/>
      <c r="Y181" s="45"/>
      <c r="Z181" s="45"/>
      <c r="AA181" s="45"/>
      <c r="AB181" s="45"/>
      <c r="AC181" s="144"/>
      <c r="AD181" s="144"/>
      <c r="AE181" s="45"/>
      <c r="AF181" s="45"/>
      <c r="AG181" s="144"/>
      <c r="AH181" s="144"/>
      <c r="AI181" s="144"/>
      <c r="AJ181" s="22"/>
      <c r="AK181" s="22"/>
      <c r="AL181" s="144"/>
      <c r="AM181" s="22"/>
      <c r="AN181" s="22"/>
      <c r="AO181" s="144"/>
      <c r="AP181" s="22"/>
      <c r="AQ181" s="22"/>
      <c r="AR181" s="144"/>
      <c r="AS181" s="22"/>
      <c r="AT181" s="22"/>
      <c r="AU181" s="144"/>
      <c r="AV181" s="22"/>
      <c r="AW181" s="22"/>
      <c r="AX181" s="144"/>
      <c r="AY181" s="144"/>
      <c r="AZ181" s="22"/>
      <c r="BA181" s="144"/>
      <c r="BB181" s="144"/>
      <c r="BC181" s="144"/>
      <c r="BD181" s="144"/>
      <c r="BE181" s="144"/>
      <c r="BF181" s="22"/>
      <c r="BG181" s="144"/>
      <c r="BH181" s="144"/>
      <c r="BI181" s="22"/>
      <c r="BJ181" s="144"/>
      <c r="BK181" s="22"/>
      <c r="BL181" s="144"/>
      <c r="BM181" s="144"/>
      <c r="BN181" s="22"/>
      <c r="BO181" s="144"/>
      <c r="BP181" s="144"/>
      <c r="BQ181" s="22"/>
      <c r="BR181" s="22"/>
      <c r="BS181" s="144"/>
      <c r="BT181" s="22"/>
      <c r="BU181" s="22"/>
      <c r="BV181" s="144"/>
      <c r="BW181" s="22"/>
      <c r="BX181" s="22"/>
      <c r="BY181" s="144"/>
      <c r="BZ181" s="22"/>
      <c r="CA181" s="22"/>
      <c r="CB181" s="144"/>
      <c r="CC181" s="22"/>
      <c r="CD181" s="22"/>
      <c r="CE181" s="144"/>
      <c r="CF181" s="22"/>
      <c r="CG181" s="22"/>
      <c r="CH181" s="144"/>
      <c r="CI181" s="22"/>
      <c r="CJ181" s="22"/>
      <c r="CK181" s="144"/>
    </row>
    <row r="182" spans="1:89" ht="15.75" customHeight="1" x14ac:dyDescent="0.45">
      <c r="A182" s="22"/>
      <c r="B182" s="22"/>
      <c r="C182" s="12"/>
      <c r="D182" s="12"/>
      <c r="E182" s="155"/>
      <c r="F182" s="144"/>
      <c r="G182" s="12"/>
      <c r="H182" s="22"/>
      <c r="I182" s="22"/>
      <c r="J182" s="22"/>
      <c r="K182" s="145"/>
      <c r="L182" s="144"/>
      <c r="M182" s="144"/>
      <c r="N182" s="152"/>
      <c r="O182" s="22"/>
      <c r="P182" s="152"/>
      <c r="Q182" s="22"/>
      <c r="R182" s="74"/>
      <c r="S182" s="45"/>
      <c r="T182" s="158"/>
      <c r="U182" s="45"/>
      <c r="V182" s="45"/>
      <c r="W182" s="45"/>
      <c r="X182" s="45"/>
      <c r="Y182" s="45"/>
      <c r="Z182" s="45"/>
      <c r="AA182" s="45"/>
      <c r="AB182" s="45"/>
      <c r="AC182" s="144"/>
      <c r="AD182" s="144"/>
      <c r="AE182" s="45"/>
      <c r="AF182" s="45"/>
      <c r="AG182" s="144"/>
      <c r="AH182" s="144"/>
      <c r="AI182" s="144"/>
      <c r="AJ182" s="22"/>
      <c r="AK182" s="22"/>
      <c r="AL182" s="144"/>
      <c r="AM182" s="22"/>
      <c r="AN182" s="22"/>
      <c r="AO182" s="144"/>
      <c r="AP182" s="22"/>
      <c r="AQ182" s="22"/>
      <c r="AR182" s="144"/>
      <c r="AS182" s="22"/>
      <c r="AT182" s="22"/>
      <c r="AU182" s="144"/>
      <c r="AV182" s="22"/>
      <c r="AW182" s="22"/>
      <c r="AX182" s="144"/>
      <c r="AY182" s="144"/>
      <c r="AZ182" s="22"/>
      <c r="BA182" s="144"/>
      <c r="BB182" s="144"/>
      <c r="BC182" s="144"/>
      <c r="BD182" s="144"/>
      <c r="BE182" s="144"/>
      <c r="BF182" s="22"/>
      <c r="BG182" s="144"/>
      <c r="BH182" s="144"/>
      <c r="BI182" s="22"/>
      <c r="BJ182" s="144"/>
      <c r="BK182" s="22"/>
      <c r="BL182" s="144"/>
      <c r="BM182" s="144"/>
      <c r="BN182" s="22"/>
      <c r="BO182" s="144"/>
      <c r="BP182" s="144"/>
      <c r="BQ182" s="22"/>
      <c r="BR182" s="22"/>
      <c r="BS182" s="144"/>
      <c r="BT182" s="22"/>
      <c r="BU182" s="22"/>
      <c r="BV182" s="144"/>
      <c r="BW182" s="22"/>
      <c r="BX182" s="22"/>
      <c r="BY182" s="144"/>
      <c r="BZ182" s="22"/>
      <c r="CA182" s="22"/>
      <c r="CB182" s="144"/>
      <c r="CC182" s="22"/>
      <c r="CD182" s="22"/>
      <c r="CE182" s="144"/>
      <c r="CF182" s="22"/>
      <c r="CG182" s="22"/>
      <c r="CH182" s="144"/>
      <c r="CI182" s="22"/>
      <c r="CJ182" s="22"/>
      <c r="CK182" s="144"/>
    </row>
    <row r="183" spans="1:89" ht="15.75" customHeight="1" x14ac:dyDescent="0.45">
      <c r="A183" s="22"/>
      <c r="B183" s="22"/>
      <c r="C183" s="12"/>
      <c r="D183" s="12"/>
      <c r="E183" s="155"/>
      <c r="F183" s="144"/>
      <c r="G183" s="12"/>
      <c r="H183" s="22"/>
      <c r="I183" s="22"/>
      <c r="J183" s="22"/>
      <c r="K183" s="145"/>
      <c r="L183" s="144"/>
      <c r="M183" s="144"/>
      <c r="N183" s="152"/>
      <c r="O183" s="22"/>
      <c r="P183" s="152"/>
      <c r="Q183" s="22"/>
      <c r="R183" s="74"/>
      <c r="S183" s="45"/>
      <c r="T183" s="158"/>
      <c r="U183" s="45"/>
      <c r="V183" s="45"/>
      <c r="W183" s="45"/>
      <c r="X183" s="45"/>
      <c r="Y183" s="45"/>
      <c r="Z183" s="45"/>
      <c r="AA183" s="45"/>
      <c r="AB183" s="45"/>
      <c r="AC183" s="144"/>
      <c r="AD183" s="144"/>
      <c r="AE183" s="45"/>
      <c r="AF183" s="45"/>
      <c r="AG183" s="144"/>
      <c r="AH183" s="144"/>
      <c r="AI183" s="144"/>
      <c r="AJ183" s="22"/>
      <c r="AK183" s="22"/>
      <c r="AL183" s="144"/>
      <c r="AM183" s="22"/>
      <c r="AN183" s="22"/>
      <c r="AO183" s="144"/>
      <c r="AP183" s="22"/>
      <c r="AQ183" s="22"/>
      <c r="AR183" s="144"/>
      <c r="AS183" s="22"/>
      <c r="AT183" s="22"/>
      <c r="AU183" s="144"/>
      <c r="AV183" s="22"/>
      <c r="AW183" s="22"/>
      <c r="AX183" s="144"/>
      <c r="AY183" s="144"/>
      <c r="AZ183" s="22"/>
      <c r="BA183" s="144"/>
      <c r="BB183" s="144"/>
      <c r="BC183" s="144"/>
      <c r="BD183" s="144"/>
      <c r="BE183" s="144"/>
      <c r="BF183" s="22"/>
      <c r="BG183" s="144"/>
      <c r="BH183" s="144"/>
      <c r="BI183" s="22"/>
      <c r="BJ183" s="144"/>
      <c r="BK183" s="22"/>
      <c r="BL183" s="144"/>
      <c r="BM183" s="144"/>
      <c r="BN183" s="22"/>
      <c r="BO183" s="144"/>
      <c r="BP183" s="144"/>
      <c r="BQ183" s="22"/>
      <c r="BR183" s="22"/>
      <c r="BS183" s="144"/>
      <c r="BT183" s="22"/>
      <c r="BU183" s="22"/>
      <c r="BV183" s="144"/>
      <c r="BW183" s="22"/>
      <c r="BX183" s="22"/>
      <c r="BY183" s="144"/>
      <c r="BZ183" s="22"/>
      <c r="CA183" s="22"/>
      <c r="CB183" s="144"/>
      <c r="CC183" s="22"/>
      <c r="CD183" s="22"/>
      <c r="CE183" s="144"/>
      <c r="CF183" s="22"/>
      <c r="CG183" s="22"/>
      <c r="CH183" s="144"/>
      <c r="CI183" s="22"/>
      <c r="CJ183" s="22"/>
      <c r="CK183" s="144"/>
    </row>
    <row r="184" spans="1:89" ht="15.75" customHeight="1" x14ac:dyDescent="0.45">
      <c r="A184" s="22"/>
      <c r="B184" s="22"/>
      <c r="C184" s="12"/>
      <c r="D184" s="12"/>
      <c r="E184" s="155"/>
      <c r="F184" s="144"/>
      <c r="G184" s="12"/>
      <c r="H184" s="22"/>
      <c r="I184" s="22"/>
      <c r="J184" s="22"/>
      <c r="K184" s="145"/>
      <c r="L184" s="144"/>
      <c r="M184" s="144"/>
      <c r="N184" s="152"/>
      <c r="O184" s="22"/>
      <c r="P184" s="152"/>
      <c r="Q184" s="22"/>
      <c r="R184" s="74"/>
      <c r="S184" s="45"/>
      <c r="T184" s="158"/>
      <c r="U184" s="45"/>
      <c r="V184" s="45"/>
      <c r="W184" s="45"/>
      <c r="X184" s="45"/>
      <c r="Y184" s="45"/>
      <c r="Z184" s="45"/>
      <c r="AA184" s="45"/>
      <c r="AB184" s="45"/>
      <c r="AC184" s="144"/>
      <c r="AD184" s="144"/>
      <c r="AE184" s="45"/>
      <c r="AF184" s="45"/>
      <c r="AG184" s="144"/>
      <c r="AH184" s="144"/>
      <c r="AI184" s="144"/>
      <c r="AJ184" s="22"/>
      <c r="AK184" s="22"/>
      <c r="AL184" s="144"/>
      <c r="AM184" s="22"/>
      <c r="AN184" s="22"/>
      <c r="AO184" s="144"/>
      <c r="AP184" s="22"/>
      <c r="AQ184" s="22"/>
      <c r="AR184" s="144"/>
      <c r="AS184" s="22"/>
      <c r="AT184" s="22"/>
      <c r="AU184" s="144"/>
      <c r="AV184" s="22"/>
      <c r="AW184" s="22"/>
      <c r="AX184" s="144"/>
      <c r="AY184" s="144"/>
      <c r="AZ184" s="22"/>
      <c r="BA184" s="144"/>
      <c r="BB184" s="144"/>
      <c r="BC184" s="144"/>
      <c r="BD184" s="144"/>
      <c r="BE184" s="144"/>
      <c r="BF184" s="22"/>
      <c r="BG184" s="144"/>
      <c r="BH184" s="144"/>
      <c r="BI184" s="22"/>
      <c r="BJ184" s="144"/>
      <c r="BK184" s="22"/>
      <c r="BL184" s="144"/>
      <c r="BM184" s="144"/>
      <c r="BN184" s="22"/>
      <c r="BO184" s="144"/>
      <c r="BP184" s="144"/>
      <c r="BQ184" s="22"/>
      <c r="BR184" s="22"/>
      <c r="BS184" s="144"/>
      <c r="BT184" s="22"/>
      <c r="BU184" s="22"/>
      <c r="BV184" s="144"/>
      <c r="BW184" s="22"/>
      <c r="BX184" s="22"/>
      <c r="BY184" s="144"/>
      <c r="BZ184" s="22"/>
      <c r="CA184" s="22"/>
      <c r="CB184" s="144"/>
      <c r="CC184" s="22"/>
      <c r="CD184" s="22"/>
      <c r="CE184" s="144"/>
      <c r="CF184" s="22"/>
      <c r="CG184" s="22"/>
      <c r="CH184" s="144"/>
      <c r="CI184" s="22"/>
      <c r="CJ184" s="22"/>
      <c r="CK184" s="144"/>
    </row>
    <row r="185" spans="1:89" ht="15.75" customHeight="1" x14ac:dyDescent="0.45">
      <c r="A185" s="22"/>
      <c r="B185" s="22"/>
      <c r="C185" s="12"/>
      <c r="D185" s="12"/>
      <c r="E185" s="155"/>
      <c r="F185" s="144"/>
      <c r="G185" s="12"/>
      <c r="H185" s="22"/>
      <c r="I185" s="22"/>
      <c r="J185" s="22"/>
      <c r="K185" s="145"/>
      <c r="L185" s="144"/>
      <c r="M185" s="144"/>
      <c r="N185" s="152"/>
      <c r="O185" s="22"/>
      <c r="P185" s="152"/>
      <c r="Q185" s="22"/>
      <c r="R185" s="74"/>
      <c r="S185" s="45"/>
      <c r="T185" s="158"/>
      <c r="U185" s="45"/>
      <c r="V185" s="45"/>
      <c r="W185" s="45"/>
      <c r="X185" s="45"/>
      <c r="Y185" s="45"/>
      <c r="Z185" s="45"/>
      <c r="AA185" s="45"/>
      <c r="AB185" s="45"/>
      <c r="AC185" s="144"/>
      <c r="AD185" s="144"/>
      <c r="AE185" s="45"/>
      <c r="AF185" s="45"/>
      <c r="AG185" s="144"/>
      <c r="AH185" s="144"/>
      <c r="AI185" s="144"/>
      <c r="AJ185" s="22"/>
      <c r="AK185" s="22"/>
      <c r="AL185" s="144"/>
      <c r="AM185" s="22"/>
      <c r="AN185" s="22"/>
      <c r="AO185" s="144"/>
      <c r="AP185" s="22"/>
      <c r="AQ185" s="22"/>
      <c r="AR185" s="144"/>
      <c r="AS185" s="22"/>
      <c r="AT185" s="22"/>
      <c r="AU185" s="144"/>
      <c r="AV185" s="22"/>
      <c r="AW185" s="22"/>
      <c r="AX185" s="144"/>
      <c r="AY185" s="144"/>
      <c r="AZ185" s="22"/>
      <c r="BA185" s="144"/>
      <c r="BB185" s="144"/>
      <c r="BC185" s="144"/>
      <c r="BD185" s="144"/>
      <c r="BE185" s="144"/>
      <c r="BF185" s="22"/>
      <c r="BG185" s="144"/>
      <c r="BH185" s="144"/>
      <c r="BI185" s="22"/>
      <c r="BJ185" s="144"/>
      <c r="BK185" s="22"/>
      <c r="BL185" s="144"/>
      <c r="BM185" s="144"/>
      <c r="BN185" s="22"/>
      <c r="BO185" s="144"/>
      <c r="BP185" s="144"/>
      <c r="BQ185" s="22"/>
      <c r="BR185" s="22"/>
      <c r="BS185" s="144"/>
      <c r="BT185" s="22"/>
      <c r="BU185" s="22"/>
      <c r="BV185" s="144"/>
      <c r="BW185" s="22"/>
      <c r="BX185" s="22"/>
      <c r="BY185" s="144"/>
      <c r="BZ185" s="22"/>
      <c r="CA185" s="22"/>
      <c r="CB185" s="144"/>
      <c r="CC185" s="22"/>
      <c r="CD185" s="22"/>
      <c r="CE185" s="144"/>
      <c r="CF185" s="22"/>
      <c r="CG185" s="22"/>
      <c r="CH185" s="144"/>
      <c r="CI185" s="22"/>
      <c r="CJ185" s="22"/>
      <c r="CK185" s="144"/>
    </row>
    <row r="186" spans="1:89" ht="15.75" customHeight="1" x14ac:dyDescent="0.45">
      <c r="A186" s="22"/>
      <c r="B186" s="22"/>
      <c r="C186" s="12"/>
      <c r="D186" s="12"/>
      <c r="E186" s="155"/>
      <c r="F186" s="144"/>
      <c r="G186" s="12"/>
      <c r="H186" s="22"/>
      <c r="I186" s="22"/>
      <c r="J186" s="22"/>
      <c r="K186" s="145"/>
      <c r="L186" s="144"/>
      <c r="M186" s="144"/>
      <c r="N186" s="152"/>
      <c r="O186" s="22"/>
      <c r="P186" s="152"/>
      <c r="Q186" s="22"/>
      <c r="R186" s="74"/>
      <c r="S186" s="45"/>
      <c r="T186" s="158"/>
      <c r="U186" s="45"/>
      <c r="V186" s="45"/>
      <c r="W186" s="45"/>
      <c r="X186" s="45"/>
      <c r="Y186" s="45"/>
      <c r="Z186" s="45"/>
      <c r="AA186" s="45"/>
      <c r="AB186" s="45"/>
      <c r="AC186" s="144"/>
      <c r="AD186" s="144"/>
      <c r="AE186" s="45"/>
      <c r="AF186" s="45"/>
      <c r="AG186" s="144"/>
      <c r="AH186" s="144"/>
      <c r="AI186" s="144"/>
      <c r="AJ186" s="22"/>
      <c r="AK186" s="22"/>
      <c r="AL186" s="144"/>
      <c r="AM186" s="22"/>
      <c r="AN186" s="22"/>
      <c r="AO186" s="144"/>
      <c r="AP186" s="22"/>
      <c r="AQ186" s="22"/>
      <c r="AR186" s="144"/>
      <c r="AS186" s="22"/>
      <c r="AT186" s="22"/>
      <c r="AU186" s="144"/>
      <c r="AV186" s="22"/>
      <c r="AW186" s="22"/>
      <c r="AX186" s="144"/>
      <c r="AY186" s="144"/>
      <c r="AZ186" s="22"/>
      <c r="BA186" s="144"/>
      <c r="BB186" s="144"/>
      <c r="BC186" s="144"/>
      <c r="BD186" s="144"/>
      <c r="BE186" s="144"/>
      <c r="BF186" s="22"/>
      <c r="BG186" s="144"/>
      <c r="BH186" s="144"/>
      <c r="BI186" s="22"/>
      <c r="BJ186" s="144"/>
      <c r="BK186" s="22"/>
      <c r="BL186" s="144"/>
      <c r="BM186" s="144"/>
      <c r="BN186" s="22"/>
      <c r="BO186" s="144"/>
      <c r="BP186" s="144"/>
      <c r="BQ186" s="22"/>
      <c r="BR186" s="22"/>
      <c r="BS186" s="144"/>
      <c r="BT186" s="22"/>
      <c r="BU186" s="22"/>
      <c r="BV186" s="144"/>
      <c r="BW186" s="22"/>
      <c r="BX186" s="22"/>
      <c r="BY186" s="144"/>
      <c r="BZ186" s="22"/>
      <c r="CA186" s="22"/>
      <c r="CB186" s="144"/>
      <c r="CC186" s="22"/>
      <c r="CD186" s="22"/>
      <c r="CE186" s="144"/>
      <c r="CF186" s="22"/>
      <c r="CG186" s="22"/>
      <c r="CH186" s="144"/>
      <c r="CI186" s="22"/>
      <c r="CJ186" s="22"/>
      <c r="CK186" s="144"/>
    </row>
    <row r="187" spans="1:89" ht="15.75" customHeight="1" x14ac:dyDescent="0.45">
      <c r="A187" s="22"/>
      <c r="B187" s="22"/>
      <c r="C187" s="12"/>
      <c r="D187" s="12"/>
      <c r="E187" s="155"/>
      <c r="F187" s="144"/>
      <c r="G187" s="12"/>
      <c r="H187" s="22"/>
      <c r="I187" s="22"/>
      <c r="J187" s="22"/>
      <c r="K187" s="145"/>
      <c r="L187" s="144"/>
      <c r="M187" s="144"/>
      <c r="N187" s="152"/>
      <c r="O187" s="22"/>
      <c r="P187" s="152"/>
      <c r="Q187" s="22"/>
      <c r="R187" s="74"/>
      <c r="S187" s="45"/>
      <c r="T187" s="158"/>
      <c r="U187" s="45"/>
      <c r="V187" s="45"/>
      <c r="W187" s="45"/>
      <c r="X187" s="45"/>
      <c r="Y187" s="45"/>
      <c r="Z187" s="45"/>
      <c r="AA187" s="45"/>
      <c r="AB187" s="45"/>
      <c r="AC187" s="144"/>
      <c r="AD187" s="144"/>
      <c r="AE187" s="45"/>
      <c r="AF187" s="45"/>
      <c r="AG187" s="144"/>
      <c r="AH187" s="144"/>
      <c r="AI187" s="144"/>
      <c r="AJ187" s="22"/>
      <c r="AK187" s="22"/>
      <c r="AL187" s="144"/>
      <c r="AM187" s="22"/>
      <c r="AN187" s="22"/>
      <c r="AO187" s="144"/>
      <c r="AP187" s="22"/>
      <c r="AQ187" s="22"/>
      <c r="AR187" s="144"/>
      <c r="AS187" s="22"/>
      <c r="AT187" s="22"/>
      <c r="AU187" s="144"/>
      <c r="AV187" s="22"/>
      <c r="AW187" s="22"/>
      <c r="AX187" s="144"/>
      <c r="AY187" s="144"/>
      <c r="AZ187" s="22"/>
      <c r="BA187" s="144"/>
      <c r="BB187" s="144"/>
      <c r="BC187" s="144"/>
      <c r="BD187" s="144"/>
      <c r="BE187" s="144"/>
      <c r="BF187" s="22"/>
      <c r="BG187" s="144"/>
      <c r="BH187" s="144"/>
      <c r="BI187" s="22"/>
      <c r="BJ187" s="144"/>
      <c r="BK187" s="22"/>
      <c r="BL187" s="144"/>
      <c r="BM187" s="144"/>
      <c r="BN187" s="22"/>
      <c r="BO187" s="144"/>
      <c r="BP187" s="144"/>
      <c r="BQ187" s="22"/>
      <c r="BR187" s="22"/>
      <c r="BS187" s="144"/>
      <c r="BT187" s="22"/>
      <c r="BU187" s="22"/>
      <c r="BV187" s="144"/>
      <c r="BW187" s="22"/>
      <c r="BX187" s="22"/>
      <c r="BY187" s="144"/>
      <c r="BZ187" s="22"/>
      <c r="CA187" s="22"/>
      <c r="CB187" s="144"/>
      <c r="CC187" s="22"/>
      <c r="CD187" s="22"/>
      <c r="CE187" s="144"/>
      <c r="CF187" s="22"/>
      <c r="CG187" s="22"/>
      <c r="CH187" s="144"/>
      <c r="CI187" s="22"/>
      <c r="CJ187" s="22"/>
      <c r="CK187" s="144"/>
    </row>
    <row r="188" spans="1:89" ht="15.75" customHeight="1" x14ac:dyDescent="0.45">
      <c r="A188" s="22"/>
      <c r="B188" s="22"/>
      <c r="C188" s="12"/>
      <c r="D188" s="12"/>
      <c r="E188" s="155"/>
      <c r="F188" s="144"/>
      <c r="G188" s="12"/>
      <c r="H188" s="22"/>
      <c r="I188" s="22"/>
      <c r="J188" s="22"/>
      <c r="K188" s="145"/>
      <c r="L188" s="144"/>
      <c r="M188" s="144"/>
      <c r="N188" s="152"/>
      <c r="O188" s="22"/>
      <c r="P188" s="152"/>
      <c r="Q188" s="22"/>
      <c r="R188" s="74"/>
      <c r="S188" s="45"/>
      <c r="T188" s="158"/>
      <c r="U188" s="45"/>
      <c r="V188" s="45"/>
      <c r="W188" s="45"/>
      <c r="X188" s="45"/>
      <c r="Y188" s="45"/>
      <c r="Z188" s="45"/>
      <c r="AA188" s="45"/>
      <c r="AB188" s="45"/>
      <c r="AC188" s="144"/>
      <c r="AD188" s="144"/>
      <c r="AE188" s="45"/>
      <c r="AF188" s="45"/>
      <c r="AG188" s="144"/>
      <c r="AH188" s="144"/>
      <c r="AI188" s="144"/>
      <c r="AJ188" s="22"/>
      <c r="AK188" s="22"/>
      <c r="AL188" s="144"/>
      <c r="AM188" s="22"/>
      <c r="AN188" s="22"/>
      <c r="AO188" s="144"/>
      <c r="AP188" s="22"/>
      <c r="AQ188" s="22"/>
      <c r="AR188" s="144"/>
      <c r="AS188" s="22"/>
      <c r="AT188" s="22"/>
      <c r="AU188" s="144"/>
      <c r="AV188" s="22"/>
      <c r="AW188" s="22"/>
      <c r="AX188" s="144"/>
      <c r="AY188" s="144"/>
      <c r="AZ188" s="22"/>
      <c r="BA188" s="144"/>
      <c r="BB188" s="144"/>
      <c r="BC188" s="144"/>
      <c r="BD188" s="144"/>
      <c r="BE188" s="144"/>
      <c r="BF188" s="22"/>
      <c r="BG188" s="144"/>
      <c r="BH188" s="144"/>
      <c r="BI188" s="22"/>
      <c r="BJ188" s="144"/>
      <c r="BK188" s="22"/>
      <c r="BL188" s="144"/>
      <c r="BM188" s="144"/>
      <c r="BN188" s="22"/>
      <c r="BO188" s="144"/>
      <c r="BP188" s="144"/>
      <c r="BQ188" s="22"/>
      <c r="BR188" s="22"/>
      <c r="BS188" s="144"/>
      <c r="BT188" s="22"/>
      <c r="BU188" s="22"/>
      <c r="BV188" s="144"/>
      <c r="BW188" s="22"/>
      <c r="BX188" s="22"/>
      <c r="BY188" s="144"/>
      <c r="BZ188" s="22"/>
      <c r="CA188" s="22"/>
      <c r="CB188" s="144"/>
      <c r="CC188" s="22"/>
      <c r="CD188" s="22"/>
      <c r="CE188" s="144"/>
      <c r="CF188" s="22"/>
      <c r="CG188" s="22"/>
      <c r="CH188" s="144"/>
      <c r="CI188" s="22"/>
      <c r="CJ188" s="22"/>
      <c r="CK188" s="144"/>
    </row>
    <row r="189" spans="1:89" ht="15.75" customHeight="1" x14ac:dyDescent="0.45">
      <c r="A189" s="22"/>
      <c r="B189" s="22"/>
      <c r="C189" s="12"/>
      <c r="D189" s="12"/>
      <c r="E189" s="155"/>
      <c r="F189" s="144"/>
      <c r="G189" s="12"/>
      <c r="H189" s="22"/>
      <c r="I189" s="22"/>
      <c r="J189" s="22"/>
      <c r="K189" s="145"/>
      <c r="L189" s="144"/>
      <c r="M189" s="144"/>
      <c r="N189" s="152"/>
      <c r="O189" s="22"/>
      <c r="P189" s="152"/>
      <c r="Q189" s="22"/>
      <c r="R189" s="74"/>
      <c r="S189" s="45"/>
      <c r="T189" s="158"/>
      <c r="U189" s="45"/>
      <c r="V189" s="45"/>
      <c r="W189" s="45"/>
      <c r="X189" s="45"/>
      <c r="Y189" s="45"/>
      <c r="Z189" s="45"/>
      <c r="AA189" s="45"/>
      <c r="AB189" s="45"/>
      <c r="AC189" s="144"/>
      <c r="AD189" s="144"/>
      <c r="AE189" s="45"/>
      <c r="AF189" s="45"/>
      <c r="AG189" s="144"/>
      <c r="AH189" s="144"/>
      <c r="AI189" s="144"/>
      <c r="AJ189" s="22"/>
      <c r="AK189" s="22"/>
      <c r="AL189" s="144"/>
      <c r="AM189" s="22"/>
      <c r="AN189" s="22"/>
      <c r="AO189" s="144"/>
      <c r="AP189" s="22"/>
      <c r="AQ189" s="22"/>
      <c r="AR189" s="144"/>
      <c r="AS189" s="22"/>
      <c r="AT189" s="22"/>
      <c r="AU189" s="144"/>
      <c r="AV189" s="22"/>
      <c r="AW189" s="22"/>
      <c r="AX189" s="144"/>
      <c r="AY189" s="144"/>
      <c r="AZ189" s="22"/>
      <c r="BA189" s="144"/>
      <c r="BB189" s="144"/>
      <c r="BC189" s="144"/>
      <c r="BD189" s="144"/>
      <c r="BE189" s="144"/>
      <c r="BF189" s="22"/>
      <c r="BG189" s="144"/>
      <c r="BH189" s="144"/>
      <c r="BI189" s="22"/>
      <c r="BJ189" s="144"/>
      <c r="BK189" s="22"/>
      <c r="BL189" s="144"/>
      <c r="BM189" s="144"/>
      <c r="BN189" s="22"/>
      <c r="BO189" s="144"/>
      <c r="BP189" s="144"/>
      <c r="BQ189" s="22"/>
      <c r="BR189" s="22"/>
      <c r="BS189" s="144"/>
      <c r="BT189" s="22"/>
      <c r="BU189" s="22"/>
      <c r="BV189" s="144"/>
      <c r="BW189" s="22"/>
      <c r="BX189" s="22"/>
      <c r="BY189" s="144"/>
      <c r="BZ189" s="22"/>
      <c r="CA189" s="22"/>
      <c r="CB189" s="144"/>
      <c r="CC189" s="22"/>
      <c r="CD189" s="22"/>
      <c r="CE189" s="144"/>
      <c r="CF189" s="22"/>
      <c r="CG189" s="22"/>
      <c r="CH189" s="144"/>
      <c r="CI189" s="22"/>
      <c r="CJ189" s="22"/>
      <c r="CK189" s="144"/>
    </row>
    <row r="190" spans="1:89" ht="15.75" customHeight="1" x14ac:dyDescent="0.45">
      <c r="A190" s="22"/>
      <c r="B190" s="22"/>
      <c r="C190" s="12"/>
      <c r="D190" s="12"/>
      <c r="E190" s="155"/>
      <c r="F190" s="144"/>
      <c r="G190" s="12"/>
      <c r="H190" s="22"/>
      <c r="I190" s="22"/>
      <c r="J190" s="22"/>
      <c r="K190" s="145"/>
      <c r="L190" s="144"/>
      <c r="M190" s="144"/>
      <c r="N190" s="152"/>
      <c r="O190" s="22"/>
      <c r="P190" s="152"/>
      <c r="Q190" s="22"/>
      <c r="R190" s="74"/>
      <c r="S190" s="45"/>
      <c r="T190" s="158"/>
      <c r="U190" s="45"/>
      <c r="V190" s="45"/>
      <c r="W190" s="45"/>
      <c r="X190" s="45"/>
      <c r="Y190" s="45"/>
      <c r="Z190" s="45"/>
      <c r="AA190" s="45"/>
      <c r="AB190" s="45"/>
      <c r="AC190" s="144"/>
      <c r="AD190" s="144"/>
      <c r="AE190" s="45"/>
      <c r="AF190" s="45"/>
      <c r="AG190" s="144"/>
      <c r="AH190" s="144"/>
      <c r="AI190" s="144"/>
      <c r="AJ190" s="22"/>
      <c r="AK190" s="22"/>
      <c r="AL190" s="144"/>
      <c r="AM190" s="22"/>
      <c r="AN190" s="22"/>
      <c r="AO190" s="144"/>
      <c r="AP190" s="22"/>
      <c r="AQ190" s="22"/>
      <c r="AR190" s="144"/>
      <c r="AS190" s="22"/>
      <c r="AT190" s="22"/>
      <c r="AU190" s="144"/>
      <c r="AV190" s="22"/>
      <c r="AW190" s="22"/>
      <c r="AX190" s="144"/>
      <c r="AY190" s="144"/>
      <c r="AZ190" s="22"/>
      <c r="BA190" s="144"/>
      <c r="BB190" s="144"/>
      <c r="BC190" s="144"/>
      <c r="BD190" s="144"/>
      <c r="BE190" s="144"/>
      <c r="BF190" s="22"/>
      <c r="BG190" s="144"/>
      <c r="BH190" s="144"/>
      <c r="BI190" s="22"/>
      <c r="BJ190" s="144"/>
      <c r="BK190" s="22"/>
      <c r="BL190" s="144"/>
      <c r="BM190" s="144"/>
      <c r="BN190" s="22"/>
      <c r="BO190" s="144"/>
      <c r="BP190" s="144"/>
      <c r="BQ190" s="22"/>
      <c r="BR190" s="22"/>
      <c r="BS190" s="144"/>
      <c r="BT190" s="22"/>
      <c r="BU190" s="22"/>
      <c r="BV190" s="144"/>
      <c r="BW190" s="22"/>
      <c r="BX190" s="22"/>
      <c r="BY190" s="144"/>
      <c r="BZ190" s="22"/>
      <c r="CA190" s="22"/>
      <c r="CB190" s="144"/>
      <c r="CC190" s="22"/>
      <c r="CD190" s="22"/>
      <c r="CE190" s="144"/>
      <c r="CF190" s="22"/>
      <c r="CG190" s="22"/>
      <c r="CH190" s="144"/>
      <c r="CI190" s="22"/>
      <c r="CJ190" s="22"/>
      <c r="CK190" s="144"/>
    </row>
    <row r="191" spans="1:89" ht="15.75" customHeight="1" x14ac:dyDescent="0.45">
      <c r="A191" s="22"/>
      <c r="B191" s="22"/>
      <c r="C191" s="12"/>
      <c r="D191" s="12"/>
      <c r="E191" s="155"/>
      <c r="F191" s="144"/>
      <c r="G191" s="12"/>
      <c r="H191" s="22"/>
      <c r="I191" s="22"/>
      <c r="J191" s="22"/>
      <c r="K191" s="145"/>
      <c r="L191" s="144"/>
      <c r="M191" s="144"/>
      <c r="N191" s="152"/>
      <c r="O191" s="22"/>
      <c r="P191" s="152"/>
      <c r="Q191" s="22"/>
      <c r="R191" s="74"/>
      <c r="S191" s="45"/>
      <c r="T191" s="158"/>
      <c r="U191" s="45"/>
      <c r="V191" s="45"/>
      <c r="W191" s="45"/>
      <c r="X191" s="45"/>
      <c r="Y191" s="45"/>
      <c r="Z191" s="45"/>
      <c r="AA191" s="45"/>
      <c r="AB191" s="45"/>
      <c r="AC191" s="144"/>
      <c r="AD191" s="144"/>
      <c r="AE191" s="45"/>
      <c r="AF191" s="45"/>
      <c r="AG191" s="144"/>
      <c r="AH191" s="144"/>
      <c r="AI191" s="144"/>
      <c r="AJ191" s="22"/>
      <c r="AK191" s="22"/>
      <c r="AL191" s="144"/>
      <c r="AM191" s="22"/>
      <c r="AN191" s="22"/>
      <c r="AO191" s="144"/>
      <c r="AP191" s="22"/>
      <c r="AQ191" s="22"/>
      <c r="AR191" s="144"/>
      <c r="AS191" s="22"/>
      <c r="AT191" s="22"/>
      <c r="AU191" s="144"/>
      <c r="AV191" s="22"/>
      <c r="AW191" s="22"/>
      <c r="AX191" s="144"/>
      <c r="AY191" s="144"/>
      <c r="AZ191" s="22"/>
      <c r="BA191" s="144"/>
      <c r="BB191" s="144"/>
      <c r="BC191" s="144"/>
      <c r="BD191" s="144"/>
      <c r="BE191" s="144"/>
      <c r="BF191" s="22"/>
      <c r="BG191" s="144"/>
      <c r="BH191" s="144"/>
      <c r="BI191" s="22"/>
      <c r="BJ191" s="144"/>
      <c r="BK191" s="22"/>
      <c r="BL191" s="144"/>
      <c r="BM191" s="144"/>
      <c r="BN191" s="22"/>
      <c r="BO191" s="144"/>
      <c r="BP191" s="144"/>
      <c r="BQ191" s="22"/>
      <c r="BR191" s="22"/>
      <c r="BS191" s="144"/>
      <c r="BT191" s="22"/>
      <c r="BU191" s="22"/>
      <c r="BV191" s="144"/>
      <c r="BW191" s="22"/>
      <c r="BX191" s="22"/>
      <c r="BY191" s="144"/>
      <c r="BZ191" s="22"/>
      <c r="CA191" s="22"/>
      <c r="CB191" s="144"/>
      <c r="CC191" s="22"/>
      <c r="CD191" s="22"/>
      <c r="CE191" s="144"/>
      <c r="CF191" s="22"/>
      <c r="CG191" s="22"/>
      <c r="CH191" s="144"/>
      <c r="CI191" s="22"/>
      <c r="CJ191" s="22"/>
      <c r="CK191" s="144"/>
    </row>
    <row r="192" spans="1:89" ht="15.75" customHeight="1" x14ac:dyDescent="0.45">
      <c r="A192" s="22"/>
      <c r="B192" s="22"/>
      <c r="C192" s="12"/>
      <c r="D192" s="12"/>
      <c r="E192" s="155"/>
      <c r="F192" s="144"/>
      <c r="G192" s="12"/>
      <c r="H192" s="22"/>
      <c r="I192" s="22"/>
      <c r="J192" s="22"/>
      <c r="K192" s="145"/>
      <c r="L192" s="144"/>
      <c r="M192" s="144"/>
      <c r="N192" s="152"/>
      <c r="O192" s="22"/>
      <c r="P192" s="152"/>
      <c r="Q192" s="22"/>
      <c r="R192" s="74"/>
      <c r="S192" s="45"/>
      <c r="T192" s="158"/>
      <c r="U192" s="45"/>
      <c r="V192" s="45"/>
      <c r="W192" s="45"/>
      <c r="X192" s="45"/>
      <c r="Y192" s="45"/>
      <c r="Z192" s="45"/>
      <c r="AA192" s="45"/>
      <c r="AB192" s="45"/>
      <c r="AC192" s="144"/>
      <c r="AD192" s="144"/>
      <c r="AE192" s="45"/>
      <c r="AF192" s="45"/>
      <c r="AG192" s="144"/>
      <c r="AH192" s="144"/>
      <c r="AI192" s="144"/>
      <c r="AJ192" s="22"/>
      <c r="AK192" s="22"/>
      <c r="AL192" s="144"/>
      <c r="AM192" s="22"/>
      <c r="AN192" s="22"/>
      <c r="AO192" s="144"/>
      <c r="AP192" s="22"/>
      <c r="AQ192" s="22"/>
      <c r="AR192" s="144"/>
      <c r="AS192" s="22"/>
      <c r="AT192" s="22"/>
      <c r="AU192" s="144"/>
      <c r="AV192" s="22"/>
      <c r="AW192" s="22"/>
      <c r="AX192" s="144"/>
      <c r="AY192" s="144"/>
      <c r="AZ192" s="22"/>
      <c r="BA192" s="144"/>
      <c r="BB192" s="144"/>
      <c r="BC192" s="144"/>
      <c r="BD192" s="144"/>
      <c r="BE192" s="144"/>
      <c r="BF192" s="22"/>
      <c r="BG192" s="144"/>
      <c r="BH192" s="144"/>
      <c r="BI192" s="22"/>
      <c r="BJ192" s="144"/>
      <c r="BK192" s="22"/>
      <c r="BL192" s="144"/>
      <c r="BM192" s="144"/>
      <c r="BN192" s="22"/>
      <c r="BO192" s="144"/>
      <c r="BP192" s="144"/>
      <c r="BQ192" s="22"/>
      <c r="BR192" s="22"/>
      <c r="BS192" s="144"/>
      <c r="BT192" s="22"/>
      <c r="BU192" s="22"/>
      <c r="BV192" s="144"/>
      <c r="BW192" s="22"/>
      <c r="BX192" s="22"/>
      <c r="BY192" s="144"/>
      <c r="BZ192" s="22"/>
      <c r="CA192" s="22"/>
      <c r="CB192" s="144"/>
      <c r="CC192" s="22"/>
      <c r="CD192" s="22"/>
      <c r="CE192" s="144"/>
      <c r="CF192" s="22"/>
      <c r="CG192" s="22"/>
      <c r="CH192" s="144"/>
      <c r="CI192" s="22"/>
      <c r="CJ192" s="22"/>
      <c r="CK192" s="144"/>
    </row>
    <row r="193" spans="1:89" ht="15.75" customHeight="1" x14ac:dyDescent="0.45">
      <c r="A193" s="22"/>
      <c r="B193" s="22"/>
      <c r="C193" s="12"/>
      <c r="D193" s="12"/>
      <c r="E193" s="155"/>
      <c r="F193" s="144"/>
      <c r="G193" s="12"/>
      <c r="H193" s="22"/>
      <c r="I193" s="22"/>
      <c r="J193" s="22"/>
      <c r="K193" s="145"/>
      <c r="L193" s="144"/>
      <c r="M193" s="144"/>
      <c r="N193" s="152"/>
      <c r="O193" s="22"/>
      <c r="P193" s="152"/>
      <c r="Q193" s="22"/>
      <c r="R193" s="74"/>
      <c r="S193" s="45"/>
      <c r="T193" s="158"/>
      <c r="U193" s="45"/>
      <c r="V193" s="45"/>
      <c r="W193" s="45"/>
      <c r="X193" s="45"/>
      <c r="Y193" s="45"/>
      <c r="Z193" s="45"/>
      <c r="AA193" s="45"/>
      <c r="AB193" s="45"/>
      <c r="AC193" s="144"/>
      <c r="AD193" s="144"/>
      <c r="AE193" s="45"/>
      <c r="AF193" s="45"/>
      <c r="AG193" s="144"/>
      <c r="AH193" s="144"/>
      <c r="AI193" s="144"/>
      <c r="AJ193" s="22"/>
      <c r="AK193" s="22"/>
      <c r="AL193" s="144"/>
      <c r="AM193" s="22"/>
      <c r="AN193" s="22"/>
      <c r="AO193" s="144"/>
      <c r="AP193" s="22"/>
      <c r="AQ193" s="22"/>
      <c r="AR193" s="144"/>
      <c r="AS193" s="22"/>
      <c r="AT193" s="22"/>
      <c r="AU193" s="144"/>
      <c r="AV193" s="22"/>
      <c r="AW193" s="22"/>
      <c r="AX193" s="144"/>
      <c r="AY193" s="144"/>
      <c r="AZ193" s="22"/>
      <c r="BA193" s="144"/>
      <c r="BB193" s="144"/>
      <c r="BC193" s="144"/>
      <c r="BD193" s="144"/>
      <c r="BE193" s="144"/>
      <c r="BF193" s="22"/>
      <c r="BG193" s="144"/>
      <c r="BH193" s="144"/>
      <c r="BI193" s="22"/>
      <c r="BJ193" s="144"/>
      <c r="BK193" s="22"/>
      <c r="BL193" s="144"/>
      <c r="BM193" s="144"/>
      <c r="BN193" s="22"/>
      <c r="BO193" s="144"/>
      <c r="BP193" s="144"/>
      <c r="BQ193" s="22"/>
      <c r="BR193" s="22"/>
      <c r="BS193" s="144"/>
      <c r="BT193" s="22"/>
      <c r="BU193" s="22"/>
      <c r="BV193" s="144"/>
      <c r="BW193" s="22"/>
      <c r="BX193" s="22"/>
      <c r="BY193" s="144"/>
      <c r="BZ193" s="22"/>
      <c r="CA193" s="22"/>
      <c r="CB193" s="144"/>
      <c r="CC193" s="22"/>
      <c r="CD193" s="22"/>
      <c r="CE193" s="144"/>
      <c r="CF193" s="22"/>
      <c r="CG193" s="22"/>
      <c r="CH193" s="144"/>
      <c r="CI193" s="22"/>
      <c r="CJ193" s="22"/>
      <c r="CK193" s="144"/>
    </row>
    <row r="194" spans="1:89" ht="15.75" customHeight="1" x14ac:dyDescent="0.45">
      <c r="A194" s="22"/>
      <c r="B194" s="22"/>
      <c r="C194" s="12"/>
      <c r="D194" s="12"/>
      <c r="E194" s="155"/>
      <c r="F194" s="144"/>
      <c r="G194" s="12"/>
      <c r="H194" s="22"/>
      <c r="I194" s="22"/>
      <c r="J194" s="22"/>
      <c r="K194" s="145"/>
      <c r="L194" s="144"/>
      <c r="M194" s="144"/>
      <c r="N194" s="152"/>
      <c r="O194" s="22"/>
      <c r="P194" s="152"/>
      <c r="Q194" s="22"/>
      <c r="R194" s="74"/>
      <c r="S194" s="45"/>
      <c r="T194" s="158"/>
      <c r="U194" s="45"/>
      <c r="V194" s="45"/>
      <c r="W194" s="45"/>
      <c r="X194" s="45"/>
      <c r="Y194" s="45"/>
      <c r="Z194" s="45"/>
      <c r="AA194" s="45"/>
      <c r="AB194" s="45"/>
      <c r="AC194" s="144"/>
      <c r="AD194" s="144"/>
      <c r="AE194" s="45"/>
      <c r="AF194" s="45"/>
      <c r="AG194" s="144"/>
      <c r="AH194" s="144"/>
      <c r="AI194" s="144"/>
      <c r="AJ194" s="22"/>
      <c r="AK194" s="22"/>
      <c r="AL194" s="144"/>
      <c r="AM194" s="22"/>
      <c r="AN194" s="22"/>
      <c r="AO194" s="144"/>
      <c r="AP194" s="22"/>
      <c r="AQ194" s="22"/>
      <c r="AR194" s="144"/>
      <c r="AS194" s="22"/>
      <c r="AT194" s="22"/>
      <c r="AU194" s="144"/>
      <c r="AV194" s="22"/>
      <c r="AW194" s="22"/>
      <c r="AX194" s="144"/>
      <c r="AY194" s="144"/>
      <c r="AZ194" s="22"/>
      <c r="BA194" s="144"/>
      <c r="BB194" s="144"/>
      <c r="BC194" s="144"/>
      <c r="BD194" s="144"/>
      <c r="BE194" s="144"/>
      <c r="BF194" s="22"/>
      <c r="BG194" s="144"/>
      <c r="BH194" s="144"/>
      <c r="BI194" s="22"/>
      <c r="BJ194" s="144"/>
      <c r="BK194" s="22"/>
      <c r="BL194" s="144"/>
      <c r="BM194" s="144"/>
      <c r="BN194" s="22"/>
      <c r="BO194" s="144"/>
      <c r="BP194" s="144"/>
      <c r="BQ194" s="22"/>
      <c r="BR194" s="22"/>
      <c r="BS194" s="144"/>
      <c r="BT194" s="22"/>
      <c r="BU194" s="22"/>
      <c r="BV194" s="144"/>
      <c r="BW194" s="22"/>
      <c r="BX194" s="22"/>
      <c r="BY194" s="144"/>
      <c r="BZ194" s="22"/>
      <c r="CA194" s="22"/>
      <c r="CB194" s="144"/>
      <c r="CC194" s="22"/>
      <c r="CD194" s="22"/>
      <c r="CE194" s="144"/>
      <c r="CF194" s="22"/>
      <c r="CG194" s="22"/>
      <c r="CH194" s="144"/>
      <c r="CI194" s="22"/>
      <c r="CJ194" s="22"/>
      <c r="CK194" s="144"/>
    </row>
    <row r="195" spans="1:89" ht="15.75" customHeight="1" x14ac:dyDescent="0.45">
      <c r="A195" s="22"/>
      <c r="B195" s="22"/>
      <c r="C195" s="12"/>
      <c r="D195" s="12"/>
      <c r="E195" s="155"/>
      <c r="F195" s="144"/>
      <c r="G195" s="12"/>
      <c r="H195" s="22"/>
      <c r="I195" s="22"/>
      <c r="J195" s="22"/>
      <c r="K195" s="145"/>
      <c r="L195" s="144"/>
      <c r="M195" s="144"/>
      <c r="N195" s="152"/>
      <c r="O195" s="22"/>
      <c r="P195" s="152"/>
      <c r="Q195" s="22"/>
      <c r="R195" s="74"/>
      <c r="S195" s="45"/>
      <c r="T195" s="158"/>
      <c r="U195" s="45"/>
      <c r="V195" s="45"/>
      <c r="W195" s="45"/>
      <c r="X195" s="45"/>
      <c r="Y195" s="45"/>
      <c r="Z195" s="45"/>
      <c r="AA195" s="45"/>
      <c r="AB195" s="45"/>
      <c r="AC195" s="144"/>
      <c r="AD195" s="144"/>
      <c r="AE195" s="45"/>
      <c r="AF195" s="45"/>
      <c r="AG195" s="144"/>
      <c r="AH195" s="144"/>
      <c r="AI195" s="144"/>
      <c r="AJ195" s="22"/>
      <c r="AK195" s="22"/>
      <c r="AL195" s="144"/>
      <c r="AM195" s="22"/>
      <c r="AN195" s="22"/>
      <c r="AO195" s="144"/>
      <c r="AP195" s="22"/>
      <c r="AQ195" s="22"/>
      <c r="AR195" s="144"/>
      <c r="AS195" s="22"/>
      <c r="AT195" s="22"/>
      <c r="AU195" s="144"/>
      <c r="AV195" s="22"/>
      <c r="AW195" s="22"/>
      <c r="AX195" s="144"/>
      <c r="AY195" s="144"/>
      <c r="AZ195" s="22"/>
      <c r="BA195" s="144"/>
      <c r="BB195" s="144"/>
      <c r="BC195" s="144"/>
      <c r="BD195" s="144"/>
      <c r="BE195" s="144"/>
      <c r="BF195" s="22"/>
      <c r="BG195" s="144"/>
      <c r="BH195" s="144"/>
      <c r="BI195" s="22"/>
      <c r="BJ195" s="144"/>
      <c r="BK195" s="22"/>
      <c r="BL195" s="144"/>
      <c r="BM195" s="144"/>
      <c r="BN195" s="22"/>
      <c r="BO195" s="144"/>
      <c r="BP195" s="144"/>
      <c r="BQ195" s="22"/>
      <c r="BR195" s="22"/>
      <c r="BS195" s="144"/>
      <c r="BT195" s="22"/>
      <c r="BU195" s="22"/>
      <c r="BV195" s="144"/>
      <c r="BW195" s="22"/>
      <c r="BX195" s="22"/>
      <c r="BY195" s="144"/>
      <c r="BZ195" s="22"/>
      <c r="CA195" s="22"/>
      <c r="CB195" s="144"/>
      <c r="CC195" s="22"/>
      <c r="CD195" s="22"/>
      <c r="CE195" s="144"/>
      <c r="CF195" s="22"/>
      <c r="CG195" s="22"/>
      <c r="CH195" s="144"/>
      <c r="CI195" s="22"/>
      <c r="CJ195" s="22"/>
      <c r="CK195" s="144"/>
    </row>
    <row r="196" spans="1:89" ht="15.75" customHeight="1" x14ac:dyDescent="0.45">
      <c r="A196" s="22"/>
      <c r="B196" s="22"/>
      <c r="C196" s="12"/>
      <c r="D196" s="12"/>
      <c r="E196" s="155"/>
      <c r="F196" s="144"/>
      <c r="G196" s="12"/>
      <c r="H196" s="22"/>
      <c r="I196" s="22"/>
      <c r="J196" s="22"/>
      <c r="K196" s="145"/>
      <c r="L196" s="144"/>
      <c r="M196" s="144"/>
      <c r="N196" s="152"/>
      <c r="O196" s="22"/>
      <c r="P196" s="152"/>
      <c r="Q196" s="22"/>
      <c r="R196" s="74"/>
      <c r="S196" s="45"/>
      <c r="T196" s="158"/>
      <c r="U196" s="45"/>
      <c r="V196" s="45"/>
      <c r="W196" s="45"/>
      <c r="X196" s="45"/>
      <c r="Y196" s="45"/>
      <c r="Z196" s="45"/>
      <c r="AA196" s="45"/>
      <c r="AB196" s="45"/>
      <c r="AC196" s="144"/>
      <c r="AD196" s="144"/>
      <c r="AE196" s="45"/>
      <c r="AF196" s="45"/>
      <c r="AG196" s="144"/>
      <c r="AH196" s="144"/>
      <c r="AI196" s="144"/>
      <c r="AJ196" s="22"/>
      <c r="AK196" s="22"/>
      <c r="AL196" s="144"/>
      <c r="AM196" s="22"/>
      <c r="AN196" s="22"/>
      <c r="AO196" s="144"/>
      <c r="AP196" s="22"/>
      <c r="AQ196" s="22"/>
      <c r="AR196" s="144"/>
      <c r="AS196" s="22"/>
      <c r="AT196" s="22"/>
      <c r="AU196" s="144"/>
      <c r="AV196" s="22"/>
      <c r="AW196" s="22"/>
      <c r="AX196" s="144"/>
      <c r="AY196" s="144"/>
      <c r="AZ196" s="22"/>
      <c r="BA196" s="144"/>
      <c r="BB196" s="144"/>
      <c r="BC196" s="144"/>
      <c r="BD196" s="144"/>
      <c r="BE196" s="144"/>
      <c r="BF196" s="22"/>
      <c r="BG196" s="144"/>
      <c r="BH196" s="144"/>
      <c r="BI196" s="22"/>
      <c r="BJ196" s="144"/>
      <c r="BK196" s="22"/>
      <c r="BL196" s="144"/>
      <c r="BM196" s="144"/>
      <c r="BN196" s="22"/>
      <c r="BO196" s="144"/>
      <c r="BP196" s="144"/>
      <c r="BQ196" s="22"/>
      <c r="BR196" s="22"/>
      <c r="BS196" s="144"/>
      <c r="BT196" s="22"/>
      <c r="BU196" s="22"/>
      <c r="BV196" s="144"/>
      <c r="BW196" s="22"/>
      <c r="BX196" s="22"/>
      <c r="BY196" s="144"/>
      <c r="BZ196" s="22"/>
      <c r="CA196" s="22"/>
      <c r="CB196" s="144"/>
      <c r="CC196" s="22"/>
      <c r="CD196" s="22"/>
      <c r="CE196" s="144"/>
      <c r="CF196" s="22"/>
      <c r="CG196" s="22"/>
      <c r="CH196" s="144"/>
      <c r="CI196" s="22"/>
      <c r="CJ196" s="22"/>
      <c r="CK196" s="144"/>
    </row>
    <row r="197" spans="1:89" ht="15.75" customHeight="1" x14ac:dyDescent="0.45">
      <c r="A197" s="22"/>
      <c r="B197" s="22"/>
      <c r="C197" s="12"/>
      <c r="D197" s="12"/>
      <c r="E197" s="155"/>
      <c r="F197" s="144"/>
      <c r="G197" s="12"/>
      <c r="H197" s="22"/>
      <c r="I197" s="22"/>
      <c r="J197" s="22"/>
      <c r="K197" s="145"/>
      <c r="L197" s="144"/>
      <c r="M197" s="144"/>
      <c r="N197" s="152"/>
      <c r="O197" s="22"/>
      <c r="P197" s="152"/>
      <c r="Q197" s="22"/>
      <c r="R197" s="74"/>
      <c r="S197" s="45"/>
      <c r="T197" s="158"/>
      <c r="U197" s="45"/>
      <c r="V197" s="45"/>
      <c r="W197" s="45"/>
      <c r="X197" s="45"/>
      <c r="Y197" s="45"/>
      <c r="Z197" s="45"/>
      <c r="AA197" s="45"/>
      <c r="AB197" s="45"/>
      <c r="AC197" s="144"/>
      <c r="AD197" s="144"/>
      <c r="AE197" s="45"/>
      <c r="AF197" s="45"/>
      <c r="AG197" s="144"/>
      <c r="AH197" s="144"/>
      <c r="AI197" s="144"/>
      <c r="AJ197" s="22"/>
      <c r="AK197" s="22"/>
      <c r="AL197" s="144"/>
      <c r="AM197" s="22"/>
      <c r="AN197" s="22"/>
      <c r="AO197" s="144"/>
      <c r="AP197" s="22"/>
      <c r="AQ197" s="22"/>
      <c r="AR197" s="144"/>
      <c r="AS197" s="22"/>
      <c r="AT197" s="22"/>
      <c r="AU197" s="144"/>
      <c r="AV197" s="22"/>
      <c r="AW197" s="22"/>
      <c r="AX197" s="144"/>
      <c r="AY197" s="144"/>
      <c r="AZ197" s="22"/>
      <c r="BA197" s="144"/>
      <c r="BB197" s="144"/>
      <c r="BC197" s="144"/>
      <c r="BD197" s="144"/>
      <c r="BE197" s="144"/>
      <c r="BF197" s="22"/>
      <c r="BG197" s="144"/>
      <c r="BH197" s="144"/>
      <c r="BI197" s="22"/>
      <c r="BJ197" s="144"/>
      <c r="BK197" s="22"/>
      <c r="BL197" s="144"/>
      <c r="BM197" s="144"/>
      <c r="BN197" s="22"/>
      <c r="BO197" s="144"/>
      <c r="BP197" s="144"/>
      <c r="BQ197" s="22"/>
      <c r="BR197" s="22"/>
      <c r="BS197" s="144"/>
      <c r="BT197" s="22"/>
      <c r="BU197" s="22"/>
      <c r="BV197" s="144"/>
      <c r="BW197" s="22"/>
      <c r="BX197" s="22"/>
      <c r="BY197" s="144"/>
      <c r="BZ197" s="22"/>
      <c r="CA197" s="22"/>
      <c r="CB197" s="144"/>
      <c r="CC197" s="22"/>
      <c r="CD197" s="22"/>
      <c r="CE197" s="144"/>
      <c r="CF197" s="22"/>
      <c r="CG197" s="22"/>
      <c r="CH197" s="144"/>
      <c r="CI197" s="22"/>
      <c r="CJ197" s="22"/>
      <c r="CK197" s="144"/>
    </row>
    <row r="198" spans="1:89" ht="15.75" customHeight="1" x14ac:dyDescent="0.45">
      <c r="A198" s="22"/>
      <c r="B198" s="22"/>
      <c r="C198" s="12"/>
      <c r="D198" s="12"/>
      <c r="E198" s="155"/>
      <c r="F198" s="144"/>
      <c r="G198" s="12"/>
      <c r="H198" s="22"/>
      <c r="I198" s="22"/>
      <c r="J198" s="22"/>
      <c r="K198" s="145"/>
      <c r="L198" s="144"/>
      <c r="M198" s="144"/>
      <c r="N198" s="152"/>
      <c r="O198" s="22"/>
      <c r="P198" s="152"/>
      <c r="Q198" s="22"/>
      <c r="R198" s="74"/>
      <c r="S198" s="45"/>
      <c r="T198" s="158"/>
      <c r="U198" s="45"/>
      <c r="V198" s="45"/>
      <c r="W198" s="45"/>
      <c r="X198" s="45"/>
      <c r="Y198" s="45"/>
      <c r="Z198" s="45"/>
      <c r="AA198" s="45"/>
      <c r="AB198" s="45"/>
      <c r="AC198" s="144"/>
      <c r="AD198" s="144"/>
      <c r="AE198" s="45"/>
      <c r="AF198" s="45"/>
      <c r="AG198" s="144"/>
      <c r="AH198" s="144"/>
      <c r="AI198" s="144"/>
      <c r="AJ198" s="22"/>
      <c r="AK198" s="22"/>
      <c r="AL198" s="144"/>
      <c r="AM198" s="22"/>
      <c r="AN198" s="22"/>
      <c r="AO198" s="144"/>
      <c r="AP198" s="22"/>
      <c r="AQ198" s="22"/>
      <c r="AR198" s="144"/>
      <c r="AS198" s="22"/>
      <c r="AT198" s="22"/>
      <c r="AU198" s="144"/>
      <c r="AV198" s="22"/>
      <c r="AW198" s="22"/>
      <c r="AX198" s="144"/>
      <c r="AY198" s="144"/>
      <c r="AZ198" s="22"/>
      <c r="BA198" s="144"/>
      <c r="BB198" s="144"/>
      <c r="BC198" s="144"/>
      <c r="BD198" s="144"/>
      <c r="BE198" s="144"/>
      <c r="BF198" s="22"/>
      <c r="BG198" s="144"/>
      <c r="BH198" s="144"/>
      <c r="BI198" s="22"/>
      <c r="BJ198" s="144"/>
      <c r="BK198" s="22"/>
      <c r="BL198" s="144"/>
      <c r="BM198" s="144"/>
      <c r="BN198" s="22"/>
      <c r="BO198" s="144"/>
      <c r="BP198" s="144"/>
      <c r="BQ198" s="22"/>
      <c r="BR198" s="22"/>
      <c r="BS198" s="144"/>
      <c r="BT198" s="22"/>
      <c r="BU198" s="22"/>
      <c r="BV198" s="144"/>
      <c r="BW198" s="22"/>
      <c r="BX198" s="22"/>
      <c r="BY198" s="144"/>
      <c r="BZ198" s="22"/>
      <c r="CA198" s="22"/>
      <c r="CB198" s="144"/>
      <c r="CC198" s="22"/>
      <c r="CD198" s="22"/>
      <c r="CE198" s="144"/>
      <c r="CF198" s="22"/>
      <c r="CG198" s="22"/>
      <c r="CH198" s="144"/>
      <c r="CI198" s="22"/>
      <c r="CJ198" s="22"/>
      <c r="CK198" s="144"/>
    </row>
    <row r="199" spans="1:89" ht="15.75" customHeight="1" x14ac:dyDescent="0.45">
      <c r="A199" s="22"/>
      <c r="B199" s="22"/>
      <c r="C199" s="12"/>
      <c r="D199" s="12"/>
      <c r="E199" s="155"/>
      <c r="F199" s="144"/>
      <c r="G199" s="12"/>
      <c r="H199" s="22"/>
      <c r="I199" s="22"/>
      <c r="J199" s="22"/>
      <c r="K199" s="145"/>
      <c r="L199" s="144"/>
      <c r="M199" s="144"/>
      <c r="N199" s="152"/>
      <c r="O199" s="22"/>
      <c r="P199" s="152"/>
      <c r="Q199" s="22"/>
      <c r="R199" s="74"/>
      <c r="S199" s="45"/>
      <c r="T199" s="158"/>
      <c r="U199" s="45"/>
      <c r="V199" s="45"/>
      <c r="W199" s="45"/>
      <c r="X199" s="45"/>
      <c r="Y199" s="45"/>
      <c r="Z199" s="45"/>
      <c r="AA199" s="45"/>
      <c r="AB199" s="45"/>
      <c r="AC199" s="144"/>
      <c r="AD199" s="144"/>
      <c r="AE199" s="45"/>
      <c r="AF199" s="45"/>
      <c r="AG199" s="144"/>
      <c r="AH199" s="144"/>
      <c r="AI199" s="144"/>
      <c r="AJ199" s="22"/>
      <c r="AK199" s="22"/>
      <c r="AL199" s="144"/>
      <c r="AM199" s="22"/>
      <c r="AN199" s="22"/>
      <c r="AO199" s="144"/>
      <c r="AP199" s="22"/>
      <c r="AQ199" s="22"/>
      <c r="AR199" s="144"/>
      <c r="AS199" s="22"/>
      <c r="AT199" s="22"/>
      <c r="AU199" s="144"/>
      <c r="AV199" s="22"/>
      <c r="AW199" s="22"/>
      <c r="AX199" s="144"/>
      <c r="AY199" s="144"/>
      <c r="AZ199" s="22"/>
      <c r="BA199" s="144"/>
      <c r="BB199" s="144"/>
      <c r="BC199" s="144"/>
      <c r="BD199" s="144"/>
      <c r="BE199" s="144"/>
      <c r="BF199" s="22"/>
      <c r="BG199" s="144"/>
      <c r="BH199" s="144"/>
      <c r="BI199" s="22"/>
      <c r="BJ199" s="144"/>
      <c r="BK199" s="22"/>
      <c r="BL199" s="144"/>
      <c r="BM199" s="144"/>
      <c r="BN199" s="22"/>
      <c r="BO199" s="144"/>
      <c r="BP199" s="144"/>
      <c r="BQ199" s="22"/>
      <c r="BR199" s="22"/>
      <c r="BS199" s="144"/>
      <c r="BT199" s="22"/>
      <c r="BU199" s="22"/>
      <c r="BV199" s="144"/>
      <c r="BW199" s="22"/>
      <c r="BX199" s="22"/>
      <c r="BY199" s="144"/>
      <c r="BZ199" s="22"/>
      <c r="CA199" s="22"/>
      <c r="CB199" s="144"/>
      <c r="CC199" s="22"/>
      <c r="CD199" s="22"/>
      <c r="CE199" s="144"/>
      <c r="CF199" s="22"/>
      <c r="CG199" s="22"/>
      <c r="CH199" s="144"/>
      <c r="CI199" s="22"/>
      <c r="CJ199" s="22"/>
      <c r="CK199" s="144"/>
    </row>
    <row r="200" spans="1:89" ht="15.75" customHeight="1" x14ac:dyDescent="0.45">
      <c r="A200" s="22"/>
      <c r="B200" s="22"/>
      <c r="C200" s="12"/>
      <c r="D200" s="12"/>
      <c r="E200" s="155"/>
      <c r="F200" s="144"/>
      <c r="G200" s="12"/>
      <c r="H200" s="22"/>
      <c r="I200" s="22"/>
      <c r="J200" s="22"/>
      <c r="K200" s="145"/>
      <c r="L200" s="144"/>
      <c r="M200" s="144"/>
      <c r="N200" s="152"/>
      <c r="O200" s="22"/>
      <c r="P200" s="152"/>
      <c r="Q200" s="22"/>
      <c r="R200" s="74"/>
      <c r="S200" s="45"/>
      <c r="T200" s="158"/>
      <c r="U200" s="45"/>
      <c r="V200" s="45"/>
      <c r="W200" s="45"/>
      <c r="X200" s="45"/>
      <c r="Y200" s="45"/>
      <c r="Z200" s="45"/>
      <c r="AA200" s="45"/>
      <c r="AB200" s="45"/>
      <c r="AC200" s="144"/>
      <c r="AD200" s="144"/>
      <c r="AE200" s="45"/>
      <c r="AF200" s="45"/>
      <c r="AG200" s="144"/>
      <c r="AH200" s="144"/>
      <c r="AI200" s="144"/>
      <c r="AJ200" s="22"/>
      <c r="AK200" s="22"/>
      <c r="AL200" s="144"/>
      <c r="AM200" s="22"/>
      <c r="AN200" s="22"/>
      <c r="AO200" s="144"/>
      <c r="AP200" s="22"/>
      <c r="AQ200" s="22"/>
      <c r="AR200" s="144"/>
      <c r="AS200" s="22"/>
      <c r="AT200" s="22"/>
      <c r="AU200" s="144"/>
      <c r="AV200" s="22"/>
      <c r="AW200" s="22"/>
      <c r="AX200" s="144"/>
      <c r="AY200" s="144"/>
      <c r="AZ200" s="22"/>
      <c r="BA200" s="144"/>
      <c r="BB200" s="144"/>
      <c r="BC200" s="144"/>
      <c r="BD200" s="144"/>
      <c r="BE200" s="144"/>
      <c r="BF200" s="22"/>
      <c r="BG200" s="144"/>
      <c r="BH200" s="144"/>
      <c r="BI200" s="22"/>
      <c r="BJ200" s="144"/>
      <c r="BK200" s="22"/>
      <c r="BL200" s="144"/>
      <c r="BM200" s="144"/>
      <c r="BN200" s="22"/>
      <c r="BO200" s="144"/>
      <c r="BP200" s="144"/>
      <c r="BQ200" s="22"/>
      <c r="BR200" s="22"/>
      <c r="BS200" s="144"/>
      <c r="BT200" s="22"/>
      <c r="BU200" s="22"/>
      <c r="BV200" s="144"/>
      <c r="BW200" s="22"/>
      <c r="BX200" s="22"/>
      <c r="BY200" s="144"/>
      <c r="BZ200" s="22"/>
      <c r="CA200" s="22"/>
      <c r="CB200" s="144"/>
      <c r="CC200" s="22"/>
      <c r="CD200" s="22"/>
      <c r="CE200" s="144"/>
      <c r="CF200" s="22"/>
      <c r="CG200" s="22"/>
      <c r="CH200" s="144"/>
      <c r="CI200" s="22"/>
      <c r="CJ200" s="22"/>
      <c r="CK200" s="144"/>
    </row>
    <row r="201" spans="1:89" ht="15.75" customHeight="1" x14ac:dyDescent="0.45">
      <c r="A201" s="22"/>
      <c r="B201" s="22"/>
      <c r="C201" s="12"/>
      <c r="D201" s="12"/>
      <c r="E201" s="155"/>
      <c r="F201" s="144"/>
      <c r="G201" s="12"/>
      <c r="H201" s="22"/>
      <c r="I201" s="22"/>
      <c r="J201" s="22"/>
      <c r="K201" s="145"/>
      <c r="L201" s="144"/>
      <c r="M201" s="144"/>
      <c r="N201" s="152"/>
      <c r="O201" s="22"/>
      <c r="P201" s="152"/>
      <c r="Q201" s="22"/>
      <c r="R201" s="74"/>
      <c r="S201" s="45"/>
      <c r="T201" s="158"/>
      <c r="U201" s="45"/>
      <c r="V201" s="45"/>
      <c r="W201" s="45"/>
      <c r="X201" s="45"/>
      <c r="Y201" s="45"/>
      <c r="Z201" s="45"/>
      <c r="AA201" s="45"/>
      <c r="AB201" s="45"/>
      <c r="AC201" s="144"/>
      <c r="AD201" s="144"/>
      <c r="AE201" s="45"/>
      <c r="AF201" s="45"/>
      <c r="AG201" s="144"/>
      <c r="AH201" s="144"/>
      <c r="AI201" s="144"/>
      <c r="AJ201" s="22"/>
      <c r="AK201" s="22"/>
      <c r="AL201" s="144"/>
      <c r="AM201" s="22"/>
      <c r="AN201" s="22"/>
      <c r="AO201" s="144"/>
      <c r="AP201" s="22"/>
      <c r="AQ201" s="22"/>
      <c r="AR201" s="144"/>
      <c r="AS201" s="22"/>
      <c r="AT201" s="22"/>
      <c r="AU201" s="144"/>
      <c r="AV201" s="22"/>
      <c r="AW201" s="22"/>
      <c r="AX201" s="144"/>
      <c r="AY201" s="144"/>
      <c r="AZ201" s="22"/>
      <c r="BA201" s="144"/>
      <c r="BB201" s="144"/>
      <c r="BC201" s="144"/>
      <c r="BD201" s="144"/>
      <c r="BE201" s="144"/>
      <c r="BF201" s="22"/>
      <c r="BG201" s="144"/>
      <c r="BH201" s="144"/>
      <c r="BI201" s="22"/>
      <c r="BJ201" s="144"/>
      <c r="BK201" s="22"/>
      <c r="BL201" s="144"/>
      <c r="BM201" s="144"/>
      <c r="BN201" s="22"/>
      <c r="BO201" s="144"/>
      <c r="BP201" s="144"/>
      <c r="BQ201" s="22"/>
      <c r="BR201" s="22"/>
      <c r="BS201" s="144"/>
      <c r="BT201" s="22"/>
      <c r="BU201" s="22"/>
      <c r="BV201" s="144"/>
      <c r="BW201" s="22"/>
      <c r="BX201" s="22"/>
      <c r="BY201" s="144"/>
      <c r="BZ201" s="22"/>
      <c r="CA201" s="22"/>
      <c r="CB201" s="144"/>
      <c r="CC201" s="22"/>
      <c r="CD201" s="22"/>
      <c r="CE201" s="144"/>
      <c r="CF201" s="22"/>
      <c r="CG201" s="22"/>
      <c r="CH201" s="144"/>
      <c r="CI201" s="22"/>
      <c r="CJ201" s="22"/>
      <c r="CK201" s="144"/>
    </row>
    <row r="202" spans="1:89" ht="15.75" customHeight="1" x14ac:dyDescent="0.45">
      <c r="A202" s="22"/>
      <c r="B202" s="22"/>
      <c r="C202" s="12"/>
      <c r="D202" s="12"/>
      <c r="E202" s="155"/>
      <c r="F202" s="144"/>
      <c r="G202" s="12"/>
      <c r="H202" s="22"/>
      <c r="I202" s="22"/>
      <c r="J202" s="22"/>
      <c r="K202" s="145"/>
      <c r="L202" s="144"/>
      <c r="M202" s="144"/>
      <c r="N202" s="152"/>
      <c r="O202" s="22"/>
      <c r="P202" s="152"/>
      <c r="Q202" s="22"/>
      <c r="R202" s="74"/>
      <c r="S202" s="45"/>
      <c r="T202" s="158"/>
      <c r="U202" s="45"/>
      <c r="V202" s="45"/>
      <c r="W202" s="45"/>
      <c r="X202" s="45"/>
      <c r="Y202" s="45"/>
      <c r="Z202" s="45"/>
      <c r="AA202" s="45"/>
      <c r="AB202" s="45"/>
      <c r="AC202" s="144"/>
      <c r="AD202" s="144"/>
      <c r="AE202" s="45"/>
      <c r="AF202" s="45"/>
      <c r="AG202" s="144"/>
      <c r="AH202" s="144"/>
      <c r="AI202" s="144"/>
      <c r="AJ202" s="22"/>
      <c r="AK202" s="22"/>
      <c r="AL202" s="144"/>
      <c r="AM202" s="22"/>
      <c r="AN202" s="22"/>
      <c r="AO202" s="144"/>
      <c r="AP202" s="22"/>
      <c r="AQ202" s="22"/>
      <c r="AR202" s="144"/>
      <c r="AS202" s="22"/>
      <c r="AT202" s="22"/>
      <c r="AU202" s="144"/>
      <c r="AV202" s="22"/>
      <c r="AW202" s="22"/>
      <c r="AX202" s="144"/>
      <c r="AY202" s="144"/>
      <c r="AZ202" s="22"/>
      <c r="BA202" s="144"/>
      <c r="BB202" s="144"/>
      <c r="BC202" s="144"/>
      <c r="BD202" s="144"/>
      <c r="BE202" s="144"/>
      <c r="BF202" s="22"/>
      <c r="BG202" s="144"/>
      <c r="BH202" s="144"/>
      <c r="BI202" s="22"/>
      <c r="BJ202" s="144"/>
      <c r="BK202" s="22"/>
      <c r="BL202" s="144"/>
      <c r="BM202" s="144"/>
      <c r="BN202" s="22"/>
      <c r="BO202" s="144"/>
      <c r="BP202" s="144"/>
      <c r="BQ202" s="22"/>
      <c r="BR202" s="22"/>
      <c r="BS202" s="144"/>
      <c r="BT202" s="22"/>
      <c r="BU202" s="22"/>
      <c r="BV202" s="144"/>
      <c r="BW202" s="22"/>
      <c r="BX202" s="22"/>
      <c r="BY202" s="144"/>
      <c r="BZ202" s="22"/>
      <c r="CA202" s="22"/>
      <c r="CB202" s="144"/>
      <c r="CC202" s="22"/>
      <c r="CD202" s="22"/>
      <c r="CE202" s="144"/>
      <c r="CF202" s="22"/>
      <c r="CG202" s="22"/>
      <c r="CH202" s="144"/>
      <c r="CI202" s="22"/>
      <c r="CJ202" s="22"/>
      <c r="CK202" s="144"/>
    </row>
    <row r="203" spans="1:89" ht="15.75" customHeight="1" x14ac:dyDescent="0.45">
      <c r="A203" s="22"/>
      <c r="B203" s="22"/>
      <c r="C203" s="12"/>
      <c r="D203" s="12"/>
      <c r="E203" s="155"/>
      <c r="F203" s="144"/>
      <c r="G203" s="12"/>
      <c r="H203" s="22"/>
      <c r="I203" s="22"/>
      <c r="J203" s="22"/>
      <c r="K203" s="145"/>
      <c r="L203" s="144"/>
      <c r="M203" s="144"/>
      <c r="N203" s="152"/>
      <c r="O203" s="22"/>
      <c r="P203" s="152"/>
      <c r="Q203" s="22"/>
      <c r="R203" s="74"/>
      <c r="S203" s="45"/>
      <c r="T203" s="158"/>
      <c r="U203" s="45"/>
      <c r="V203" s="45"/>
      <c r="W203" s="45"/>
      <c r="X203" s="45"/>
      <c r="Y203" s="45"/>
      <c r="Z203" s="45"/>
      <c r="AA203" s="45"/>
      <c r="AB203" s="45"/>
      <c r="AC203" s="144"/>
      <c r="AD203" s="144"/>
      <c r="AE203" s="45"/>
      <c r="AF203" s="45"/>
      <c r="AG203" s="144"/>
      <c r="AH203" s="144"/>
      <c r="AI203" s="144"/>
      <c r="AJ203" s="22"/>
      <c r="AK203" s="22"/>
      <c r="AL203" s="144"/>
      <c r="AM203" s="22"/>
      <c r="AN203" s="22"/>
      <c r="AO203" s="144"/>
      <c r="AP203" s="22"/>
      <c r="AQ203" s="22"/>
      <c r="AR203" s="144"/>
      <c r="AS203" s="22"/>
      <c r="AT203" s="22"/>
      <c r="AU203" s="144"/>
      <c r="AV203" s="22"/>
      <c r="AW203" s="22"/>
      <c r="AX203" s="144"/>
      <c r="AY203" s="144"/>
      <c r="AZ203" s="22"/>
      <c r="BA203" s="144"/>
      <c r="BB203" s="144"/>
      <c r="BC203" s="144"/>
      <c r="BD203" s="144"/>
      <c r="BE203" s="144"/>
      <c r="BF203" s="22"/>
      <c r="BG203" s="144"/>
      <c r="BH203" s="144"/>
      <c r="BI203" s="22"/>
      <c r="BJ203" s="144"/>
      <c r="BK203" s="22"/>
      <c r="BL203" s="144"/>
      <c r="BM203" s="144"/>
      <c r="BN203" s="22"/>
      <c r="BO203" s="144"/>
      <c r="BP203" s="144"/>
      <c r="BQ203" s="22"/>
      <c r="BR203" s="22"/>
      <c r="BS203" s="144"/>
      <c r="BT203" s="22"/>
      <c r="BU203" s="22"/>
      <c r="BV203" s="144"/>
      <c r="BW203" s="22"/>
      <c r="BX203" s="22"/>
      <c r="BY203" s="144"/>
      <c r="BZ203" s="22"/>
      <c r="CA203" s="22"/>
      <c r="CB203" s="144"/>
      <c r="CC203" s="22"/>
      <c r="CD203" s="22"/>
      <c r="CE203" s="144"/>
      <c r="CF203" s="22"/>
      <c r="CG203" s="22"/>
      <c r="CH203" s="144"/>
      <c r="CI203" s="22"/>
      <c r="CJ203" s="22"/>
      <c r="CK203" s="144"/>
    </row>
    <row r="204" spans="1:89" ht="15.75" customHeight="1" x14ac:dyDescent="0.45">
      <c r="A204" s="22"/>
      <c r="B204" s="22"/>
      <c r="C204" s="12"/>
      <c r="D204" s="12"/>
      <c r="E204" s="155"/>
      <c r="F204" s="144"/>
      <c r="G204" s="12"/>
      <c r="H204" s="22"/>
      <c r="I204" s="22"/>
      <c r="J204" s="22"/>
      <c r="K204" s="145"/>
      <c r="L204" s="144"/>
      <c r="M204" s="144"/>
      <c r="N204" s="152"/>
      <c r="O204" s="22"/>
      <c r="P204" s="152"/>
      <c r="Q204" s="22"/>
      <c r="R204" s="74"/>
      <c r="S204" s="45"/>
      <c r="T204" s="158"/>
      <c r="U204" s="45"/>
      <c r="V204" s="45"/>
      <c r="W204" s="45"/>
      <c r="X204" s="45"/>
      <c r="Y204" s="45"/>
      <c r="Z204" s="45"/>
      <c r="AA204" s="45"/>
      <c r="AB204" s="45"/>
      <c r="AC204" s="144"/>
      <c r="AD204" s="144"/>
      <c r="AE204" s="45"/>
      <c r="AF204" s="45"/>
      <c r="AG204" s="144"/>
      <c r="AH204" s="144"/>
      <c r="AI204" s="144"/>
      <c r="AJ204" s="22"/>
      <c r="AK204" s="22"/>
      <c r="AL204" s="144"/>
      <c r="AM204" s="22"/>
      <c r="AN204" s="22"/>
      <c r="AO204" s="144"/>
      <c r="AP204" s="22"/>
      <c r="AQ204" s="22"/>
      <c r="AR204" s="144"/>
      <c r="AS204" s="22"/>
      <c r="AT204" s="22"/>
      <c r="AU204" s="144"/>
      <c r="AV204" s="22"/>
      <c r="AW204" s="22"/>
      <c r="AX204" s="144"/>
      <c r="AY204" s="144"/>
      <c r="AZ204" s="22"/>
      <c r="BA204" s="144"/>
      <c r="BB204" s="144"/>
      <c r="BC204" s="144"/>
      <c r="BD204" s="144"/>
      <c r="BE204" s="144"/>
      <c r="BF204" s="22"/>
      <c r="BG204" s="144"/>
      <c r="BH204" s="144"/>
      <c r="BI204" s="22"/>
      <c r="BJ204" s="144"/>
      <c r="BK204" s="22"/>
      <c r="BL204" s="144"/>
      <c r="BM204" s="144"/>
      <c r="BN204" s="22"/>
      <c r="BO204" s="144"/>
      <c r="BP204" s="144"/>
      <c r="BQ204" s="22"/>
      <c r="BR204" s="22"/>
      <c r="BS204" s="144"/>
      <c r="BT204" s="22"/>
      <c r="BU204" s="22"/>
      <c r="BV204" s="144"/>
      <c r="BW204" s="22"/>
      <c r="BX204" s="22"/>
      <c r="BY204" s="144"/>
      <c r="BZ204" s="22"/>
      <c r="CA204" s="22"/>
      <c r="CB204" s="144"/>
      <c r="CC204" s="22"/>
      <c r="CD204" s="22"/>
      <c r="CE204" s="144"/>
      <c r="CF204" s="22"/>
      <c r="CG204" s="22"/>
      <c r="CH204" s="144"/>
      <c r="CI204" s="22"/>
      <c r="CJ204" s="22"/>
      <c r="CK204" s="144"/>
    </row>
    <row r="205" spans="1:89" ht="15.75" customHeight="1" x14ac:dyDescent="0.45">
      <c r="A205" s="22"/>
      <c r="B205" s="22"/>
      <c r="C205" s="12"/>
      <c r="D205" s="12"/>
      <c r="E205" s="155"/>
      <c r="F205" s="144"/>
      <c r="G205" s="12"/>
      <c r="H205" s="22"/>
      <c r="I205" s="22"/>
      <c r="J205" s="22"/>
      <c r="K205" s="145"/>
      <c r="L205" s="144"/>
      <c r="M205" s="144"/>
      <c r="N205" s="152"/>
      <c r="O205" s="22"/>
      <c r="P205" s="152"/>
      <c r="Q205" s="22"/>
      <c r="R205" s="74"/>
      <c r="S205" s="45"/>
      <c r="T205" s="158"/>
      <c r="U205" s="45"/>
      <c r="V205" s="45"/>
      <c r="W205" s="45"/>
      <c r="X205" s="45"/>
      <c r="Y205" s="45"/>
      <c r="Z205" s="45"/>
      <c r="AA205" s="45"/>
      <c r="AB205" s="45"/>
      <c r="AC205" s="144"/>
      <c r="AD205" s="144"/>
      <c r="AE205" s="45"/>
      <c r="AF205" s="45"/>
      <c r="AG205" s="144"/>
      <c r="AH205" s="144"/>
      <c r="AI205" s="144"/>
      <c r="AJ205" s="22"/>
      <c r="AK205" s="22"/>
      <c r="AL205" s="144"/>
      <c r="AM205" s="22"/>
      <c r="AN205" s="22"/>
      <c r="AO205" s="144"/>
      <c r="AP205" s="22"/>
      <c r="AQ205" s="22"/>
      <c r="AR205" s="144"/>
      <c r="AS205" s="22"/>
      <c r="AT205" s="22"/>
      <c r="AU205" s="144"/>
      <c r="AV205" s="22"/>
      <c r="AW205" s="22"/>
      <c r="AX205" s="144"/>
      <c r="AY205" s="144"/>
      <c r="AZ205" s="22"/>
      <c r="BA205" s="144"/>
      <c r="BB205" s="144"/>
      <c r="BC205" s="144"/>
      <c r="BD205" s="144"/>
      <c r="BE205" s="144"/>
      <c r="BF205" s="22"/>
      <c r="BG205" s="144"/>
      <c r="BH205" s="144"/>
      <c r="BI205" s="22"/>
      <c r="BJ205" s="144"/>
      <c r="BK205" s="22"/>
      <c r="BL205" s="144"/>
      <c r="BM205" s="144"/>
      <c r="BN205" s="22"/>
      <c r="BO205" s="144"/>
      <c r="BP205" s="144"/>
      <c r="BQ205" s="22"/>
      <c r="BR205" s="22"/>
      <c r="BS205" s="144"/>
      <c r="BT205" s="22"/>
      <c r="BU205" s="22"/>
      <c r="BV205" s="144"/>
      <c r="BW205" s="22"/>
      <c r="BX205" s="22"/>
      <c r="BY205" s="144"/>
      <c r="BZ205" s="22"/>
      <c r="CA205" s="22"/>
      <c r="CB205" s="144"/>
      <c r="CC205" s="22"/>
      <c r="CD205" s="22"/>
      <c r="CE205" s="144"/>
      <c r="CF205" s="22"/>
      <c r="CG205" s="22"/>
      <c r="CH205" s="144"/>
      <c r="CI205" s="22"/>
      <c r="CJ205" s="22"/>
      <c r="CK205" s="144"/>
    </row>
    <row r="206" spans="1:89" ht="15.75" customHeight="1" x14ac:dyDescent="0.45">
      <c r="A206" s="22"/>
      <c r="B206" s="22"/>
      <c r="C206" s="12"/>
      <c r="D206" s="12"/>
      <c r="E206" s="155"/>
      <c r="F206" s="144"/>
      <c r="G206" s="12"/>
      <c r="H206" s="22"/>
      <c r="I206" s="22"/>
      <c r="J206" s="22"/>
      <c r="K206" s="145"/>
      <c r="L206" s="144"/>
      <c r="M206" s="144"/>
      <c r="N206" s="152"/>
      <c r="O206" s="22"/>
      <c r="P206" s="152"/>
      <c r="Q206" s="22"/>
      <c r="R206" s="74"/>
      <c r="S206" s="45"/>
      <c r="T206" s="158"/>
      <c r="U206" s="45"/>
      <c r="V206" s="45"/>
      <c r="W206" s="45"/>
      <c r="X206" s="45"/>
      <c r="Y206" s="45"/>
      <c r="Z206" s="45"/>
      <c r="AA206" s="45"/>
      <c r="AB206" s="45"/>
      <c r="AC206" s="144"/>
      <c r="AD206" s="144"/>
      <c r="AE206" s="45"/>
      <c r="AF206" s="45"/>
      <c r="AG206" s="144"/>
      <c r="AH206" s="144"/>
      <c r="AI206" s="144"/>
      <c r="AJ206" s="22"/>
      <c r="AK206" s="22"/>
      <c r="AL206" s="144"/>
      <c r="AM206" s="22"/>
      <c r="AN206" s="22"/>
      <c r="AO206" s="144"/>
      <c r="AP206" s="22"/>
      <c r="AQ206" s="22"/>
      <c r="AR206" s="144"/>
      <c r="AS206" s="22"/>
      <c r="AT206" s="22"/>
      <c r="AU206" s="144"/>
      <c r="AV206" s="22"/>
      <c r="AW206" s="22"/>
      <c r="AX206" s="144"/>
      <c r="AY206" s="144"/>
      <c r="AZ206" s="22"/>
      <c r="BA206" s="144"/>
      <c r="BB206" s="144"/>
      <c r="BC206" s="144"/>
      <c r="BD206" s="144"/>
      <c r="BE206" s="144"/>
      <c r="BF206" s="22"/>
      <c r="BG206" s="144"/>
      <c r="BH206" s="144"/>
      <c r="BI206" s="22"/>
      <c r="BJ206" s="144"/>
      <c r="BK206" s="22"/>
      <c r="BL206" s="144"/>
      <c r="BM206" s="144"/>
      <c r="BN206" s="22"/>
      <c r="BO206" s="144"/>
      <c r="BP206" s="144"/>
      <c r="BQ206" s="22"/>
      <c r="BR206" s="22"/>
      <c r="BS206" s="144"/>
      <c r="BT206" s="22"/>
      <c r="BU206" s="22"/>
      <c r="BV206" s="144"/>
      <c r="BW206" s="22"/>
      <c r="BX206" s="22"/>
      <c r="BY206" s="144"/>
      <c r="BZ206" s="22"/>
      <c r="CA206" s="22"/>
      <c r="CB206" s="144"/>
      <c r="CC206" s="22"/>
      <c r="CD206" s="22"/>
      <c r="CE206" s="144"/>
      <c r="CF206" s="22"/>
      <c r="CG206" s="22"/>
      <c r="CH206" s="144"/>
      <c r="CI206" s="22"/>
      <c r="CJ206" s="22"/>
      <c r="CK206" s="144"/>
    </row>
    <row r="207" spans="1:89" ht="15.75" customHeight="1" x14ac:dyDescent="0.45">
      <c r="A207" s="22"/>
      <c r="B207" s="22"/>
      <c r="C207" s="12"/>
      <c r="D207" s="12"/>
      <c r="E207" s="155"/>
      <c r="F207" s="144"/>
      <c r="G207" s="12"/>
      <c r="H207" s="22"/>
      <c r="I207" s="22"/>
      <c r="J207" s="22"/>
      <c r="K207" s="145"/>
      <c r="L207" s="144"/>
      <c r="M207" s="144"/>
      <c r="N207" s="152"/>
      <c r="O207" s="22"/>
      <c r="P207" s="152"/>
      <c r="Q207" s="22"/>
      <c r="R207" s="74"/>
      <c r="S207" s="45"/>
      <c r="T207" s="158"/>
      <c r="U207" s="45"/>
      <c r="V207" s="45"/>
      <c r="W207" s="45"/>
      <c r="X207" s="45"/>
      <c r="Y207" s="45"/>
      <c r="Z207" s="45"/>
      <c r="AA207" s="45"/>
      <c r="AB207" s="45"/>
      <c r="AC207" s="144"/>
      <c r="AD207" s="144"/>
      <c r="AE207" s="45"/>
      <c r="AF207" s="45"/>
      <c r="AG207" s="144"/>
      <c r="AH207" s="144"/>
      <c r="AI207" s="144"/>
      <c r="AJ207" s="22"/>
      <c r="AK207" s="22"/>
      <c r="AL207" s="144"/>
      <c r="AM207" s="22"/>
      <c r="AN207" s="22"/>
      <c r="AO207" s="144"/>
      <c r="AP207" s="22"/>
      <c r="AQ207" s="22"/>
      <c r="AR207" s="144"/>
      <c r="AS207" s="22"/>
      <c r="AT207" s="22"/>
      <c r="AU207" s="144"/>
      <c r="AV207" s="22"/>
      <c r="AW207" s="22"/>
      <c r="AX207" s="144"/>
      <c r="AY207" s="144"/>
      <c r="AZ207" s="22"/>
      <c r="BA207" s="144"/>
      <c r="BB207" s="144"/>
      <c r="BC207" s="144"/>
      <c r="BD207" s="144"/>
      <c r="BE207" s="144"/>
      <c r="BF207" s="22"/>
      <c r="BG207" s="144"/>
      <c r="BH207" s="144"/>
      <c r="BI207" s="22"/>
      <c r="BJ207" s="144"/>
      <c r="BK207" s="22"/>
      <c r="BL207" s="144"/>
      <c r="BM207" s="144"/>
      <c r="BN207" s="22"/>
      <c r="BO207" s="144"/>
      <c r="BP207" s="144"/>
      <c r="BQ207" s="22"/>
      <c r="BR207" s="22"/>
      <c r="BS207" s="144"/>
      <c r="BT207" s="22"/>
      <c r="BU207" s="22"/>
      <c r="BV207" s="144"/>
      <c r="BW207" s="22"/>
      <c r="BX207" s="22"/>
      <c r="BY207" s="144"/>
      <c r="BZ207" s="22"/>
      <c r="CA207" s="22"/>
      <c r="CB207" s="144"/>
      <c r="CC207" s="22"/>
      <c r="CD207" s="22"/>
      <c r="CE207" s="144"/>
      <c r="CF207" s="22"/>
      <c r="CG207" s="22"/>
      <c r="CH207" s="144"/>
      <c r="CI207" s="22"/>
      <c r="CJ207" s="22"/>
      <c r="CK207" s="144"/>
    </row>
    <row r="208" spans="1:89" ht="15.75" customHeight="1" x14ac:dyDescent="0.45">
      <c r="A208" s="22"/>
      <c r="B208" s="22"/>
      <c r="C208" s="12"/>
      <c r="D208" s="12"/>
      <c r="E208" s="155"/>
      <c r="F208" s="144"/>
      <c r="G208" s="12"/>
      <c r="H208" s="22"/>
      <c r="I208" s="22"/>
      <c r="J208" s="22"/>
      <c r="K208" s="145"/>
      <c r="L208" s="144"/>
      <c r="M208" s="144"/>
      <c r="N208" s="152"/>
      <c r="O208" s="22"/>
      <c r="P208" s="152"/>
      <c r="Q208" s="22"/>
      <c r="R208" s="74"/>
      <c r="S208" s="45"/>
      <c r="T208" s="158"/>
      <c r="U208" s="45"/>
      <c r="V208" s="45"/>
      <c r="W208" s="45"/>
      <c r="X208" s="45"/>
      <c r="Y208" s="45"/>
      <c r="Z208" s="45"/>
      <c r="AA208" s="45"/>
      <c r="AB208" s="45"/>
      <c r="AC208" s="144"/>
      <c r="AD208" s="144"/>
      <c r="AE208" s="45"/>
      <c r="AF208" s="45"/>
      <c r="AG208" s="144"/>
      <c r="AH208" s="144"/>
      <c r="AI208" s="144"/>
      <c r="AJ208" s="22"/>
      <c r="AK208" s="22"/>
      <c r="AL208" s="144"/>
      <c r="AM208" s="22"/>
      <c r="AN208" s="22"/>
      <c r="AO208" s="144"/>
      <c r="AP208" s="22"/>
      <c r="AQ208" s="22"/>
      <c r="AR208" s="144"/>
      <c r="AS208" s="22"/>
      <c r="AT208" s="22"/>
      <c r="AU208" s="144"/>
      <c r="AV208" s="22"/>
      <c r="AW208" s="22"/>
      <c r="AX208" s="144"/>
      <c r="AY208" s="144"/>
      <c r="AZ208" s="22"/>
      <c r="BA208" s="144"/>
      <c r="BB208" s="144"/>
      <c r="BC208" s="144"/>
      <c r="BD208" s="144"/>
      <c r="BE208" s="144"/>
      <c r="BF208" s="22"/>
      <c r="BG208" s="144"/>
      <c r="BH208" s="144"/>
      <c r="BI208" s="22"/>
      <c r="BJ208" s="144"/>
      <c r="BK208" s="22"/>
      <c r="BL208" s="144"/>
      <c r="BM208" s="144"/>
      <c r="BN208" s="22"/>
      <c r="BO208" s="144"/>
      <c r="BP208" s="144"/>
      <c r="BQ208" s="22"/>
      <c r="BR208" s="22"/>
      <c r="BS208" s="144"/>
      <c r="BT208" s="22"/>
      <c r="BU208" s="22"/>
      <c r="BV208" s="144"/>
      <c r="BW208" s="22"/>
      <c r="BX208" s="22"/>
      <c r="BY208" s="144"/>
      <c r="BZ208" s="22"/>
      <c r="CA208" s="22"/>
      <c r="CB208" s="144"/>
      <c r="CC208" s="22"/>
      <c r="CD208" s="22"/>
      <c r="CE208" s="144"/>
      <c r="CF208" s="22"/>
      <c r="CG208" s="22"/>
      <c r="CH208" s="144"/>
      <c r="CI208" s="22"/>
      <c r="CJ208" s="22"/>
      <c r="CK208" s="144"/>
    </row>
    <row r="209" spans="1:89" ht="15.75" customHeight="1" x14ac:dyDescent="0.45">
      <c r="A209" s="22"/>
      <c r="B209" s="22"/>
      <c r="C209" s="12"/>
      <c r="D209" s="12"/>
      <c r="E209" s="155"/>
      <c r="F209" s="144"/>
      <c r="G209" s="12"/>
      <c r="H209" s="22"/>
      <c r="I209" s="22"/>
      <c r="J209" s="22"/>
      <c r="K209" s="145"/>
      <c r="L209" s="144"/>
      <c r="M209" s="144"/>
      <c r="N209" s="152"/>
      <c r="O209" s="22"/>
      <c r="P209" s="152"/>
      <c r="Q209" s="22"/>
      <c r="R209" s="74"/>
      <c r="S209" s="45"/>
      <c r="T209" s="158"/>
      <c r="U209" s="45"/>
      <c r="V209" s="45"/>
      <c r="W209" s="45"/>
      <c r="X209" s="45"/>
      <c r="Y209" s="45"/>
      <c r="Z209" s="45"/>
      <c r="AA209" s="45"/>
      <c r="AB209" s="45"/>
      <c r="AC209" s="144"/>
      <c r="AD209" s="144"/>
      <c r="AE209" s="45"/>
      <c r="AF209" s="45"/>
      <c r="AG209" s="144"/>
      <c r="AH209" s="144"/>
      <c r="AI209" s="144"/>
      <c r="AJ209" s="22"/>
      <c r="AK209" s="22"/>
      <c r="AL209" s="144"/>
      <c r="AM209" s="22"/>
      <c r="AN209" s="22"/>
      <c r="AO209" s="144"/>
      <c r="AP209" s="22"/>
      <c r="AQ209" s="22"/>
      <c r="AR209" s="144"/>
      <c r="AS209" s="22"/>
      <c r="AT209" s="22"/>
      <c r="AU209" s="144"/>
      <c r="AV209" s="22"/>
      <c r="AW209" s="22"/>
      <c r="AX209" s="144"/>
      <c r="AY209" s="144"/>
      <c r="AZ209" s="22"/>
      <c r="BA209" s="144"/>
      <c r="BB209" s="144"/>
      <c r="BC209" s="144"/>
      <c r="BD209" s="144"/>
      <c r="BE209" s="144"/>
      <c r="BF209" s="22"/>
      <c r="BG209" s="144"/>
      <c r="BH209" s="144"/>
      <c r="BI209" s="22"/>
      <c r="BJ209" s="144"/>
      <c r="BK209" s="22"/>
      <c r="BL209" s="144"/>
      <c r="BM209" s="144"/>
      <c r="BN209" s="22"/>
      <c r="BO209" s="144"/>
      <c r="BP209" s="144"/>
      <c r="BQ209" s="22"/>
      <c r="BR209" s="22"/>
      <c r="BS209" s="144"/>
      <c r="BT209" s="22"/>
      <c r="BU209" s="22"/>
      <c r="BV209" s="144"/>
      <c r="BW209" s="22"/>
      <c r="BX209" s="22"/>
      <c r="BY209" s="144"/>
      <c r="BZ209" s="22"/>
      <c r="CA209" s="22"/>
      <c r="CB209" s="144"/>
      <c r="CC209" s="22"/>
      <c r="CD209" s="22"/>
      <c r="CE209" s="144"/>
      <c r="CF209" s="22"/>
      <c r="CG209" s="22"/>
      <c r="CH209" s="144"/>
      <c r="CI209" s="22"/>
      <c r="CJ209" s="22"/>
      <c r="CK209" s="144"/>
    </row>
    <row r="210" spans="1:89" ht="15.75" customHeight="1" x14ac:dyDescent="0.45">
      <c r="A210" s="22"/>
      <c r="B210" s="22"/>
      <c r="C210" s="12"/>
      <c r="D210" s="12"/>
      <c r="E210" s="155"/>
      <c r="F210" s="144"/>
      <c r="G210" s="12"/>
      <c r="H210" s="22"/>
      <c r="I210" s="22"/>
      <c r="J210" s="22"/>
      <c r="K210" s="145"/>
      <c r="L210" s="144"/>
      <c r="M210" s="144"/>
      <c r="N210" s="152"/>
      <c r="O210" s="22"/>
      <c r="P210" s="152"/>
      <c r="Q210" s="22"/>
      <c r="R210" s="74"/>
      <c r="S210" s="45"/>
      <c r="T210" s="158"/>
      <c r="U210" s="45"/>
      <c r="V210" s="45"/>
      <c r="W210" s="45"/>
      <c r="X210" s="45"/>
      <c r="Y210" s="45"/>
      <c r="Z210" s="45"/>
      <c r="AA210" s="45"/>
      <c r="AB210" s="45"/>
      <c r="AC210" s="144"/>
      <c r="AD210" s="144"/>
      <c r="AE210" s="45"/>
      <c r="AF210" s="45"/>
      <c r="AG210" s="144"/>
      <c r="AH210" s="144"/>
      <c r="AI210" s="144"/>
      <c r="AJ210" s="22"/>
      <c r="AK210" s="22"/>
      <c r="AL210" s="144"/>
      <c r="AM210" s="22"/>
      <c r="AN210" s="22"/>
      <c r="AO210" s="144"/>
      <c r="AP210" s="22"/>
      <c r="AQ210" s="22"/>
      <c r="AR210" s="144"/>
      <c r="AS210" s="22"/>
      <c r="AT210" s="22"/>
      <c r="AU210" s="144"/>
      <c r="AV210" s="22"/>
      <c r="AW210" s="22"/>
      <c r="AX210" s="144"/>
      <c r="AY210" s="144"/>
      <c r="AZ210" s="22"/>
      <c r="BA210" s="144"/>
      <c r="BB210" s="144"/>
      <c r="BC210" s="144"/>
      <c r="BD210" s="144"/>
      <c r="BE210" s="144"/>
      <c r="BF210" s="22"/>
      <c r="BG210" s="144"/>
      <c r="BH210" s="144"/>
      <c r="BI210" s="22"/>
      <c r="BJ210" s="144"/>
      <c r="BK210" s="22"/>
      <c r="BL210" s="144"/>
      <c r="BM210" s="144"/>
      <c r="BN210" s="22"/>
      <c r="BO210" s="144"/>
      <c r="BP210" s="144"/>
      <c r="BQ210" s="22"/>
      <c r="BR210" s="22"/>
      <c r="BS210" s="144"/>
      <c r="BT210" s="22"/>
      <c r="BU210" s="22"/>
      <c r="BV210" s="144"/>
      <c r="BW210" s="22"/>
      <c r="BX210" s="22"/>
      <c r="BY210" s="144"/>
      <c r="BZ210" s="22"/>
      <c r="CA210" s="22"/>
      <c r="CB210" s="144"/>
      <c r="CC210" s="22"/>
      <c r="CD210" s="22"/>
      <c r="CE210" s="144"/>
      <c r="CF210" s="22"/>
      <c r="CG210" s="22"/>
      <c r="CH210" s="144"/>
      <c r="CI210" s="22"/>
      <c r="CJ210" s="22"/>
      <c r="CK210" s="144"/>
    </row>
    <row r="211" spans="1:89" ht="15.75" customHeight="1" x14ac:dyDescent="0.45">
      <c r="A211" s="22"/>
      <c r="B211" s="22"/>
      <c r="C211" s="12"/>
      <c r="D211" s="12"/>
      <c r="E211" s="155"/>
      <c r="F211" s="144"/>
      <c r="G211" s="12"/>
      <c r="H211" s="22"/>
      <c r="I211" s="22"/>
      <c r="J211" s="22"/>
      <c r="K211" s="145"/>
      <c r="L211" s="144"/>
      <c r="M211" s="144"/>
      <c r="N211" s="152"/>
      <c r="O211" s="22"/>
      <c r="P211" s="152"/>
      <c r="Q211" s="22"/>
      <c r="R211" s="74"/>
      <c r="S211" s="45"/>
      <c r="T211" s="158"/>
      <c r="U211" s="45"/>
      <c r="V211" s="45"/>
      <c r="W211" s="45"/>
      <c r="X211" s="45"/>
      <c r="Y211" s="45"/>
      <c r="Z211" s="45"/>
      <c r="AA211" s="45"/>
      <c r="AB211" s="45"/>
      <c r="AC211" s="144"/>
      <c r="AD211" s="144"/>
      <c r="AE211" s="45"/>
      <c r="AF211" s="45"/>
      <c r="AG211" s="144"/>
      <c r="AH211" s="144"/>
      <c r="AI211" s="144"/>
      <c r="AJ211" s="22"/>
      <c r="AK211" s="22"/>
      <c r="AL211" s="144"/>
      <c r="AM211" s="22"/>
      <c r="AN211" s="22"/>
      <c r="AO211" s="144"/>
      <c r="AP211" s="22"/>
      <c r="AQ211" s="22"/>
      <c r="AR211" s="144"/>
      <c r="AS211" s="22"/>
      <c r="AT211" s="22"/>
      <c r="AU211" s="144"/>
      <c r="AV211" s="22"/>
      <c r="AW211" s="22"/>
      <c r="AX211" s="144"/>
      <c r="AY211" s="144"/>
      <c r="AZ211" s="22"/>
      <c r="BA211" s="144"/>
      <c r="BB211" s="144"/>
      <c r="BC211" s="144"/>
      <c r="BD211" s="144"/>
      <c r="BE211" s="144"/>
      <c r="BF211" s="22"/>
      <c r="BG211" s="144"/>
      <c r="BH211" s="144"/>
      <c r="BI211" s="22"/>
      <c r="BJ211" s="144"/>
      <c r="BK211" s="22"/>
      <c r="BL211" s="144"/>
      <c r="BM211" s="144"/>
      <c r="BN211" s="22"/>
      <c r="BO211" s="144"/>
      <c r="BP211" s="144"/>
      <c r="BQ211" s="22"/>
      <c r="BR211" s="22"/>
      <c r="BS211" s="144"/>
      <c r="BT211" s="22"/>
      <c r="BU211" s="22"/>
      <c r="BV211" s="144"/>
      <c r="BW211" s="22"/>
      <c r="BX211" s="22"/>
      <c r="BY211" s="144"/>
      <c r="BZ211" s="22"/>
      <c r="CA211" s="22"/>
      <c r="CB211" s="144"/>
      <c r="CC211" s="22"/>
      <c r="CD211" s="22"/>
      <c r="CE211" s="144"/>
      <c r="CF211" s="22"/>
      <c r="CG211" s="22"/>
      <c r="CH211" s="144"/>
      <c r="CI211" s="22"/>
      <c r="CJ211" s="22"/>
      <c r="CK211" s="144"/>
    </row>
    <row r="212" spans="1:89" ht="15.75" customHeight="1" x14ac:dyDescent="0.45">
      <c r="A212" s="22"/>
      <c r="B212" s="22"/>
      <c r="C212" s="12"/>
      <c r="D212" s="12"/>
      <c r="E212" s="155"/>
      <c r="F212" s="144"/>
      <c r="G212" s="12"/>
      <c r="H212" s="22"/>
      <c r="I212" s="22"/>
      <c r="J212" s="22"/>
      <c r="K212" s="145"/>
      <c r="L212" s="144"/>
      <c r="M212" s="144"/>
      <c r="N212" s="152"/>
      <c r="O212" s="22"/>
      <c r="P212" s="152"/>
      <c r="Q212" s="22"/>
      <c r="R212" s="74"/>
      <c r="S212" s="45"/>
      <c r="T212" s="158"/>
      <c r="U212" s="45"/>
      <c r="V212" s="45"/>
      <c r="W212" s="45"/>
      <c r="X212" s="45"/>
      <c r="Y212" s="45"/>
      <c r="Z212" s="45"/>
      <c r="AA212" s="45"/>
      <c r="AB212" s="45"/>
      <c r="AC212" s="144"/>
      <c r="AD212" s="144"/>
      <c r="AE212" s="45"/>
      <c r="AF212" s="45"/>
      <c r="AG212" s="144"/>
      <c r="AH212" s="144"/>
      <c r="AI212" s="144"/>
      <c r="AJ212" s="22"/>
      <c r="AK212" s="22"/>
      <c r="AL212" s="144"/>
      <c r="AM212" s="22"/>
      <c r="AN212" s="22"/>
      <c r="AO212" s="144"/>
      <c r="AP212" s="22"/>
      <c r="AQ212" s="22"/>
      <c r="AR212" s="144"/>
      <c r="AS212" s="22"/>
      <c r="AT212" s="22"/>
      <c r="AU212" s="144"/>
      <c r="AV212" s="22"/>
      <c r="AW212" s="22"/>
      <c r="AX212" s="144"/>
      <c r="AY212" s="144"/>
      <c r="AZ212" s="22"/>
      <c r="BA212" s="144"/>
      <c r="BB212" s="144"/>
      <c r="BC212" s="144"/>
      <c r="BD212" s="144"/>
      <c r="BE212" s="144"/>
      <c r="BF212" s="22"/>
      <c r="BG212" s="144"/>
      <c r="BH212" s="144"/>
      <c r="BI212" s="22"/>
      <c r="BJ212" s="144"/>
      <c r="BK212" s="22"/>
      <c r="BL212" s="144"/>
      <c r="BM212" s="144"/>
      <c r="BN212" s="22"/>
      <c r="BO212" s="144"/>
      <c r="BP212" s="144"/>
      <c r="BQ212" s="22"/>
      <c r="BR212" s="22"/>
      <c r="BS212" s="144"/>
      <c r="BT212" s="22"/>
      <c r="BU212" s="22"/>
      <c r="BV212" s="144"/>
      <c r="BW212" s="22"/>
      <c r="BX212" s="22"/>
      <c r="BY212" s="144"/>
      <c r="BZ212" s="22"/>
      <c r="CA212" s="22"/>
      <c r="CB212" s="144"/>
      <c r="CC212" s="22"/>
      <c r="CD212" s="22"/>
      <c r="CE212" s="144"/>
      <c r="CF212" s="22"/>
      <c r="CG212" s="22"/>
      <c r="CH212" s="144"/>
      <c r="CI212" s="22"/>
      <c r="CJ212" s="22"/>
      <c r="CK212" s="144"/>
    </row>
    <row r="213" spans="1:89" ht="15.75" customHeight="1" x14ac:dyDescent="0.45">
      <c r="A213" s="22"/>
      <c r="B213" s="22"/>
      <c r="C213" s="12"/>
      <c r="D213" s="12"/>
      <c r="E213" s="155"/>
      <c r="F213" s="144"/>
      <c r="G213" s="12"/>
      <c r="H213" s="22"/>
      <c r="I213" s="22"/>
      <c r="J213" s="22"/>
      <c r="K213" s="145"/>
      <c r="L213" s="144"/>
      <c r="M213" s="144"/>
      <c r="N213" s="152"/>
      <c r="O213" s="22"/>
      <c r="P213" s="152"/>
      <c r="Q213" s="22"/>
      <c r="R213" s="74"/>
      <c r="S213" s="45"/>
      <c r="T213" s="158"/>
      <c r="U213" s="45"/>
      <c r="V213" s="45"/>
      <c r="W213" s="45"/>
      <c r="X213" s="45"/>
      <c r="Y213" s="45"/>
      <c r="Z213" s="45"/>
      <c r="AA213" s="45"/>
      <c r="AB213" s="45"/>
      <c r="AC213" s="144"/>
      <c r="AD213" s="144"/>
      <c r="AE213" s="45"/>
      <c r="AF213" s="45"/>
      <c r="AG213" s="144"/>
      <c r="AH213" s="144"/>
      <c r="AI213" s="144"/>
      <c r="AJ213" s="22"/>
      <c r="AK213" s="22"/>
      <c r="AL213" s="144"/>
      <c r="AM213" s="22"/>
      <c r="AN213" s="22"/>
      <c r="AO213" s="144"/>
      <c r="AP213" s="22"/>
      <c r="AQ213" s="22"/>
      <c r="AR213" s="144"/>
      <c r="AS213" s="22"/>
      <c r="AT213" s="22"/>
      <c r="AU213" s="144"/>
      <c r="AV213" s="22"/>
      <c r="AW213" s="22"/>
      <c r="AX213" s="144"/>
      <c r="AY213" s="144"/>
      <c r="AZ213" s="22"/>
      <c r="BA213" s="144"/>
      <c r="BB213" s="144"/>
      <c r="BC213" s="144"/>
      <c r="BD213" s="144"/>
      <c r="BE213" s="144"/>
      <c r="BF213" s="22"/>
      <c r="BG213" s="144"/>
      <c r="BH213" s="144"/>
      <c r="BI213" s="22"/>
      <c r="BJ213" s="144"/>
      <c r="BK213" s="22"/>
      <c r="BL213" s="144"/>
      <c r="BM213" s="144"/>
      <c r="BN213" s="22"/>
      <c r="BO213" s="144"/>
      <c r="BP213" s="144"/>
      <c r="BQ213" s="22"/>
      <c r="BR213" s="22"/>
      <c r="BS213" s="144"/>
      <c r="BT213" s="22"/>
      <c r="BU213" s="22"/>
      <c r="BV213" s="144"/>
      <c r="BW213" s="22"/>
      <c r="BX213" s="22"/>
      <c r="BY213" s="144"/>
      <c r="BZ213" s="22"/>
      <c r="CA213" s="22"/>
      <c r="CB213" s="144"/>
      <c r="CC213" s="22"/>
      <c r="CD213" s="22"/>
      <c r="CE213" s="144"/>
      <c r="CF213" s="22"/>
      <c r="CG213" s="22"/>
      <c r="CH213" s="144"/>
      <c r="CI213" s="22"/>
      <c r="CJ213" s="22"/>
      <c r="CK213" s="144"/>
    </row>
    <row r="214" spans="1:89" ht="15.75" customHeight="1" x14ac:dyDescent="0.45">
      <c r="A214" s="22"/>
      <c r="B214" s="22"/>
      <c r="C214" s="12"/>
      <c r="D214" s="12"/>
      <c r="E214" s="155"/>
      <c r="F214" s="144"/>
      <c r="G214" s="12"/>
      <c r="H214" s="22"/>
      <c r="I214" s="22"/>
      <c r="J214" s="22"/>
      <c r="K214" s="145"/>
      <c r="L214" s="144"/>
      <c r="M214" s="144"/>
      <c r="N214" s="152"/>
      <c r="O214" s="22"/>
      <c r="P214" s="152"/>
      <c r="Q214" s="22"/>
      <c r="R214" s="74"/>
      <c r="S214" s="45"/>
      <c r="T214" s="158"/>
      <c r="U214" s="45"/>
      <c r="V214" s="45"/>
      <c r="W214" s="45"/>
      <c r="X214" s="45"/>
      <c r="Y214" s="45"/>
      <c r="Z214" s="45"/>
      <c r="AA214" s="45"/>
      <c r="AB214" s="45"/>
      <c r="AC214" s="144"/>
      <c r="AD214" s="144"/>
      <c r="AE214" s="45"/>
      <c r="AF214" s="45"/>
      <c r="AG214" s="144"/>
      <c r="AH214" s="144"/>
      <c r="AI214" s="144"/>
      <c r="AJ214" s="22"/>
      <c r="AK214" s="22"/>
      <c r="AL214" s="144"/>
      <c r="AM214" s="22"/>
      <c r="AN214" s="22"/>
      <c r="AO214" s="144"/>
      <c r="AP214" s="22"/>
      <c r="AQ214" s="22"/>
      <c r="AR214" s="144"/>
      <c r="AS214" s="22"/>
      <c r="AT214" s="22"/>
      <c r="AU214" s="144"/>
      <c r="AV214" s="22"/>
      <c r="AW214" s="22"/>
      <c r="AX214" s="144"/>
      <c r="AY214" s="144"/>
      <c r="AZ214" s="22"/>
      <c r="BA214" s="144"/>
      <c r="BB214" s="144"/>
      <c r="BC214" s="144"/>
      <c r="BD214" s="144"/>
      <c r="BE214" s="144"/>
      <c r="BF214" s="22"/>
      <c r="BG214" s="144"/>
      <c r="BH214" s="144"/>
      <c r="BI214" s="22"/>
      <c r="BJ214" s="144"/>
      <c r="BK214" s="22"/>
      <c r="BL214" s="144"/>
      <c r="BM214" s="144"/>
      <c r="BN214" s="22"/>
      <c r="BO214" s="144"/>
      <c r="BP214" s="144"/>
      <c r="BQ214" s="22"/>
      <c r="BR214" s="22"/>
      <c r="BS214" s="144"/>
      <c r="BT214" s="22"/>
      <c r="BU214" s="22"/>
      <c r="BV214" s="144"/>
      <c r="BW214" s="22"/>
      <c r="BX214" s="22"/>
      <c r="BY214" s="144"/>
      <c r="BZ214" s="22"/>
      <c r="CA214" s="22"/>
      <c r="CB214" s="144"/>
      <c r="CC214" s="22"/>
      <c r="CD214" s="22"/>
      <c r="CE214" s="144"/>
      <c r="CF214" s="22"/>
      <c r="CG214" s="22"/>
      <c r="CH214" s="144"/>
      <c r="CI214" s="22"/>
      <c r="CJ214" s="22"/>
      <c r="CK214" s="144"/>
    </row>
    <row r="215" spans="1:89" ht="15.75" customHeight="1" x14ac:dyDescent="0.45">
      <c r="A215" s="22"/>
      <c r="B215" s="22"/>
      <c r="C215" s="12"/>
      <c r="D215" s="12"/>
      <c r="E215" s="155"/>
      <c r="F215" s="144"/>
      <c r="G215" s="12"/>
      <c r="H215" s="22"/>
      <c r="I215" s="22"/>
      <c r="J215" s="22"/>
      <c r="K215" s="145"/>
      <c r="L215" s="144"/>
      <c r="M215" s="144"/>
      <c r="N215" s="152"/>
      <c r="O215" s="22"/>
      <c r="P215" s="152"/>
      <c r="Q215" s="22"/>
      <c r="R215" s="74"/>
      <c r="S215" s="45"/>
      <c r="T215" s="158"/>
      <c r="U215" s="45"/>
      <c r="V215" s="45"/>
      <c r="W215" s="45"/>
      <c r="X215" s="45"/>
      <c r="Y215" s="45"/>
      <c r="Z215" s="45"/>
      <c r="AA215" s="45"/>
      <c r="AB215" s="45"/>
      <c r="AC215" s="144"/>
      <c r="AD215" s="144"/>
      <c r="AE215" s="45"/>
      <c r="AF215" s="45"/>
      <c r="AG215" s="144"/>
      <c r="AH215" s="144"/>
      <c r="AI215" s="144"/>
      <c r="AJ215" s="22"/>
      <c r="AK215" s="22"/>
      <c r="AL215" s="144"/>
      <c r="AM215" s="22"/>
      <c r="AN215" s="22"/>
      <c r="AO215" s="144"/>
      <c r="AP215" s="22"/>
      <c r="AQ215" s="22"/>
      <c r="AR215" s="144"/>
      <c r="AS215" s="22"/>
      <c r="AT215" s="22"/>
      <c r="AU215" s="144"/>
      <c r="AV215" s="22"/>
      <c r="AW215" s="22"/>
      <c r="AX215" s="144"/>
      <c r="AY215" s="144"/>
      <c r="AZ215" s="22"/>
      <c r="BA215" s="144"/>
      <c r="BB215" s="144"/>
      <c r="BC215" s="144"/>
      <c r="BD215" s="144"/>
      <c r="BE215" s="144"/>
      <c r="BF215" s="22"/>
      <c r="BG215" s="144"/>
      <c r="BH215" s="144"/>
      <c r="BI215" s="22"/>
      <c r="BJ215" s="144"/>
      <c r="BK215" s="22"/>
      <c r="BL215" s="144"/>
      <c r="BM215" s="144"/>
      <c r="BN215" s="22"/>
      <c r="BO215" s="144"/>
      <c r="BP215" s="144"/>
      <c r="BQ215" s="22"/>
      <c r="BR215" s="22"/>
      <c r="BS215" s="144"/>
      <c r="BT215" s="22"/>
      <c r="BU215" s="22"/>
      <c r="BV215" s="144"/>
      <c r="BW215" s="22"/>
      <c r="BX215" s="22"/>
      <c r="BY215" s="144"/>
      <c r="BZ215" s="22"/>
      <c r="CA215" s="22"/>
      <c r="CB215" s="144"/>
      <c r="CC215" s="22"/>
      <c r="CD215" s="22"/>
      <c r="CE215" s="144"/>
      <c r="CF215" s="22"/>
      <c r="CG215" s="22"/>
      <c r="CH215" s="144"/>
      <c r="CI215" s="22"/>
      <c r="CJ215" s="22"/>
      <c r="CK215" s="144"/>
    </row>
    <row r="216" spans="1:89" ht="15.75" customHeight="1" x14ac:dyDescent="0.45">
      <c r="A216" s="22"/>
      <c r="B216" s="22"/>
      <c r="C216" s="12"/>
      <c r="D216" s="12"/>
      <c r="E216" s="155"/>
      <c r="F216" s="144"/>
      <c r="G216" s="12"/>
      <c r="H216" s="22"/>
      <c r="I216" s="22"/>
      <c r="J216" s="22"/>
      <c r="K216" s="145"/>
      <c r="L216" s="144"/>
      <c r="M216" s="144"/>
      <c r="N216" s="152"/>
      <c r="O216" s="22"/>
      <c r="P216" s="152"/>
      <c r="Q216" s="22"/>
      <c r="R216" s="74"/>
      <c r="S216" s="45"/>
      <c r="T216" s="158"/>
      <c r="U216" s="45"/>
      <c r="V216" s="45"/>
      <c r="W216" s="45"/>
      <c r="X216" s="45"/>
      <c r="Y216" s="45"/>
      <c r="Z216" s="45"/>
      <c r="AA216" s="45"/>
      <c r="AB216" s="45"/>
      <c r="AC216" s="144"/>
      <c r="AD216" s="144"/>
      <c r="AE216" s="45"/>
      <c r="AF216" s="45"/>
      <c r="AG216" s="144"/>
      <c r="AH216" s="144"/>
      <c r="AI216" s="144"/>
      <c r="AJ216" s="22"/>
      <c r="AK216" s="22"/>
      <c r="AL216" s="144"/>
      <c r="AM216" s="22"/>
      <c r="AN216" s="22"/>
      <c r="AO216" s="144"/>
      <c r="AP216" s="22"/>
      <c r="AQ216" s="22"/>
      <c r="AR216" s="144"/>
      <c r="AS216" s="22"/>
      <c r="AT216" s="22"/>
      <c r="AU216" s="144"/>
      <c r="AV216" s="22"/>
      <c r="AW216" s="22"/>
      <c r="AX216" s="144"/>
      <c r="AY216" s="144"/>
      <c r="AZ216" s="22"/>
      <c r="BA216" s="144"/>
      <c r="BB216" s="144"/>
      <c r="BC216" s="144"/>
      <c r="BD216" s="144"/>
      <c r="BE216" s="144"/>
      <c r="BF216" s="22"/>
      <c r="BG216" s="144"/>
      <c r="BH216" s="144"/>
      <c r="BI216" s="22"/>
      <c r="BJ216" s="144"/>
      <c r="BK216" s="22"/>
      <c r="BL216" s="144"/>
      <c r="BM216" s="144"/>
      <c r="BN216" s="22"/>
      <c r="BO216" s="144"/>
      <c r="BP216" s="144"/>
      <c r="BQ216" s="22"/>
      <c r="BR216" s="22"/>
      <c r="BS216" s="144"/>
      <c r="BT216" s="22"/>
      <c r="BU216" s="22"/>
      <c r="BV216" s="144"/>
      <c r="BW216" s="22"/>
      <c r="BX216" s="22"/>
      <c r="BY216" s="144"/>
      <c r="BZ216" s="22"/>
      <c r="CA216" s="22"/>
      <c r="CB216" s="144"/>
      <c r="CC216" s="22"/>
      <c r="CD216" s="22"/>
      <c r="CE216" s="144"/>
      <c r="CF216" s="22"/>
      <c r="CG216" s="22"/>
      <c r="CH216" s="144"/>
      <c r="CI216" s="22"/>
      <c r="CJ216" s="22"/>
      <c r="CK216" s="144"/>
    </row>
    <row r="217" spans="1:89" ht="15.75" customHeight="1" x14ac:dyDescent="0.45">
      <c r="A217" s="22"/>
      <c r="B217" s="22"/>
      <c r="C217" s="12"/>
      <c r="D217" s="12"/>
      <c r="E217" s="155"/>
      <c r="F217" s="144"/>
      <c r="G217" s="12"/>
      <c r="H217" s="22"/>
      <c r="I217" s="22"/>
      <c r="J217" s="22"/>
      <c r="K217" s="145"/>
      <c r="L217" s="144"/>
      <c r="M217" s="144"/>
      <c r="N217" s="152"/>
      <c r="O217" s="22"/>
      <c r="P217" s="152"/>
      <c r="Q217" s="22"/>
      <c r="R217" s="74"/>
      <c r="S217" s="45"/>
      <c r="T217" s="158"/>
      <c r="U217" s="45"/>
      <c r="V217" s="45"/>
      <c r="W217" s="45"/>
      <c r="X217" s="45"/>
      <c r="Y217" s="45"/>
      <c r="Z217" s="45"/>
      <c r="AA217" s="45"/>
      <c r="AB217" s="45"/>
      <c r="AC217" s="144"/>
      <c r="AD217" s="144"/>
      <c r="AE217" s="45"/>
      <c r="AF217" s="45"/>
      <c r="AG217" s="144"/>
      <c r="AH217" s="144"/>
      <c r="AI217" s="144"/>
      <c r="AJ217" s="22"/>
      <c r="AK217" s="22"/>
      <c r="AL217" s="144"/>
      <c r="AM217" s="22"/>
      <c r="AN217" s="22"/>
      <c r="AO217" s="144"/>
      <c r="AP217" s="22"/>
      <c r="AQ217" s="22"/>
      <c r="AR217" s="144"/>
      <c r="AS217" s="22"/>
      <c r="AT217" s="22"/>
      <c r="AU217" s="144"/>
      <c r="AV217" s="22"/>
      <c r="AW217" s="22"/>
      <c r="AX217" s="144"/>
      <c r="AY217" s="144"/>
      <c r="AZ217" s="22"/>
      <c r="BA217" s="144"/>
      <c r="BB217" s="144"/>
      <c r="BC217" s="144"/>
      <c r="BD217" s="144"/>
      <c r="BE217" s="144"/>
      <c r="BF217" s="22"/>
      <c r="BG217" s="144"/>
      <c r="BH217" s="144"/>
      <c r="BI217" s="22"/>
      <c r="BJ217" s="144"/>
      <c r="BK217" s="22"/>
      <c r="BL217" s="144"/>
      <c r="BM217" s="144"/>
      <c r="BN217" s="22"/>
      <c r="BO217" s="144"/>
      <c r="BP217" s="144"/>
      <c r="BQ217" s="22"/>
      <c r="BR217" s="22"/>
      <c r="BS217" s="144"/>
      <c r="BT217" s="22"/>
      <c r="BU217" s="22"/>
      <c r="BV217" s="144"/>
      <c r="BW217" s="22"/>
      <c r="BX217" s="22"/>
      <c r="BY217" s="144"/>
      <c r="BZ217" s="22"/>
      <c r="CA217" s="22"/>
      <c r="CB217" s="144"/>
      <c r="CC217" s="22"/>
      <c r="CD217" s="22"/>
      <c r="CE217" s="144"/>
      <c r="CF217" s="22"/>
      <c r="CG217" s="22"/>
      <c r="CH217" s="144"/>
      <c r="CI217" s="22"/>
      <c r="CJ217" s="22"/>
      <c r="CK217" s="144"/>
    </row>
    <row r="218" spans="1:89" ht="15.75" customHeight="1" x14ac:dyDescent="0.45">
      <c r="A218" s="22"/>
      <c r="B218" s="22"/>
      <c r="C218" s="12"/>
      <c r="D218" s="12"/>
      <c r="E218" s="155"/>
      <c r="F218" s="144"/>
      <c r="G218" s="12"/>
      <c r="H218" s="22"/>
      <c r="I218" s="22"/>
      <c r="J218" s="22"/>
      <c r="K218" s="145"/>
      <c r="L218" s="144"/>
      <c r="M218" s="144"/>
      <c r="N218" s="152"/>
      <c r="O218" s="22"/>
      <c r="P218" s="152"/>
      <c r="Q218" s="22"/>
      <c r="R218" s="74"/>
      <c r="S218" s="45"/>
      <c r="T218" s="158"/>
      <c r="U218" s="45"/>
      <c r="V218" s="45"/>
      <c r="W218" s="45"/>
      <c r="X218" s="45"/>
      <c r="Y218" s="45"/>
      <c r="Z218" s="45"/>
      <c r="AA218" s="45"/>
      <c r="AB218" s="45"/>
      <c r="AC218" s="144"/>
      <c r="AD218" s="144"/>
      <c r="AE218" s="45"/>
      <c r="AF218" s="45"/>
      <c r="AG218" s="144"/>
      <c r="AH218" s="144"/>
      <c r="AI218" s="144"/>
      <c r="AJ218" s="22"/>
      <c r="AK218" s="22"/>
      <c r="AL218" s="144"/>
      <c r="AM218" s="22"/>
      <c r="AN218" s="22"/>
      <c r="AO218" s="144"/>
      <c r="AP218" s="22"/>
      <c r="AQ218" s="22"/>
      <c r="AR218" s="144"/>
      <c r="AS218" s="22"/>
      <c r="AT218" s="22"/>
      <c r="AU218" s="144"/>
      <c r="AV218" s="22"/>
      <c r="AW218" s="22"/>
      <c r="AX218" s="144"/>
      <c r="AY218" s="144"/>
      <c r="AZ218" s="22"/>
      <c r="BA218" s="144"/>
      <c r="BB218" s="144"/>
      <c r="BC218" s="144"/>
      <c r="BD218" s="144"/>
      <c r="BE218" s="144"/>
      <c r="BF218" s="22"/>
      <c r="BG218" s="144"/>
      <c r="BH218" s="144"/>
      <c r="BI218" s="22"/>
      <c r="BJ218" s="144"/>
      <c r="BK218" s="22"/>
      <c r="BL218" s="144"/>
      <c r="BM218" s="144"/>
      <c r="BN218" s="22"/>
      <c r="BO218" s="144"/>
      <c r="BP218" s="144"/>
      <c r="BQ218" s="22"/>
      <c r="BR218" s="22"/>
      <c r="BS218" s="144"/>
      <c r="BT218" s="22"/>
      <c r="BU218" s="22"/>
      <c r="BV218" s="144"/>
      <c r="BW218" s="22"/>
      <c r="BX218" s="22"/>
      <c r="BY218" s="144"/>
      <c r="BZ218" s="22"/>
      <c r="CA218" s="22"/>
      <c r="CB218" s="144"/>
      <c r="CC218" s="22"/>
      <c r="CD218" s="22"/>
      <c r="CE218" s="144"/>
      <c r="CF218" s="22"/>
      <c r="CG218" s="22"/>
      <c r="CH218" s="144"/>
      <c r="CI218" s="22"/>
      <c r="CJ218" s="22"/>
      <c r="CK218" s="144"/>
    </row>
    <row r="219" spans="1:89" ht="15.75" customHeight="1" x14ac:dyDescent="0.45">
      <c r="A219" s="22"/>
      <c r="B219" s="22"/>
      <c r="C219" s="12"/>
      <c r="D219" s="12"/>
      <c r="E219" s="155"/>
      <c r="F219" s="144"/>
      <c r="G219" s="12"/>
      <c r="H219" s="22"/>
      <c r="I219" s="22"/>
      <c r="J219" s="22"/>
      <c r="K219" s="145"/>
      <c r="L219" s="144"/>
      <c r="M219" s="144"/>
      <c r="N219" s="152"/>
      <c r="O219" s="22"/>
      <c r="P219" s="152"/>
      <c r="Q219" s="22"/>
      <c r="R219" s="74"/>
      <c r="S219" s="45"/>
      <c r="T219" s="158"/>
      <c r="U219" s="45"/>
      <c r="V219" s="45"/>
      <c r="W219" s="45"/>
      <c r="X219" s="45"/>
      <c r="Y219" s="45"/>
      <c r="Z219" s="45"/>
      <c r="AA219" s="45"/>
      <c r="AB219" s="45"/>
      <c r="AC219" s="144"/>
      <c r="AD219" s="144"/>
      <c r="AE219" s="45"/>
      <c r="AF219" s="45"/>
      <c r="AG219" s="144"/>
      <c r="AH219" s="144"/>
      <c r="AI219" s="144"/>
      <c r="AJ219" s="22"/>
      <c r="AK219" s="22"/>
      <c r="AL219" s="144"/>
      <c r="AM219" s="22"/>
      <c r="AN219" s="22"/>
      <c r="AO219" s="144"/>
      <c r="AP219" s="22"/>
      <c r="AQ219" s="22"/>
      <c r="AR219" s="144"/>
      <c r="AS219" s="22"/>
      <c r="AT219" s="22"/>
      <c r="AU219" s="144"/>
      <c r="AV219" s="22"/>
      <c r="AW219" s="22"/>
      <c r="AX219" s="144"/>
      <c r="AY219" s="144"/>
      <c r="AZ219" s="22"/>
      <c r="BA219" s="144"/>
      <c r="BB219" s="144"/>
      <c r="BC219" s="144"/>
      <c r="BD219" s="144"/>
      <c r="BE219" s="144"/>
      <c r="BF219" s="22"/>
      <c r="BG219" s="144"/>
      <c r="BH219" s="144"/>
      <c r="BI219" s="22"/>
      <c r="BJ219" s="144"/>
      <c r="BK219" s="22"/>
      <c r="BL219" s="144"/>
      <c r="BM219" s="144"/>
      <c r="BN219" s="22"/>
      <c r="BO219" s="144"/>
      <c r="BP219" s="144"/>
      <c r="BQ219" s="22"/>
      <c r="BR219" s="22"/>
      <c r="BS219" s="144"/>
      <c r="BT219" s="22"/>
      <c r="BU219" s="22"/>
      <c r="BV219" s="144"/>
      <c r="BW219" s="22"/>
      <c r="BX219" s="22"/>
      <c r="BY219" s="144"/>
      <c r="BZ219" s="22"/>
      <c r="CA219" s="22"/>
      <c r="CB219" s="144"/>
      <c r="CC219" s="22"/>
      <c r="CD219" s="22"/>
      <c r="CE219" s="144"/>
      <c r="CF219" s="22"/>
      <c r="CG219" s="22"/>
      <c r="CH219" s="144"/>
      <c r="CI219" s="22"/>
      <c r="CJ219" s="22"/>
      <c r="CK219" s="144"/>
    </row>
    <row r="220" spans="1:89" ht="15.75" customHeight="1" x14ac:dyDescent="0.45">
      <c r="A220" s="22"/>
      <c r="B220" s="22"/>
      <c r="C220" s="12"/>
      <c r="D220" s="12"/>
      <c r="E220" s="155"/>
      <c r="F220" s="144"/>
      <c r="G220" s="12"/>
      <c r="H220" s="22"/>
      <c r="I220" s="22"/>
      <c r="J220" s="22"/>
      <c r="K220" s="145"/>
      <c r="L220" s="144"/>
      <c r="M220" s="144"/>
      <c r="N220" s="152"/>
      <c r="O220" s="22"/>
      <c r="P220" s="152"/>
      <c r="Q220" s="22"/>
      <c r="R220" s="74"/>
      <c r="S220" s="45"/>
      <c r="T220" s="158"/>
      <c r="U220" s="45"/>
      <c r="V220" s="45"/>
      <c r="W220" s="45"/>
      <c r="X220" s="45"/>
      <c r="Y220" s="45"/>
      <c r="Z220" s="45"/>
      <c r="AA220" s="45"/>
      <c r="AB220" s="45"/>
      <c r="AC220" s="144"/>
      <c r="AD220" s="144"/>
      <c r="AE220" s="45"/>
      <c r="AF220" s="45"/>
      <c r="AG220" s="144"/>
      <c r="AH220" s="144"/>
      <c r="AI220" s="144"/>
      <c r="AJ220" s="22"/>
      <c r="AK220" s="22"/>
      <c r="AL220" s="144"/>
      <c r="AM220" s="22"/>
      <c r="AN220" s="22"/>
      <c r="AO220" s="144"/>
      <c r="AP220" s="22"/>
      <c r="AQ220" s="22"/>
      <c r="AR220" s="144"/>
      <c r="AS220" s="22"/>
      <c r="AT220" s="22"/>
      <c r="AU220" s="144"/>
      <c r="AV220" s="22"/>
      <c r="AW220" s="22"/>
      <c r="AX220" s="144"/>
      <c r="AY220" s="144"/>
      <c r="AZ220" s="22"/>
      <c r="BA220" s="144"/>
      <c r="BB220" s="144"/>
      <c r="BC220" s="144"/>
      <c r="BD220" s="144"/>
      <c r="BE220" s="144"/>
      <c r="BF220" s="22"/>
      <c r="BG220" s="144"/>
      <c r="BH220" s="144"/>
      <c r="BI220" s="22"/>
      <c r="BJ220" s="144"/>
      <c r="BK220" s="22"/>
      <c r="BL220" s="144"/>
      <c r="BM220" s="144"/>
      <c r="BN220" s="22"/>
      <c r="BO220" s="144"/>
      <c r="BP220" s="144"/>
      <c r="BQ220" s="22"/>
      <c r="BR220" s="22"/>
      <c r="BS220" s="144"/>
      <c r="BT220" s="22"/>
      <c r="BU220" s="22"/>
      <c r="BV220" s="144"/>
      <c r="BW220" s="22"/>
      <c r="BX220" s="22"/>
      <c r="BY220" s="144"/>
      <c r="BZ220" s="22"/>
      <c r="CA220" s="22"/>
      <c r="CB220" s="144"/>
      <c r="CC220" s="22"/>
      <c r="CD220" s="22"/>
      <c r="CE220" s="144"/>
      <c r="CF220" s="22"/>
      <c r="CG220" s="22"/>
      <c r="CH220" s="144"/>
      <c r="CI220" s="22"/>
      <c r="CJ220" s="22"/>
      <c r="CK220" s="144"/>
    </row>
    <row r="221" spans="1:89" ht="15.75" customHeight="1" x14ac:dyDescent="0.45">
      <c r="A221" s="22"/>
      <c r="B221" s="22"/>
      <c r="C221" s="12"/>
      <c r="D221" s="12"/>
      <c r="E221" s="155"/>
      <c r="F221" s="144"/>
      <c r="G221" s="12"/>
      <c r="H221" s="22"/>
      <c r="I221" s="22"/>
      <c r="J221" s="22"/>
      <c r="K221" s="145"/>
      <c r="L221" s="144"/>
      <c r="M221" s="144"/>
      <c r="N221" s="152"/>
      <c r="O221" s="22"/>
      <c r="P221" s="152"/>
      <c r="Q221" s="22"/>
      <c r="R221" s="74"/>
      <c r="S221" s="45"/>
      <c r="T221" s="158"/>
      <c r="U221" s="45"/>
      <c r="V221" s="45"/>
      <c r="W221" s="45"/>
      <c r="X221" s="45"/>
      <c r="Y221" s="45"/>
      <c r="Z221" s="45"/>
      <c r="AA221" s="45"/>
      <c r="AB221" s="45"/>
      <c r="AC221" s="144"/>
      <c r="AD221" s="144"/>
      <c r="AE221" s="45"/>
      <c r="AF221" s="45"/>
      <c r="AG221" s="144"/>
      <c r="AH221" s="144"/>
      <c r="AI221" s="144"/>
      <c r="AJ221" s="22"/>
      <c r="AK221" s="22"/>
      <c r="AL221" s="144"/>
      <c r="AM221" s="22"/>
      <c r="AN221" s="22"/>
      <c r="AO221" s="144"/>
      <c r="AP221" s="22"/>
      <c r="AQ221" s="22"/>
      <c r="AR221" s="144"/>
      <c r="AS221" s="22"/>
      <c r="AT221" s="22"/>
      <c r="AU221" s="144"/>
      <c r="AV221" s="22"/>
      <c r="AW221" s="22"/>
      <c r="AX221" s="144"/>
      <c r="AY221" s="144"/>
      <c r="AZ221" s="22"/>
      <c r="BA221" s="144"/>
      <c r="BB221" s="144"/>
      <c r="BC221" s="144"/>
      <c r="BD221" s="144"/>
      <c r="BE221" s="144"/>
      <c r="BF221" s="22"/>
      <c r="BG221" s="144"/>
      <c r="BH221" s="144"/>
      <c r="BI221" s="22"/>
      <c r="BJ221" s="144"/>
      <c r="BK221" s="22"/>
      <c r="BL221" s="144"/>
      <c r="BM221" s="144"/>
      <c r="BN221" s="22"/>
      <c r="BO221" s="144"/>
      <c r="BP221" s="144"/>
      <c r="BQ221" s="22"/>
      <c r="BR221" s="22"/>
      <c r="BS221" s="144"/>
      <c r="BT221" s="22"/>
      <c r="BU221" s="22"/>
      <c r="BV221" s="144"/>
      <c r="BW221" s="22"/>
      <c r="BX221" s="22"/>
      <c r="BY221" s="144"/>
      <c r="BZ221" s="22"/>
      <c r="CA221" s="22"/>
      <c r="CB221" s="144"/>
      <c r="CC221" s="22"/>
      <c r="CD221" s="22"/>
      <c r="CE221" s="144"/>
      <c r="CF221" s="22"/>
      <c r="CG221" s="22"/>
      <c r="CH221" s="144"/>
      <c r="CI221" s="22"/>
      <c r="CJ221" s="22"/>
      <c r="CK221" s="144"/>
    </row>
    <row r="222" spans="1:89" ht="15.75" customHeight="1" x14ac:dyDescent="0.45">
      <c r="A222" s="22"/>
      <c r="B222" s="22"/>
      <c r="C222" s="12"/>
      <c r="D222" s="12"/>
      <c r="E222" s="155"/>
      <c r="F222" s="144"/>
      <c r="G222" s="12"/>
      <c r="H222" s="22"/>
      <c r="I222" s="22"/>
      <c r="J222" s="22"/>
      <c r="K222" s="145"/>
      <c r="L222" s="144"/>
      <c r="M222" s="144"/>
      <c r="N222" s="152"/>
      <c r="O222" s="22"/>
      <c r="P222" s="152"/>
      <c r="Q222" s="22"/>
      <c r="R222" s="74"/>
      <c r="S222" s="45"/>
      <c r="T222" s="158"/>
      <c r="U222" s="45"/>
      <c r="V222" s="45"/>
      <c r="W222" s="45"/>
      <c r="X222" s="45"/>
      <c r="Y222" s="45"/>
      <c r="Z222" s="45"/>
      <c r="AA222" s="45"/>
      <c r="AB222" s="45"/>
      <c r="AC222" s="144"/>
      <c r="AD222" s="144"/>
      <c r="AE222" s="45"/>
      <c r="AF222" s="45"/>
      <c r="AG222" s="144"/>
      <c r="AH222" s="144"/>
      <c r="AI222" s="144"/>
      <c r="AJ222" s="22"/>
      <c r="AK222" s="22"/>
      <c r="AL222" s="144"/>
      <c r="AM222" s="22"/>
      <c r="AN222" s="22"/>
      <c r="AO222" s="144"/>
      <c r="AP222" s="22"/>
      <c r="AQ222" s="22"/>
      <c r="AR222" s="144"/>
      <c r="AS222" s="22"/>
      <c r="AT222" s="22"/>
      <c r="AU222" s="144"/>
      <c r="AV222" s="22"/>
      <c r="AW222" s="22"/>
      <c r="AX222" s="144"/>
      <c r="AY222" s="144"/>
      <c r="AZ222" s="22"/>
      <c r="BA222" s="144"/>
      <c r="BB222" s="144"/>
      <c r="BC222" s="144"/>
      <c r="BD222" s="144"/>
      <c r="BE222" s="144"/>
      <c r="BF222" s="22"/>
      <c r="BG222" s="144"/>
      <c r="BH222" s="144"/>
      <c r="BI222" s="22"/>
      <c r="BJ222" s="144"/>
      <c r="BK222" s="22"/>
      <c r="BL222" s="144"/>
      <c r="BM222" s="144"/>
      <c r="BN222" s="22"/>
      <c r="BO222" s="144"/>
      <c r="BP222" s="144"/>
      <c r="BQ222" s="22"/>
      <c r="BR222" s="22"/>
      <c r="BS222" s="144"/>
      <c r="BT222" s="22"/>
      <c r="BU222" s="22"/>
      <c r="BV222" s="144"/>
      <c r="BW222" s="22"/>
      <c r="BX222" s="22"/>
      <c r="BY222" s="144"/>
      <c r="BZ222" s="22"/>
      <c r="CA222" s="22"/>
      <c r="CB222" s="144"/>
      <c r="CC222" s="22"/>
      <c r="CD222" s="22"/>
      <c r="CE222" s="144"/>
      <c r="CF222" s="22"/>
      <c r="CG222" s="22"/>
      <c r="CH222" s="144"/>
      <c r="CI222" s="22"/>
      <c r="CJ222" s="22"/>
      <c r="CK222" s="144"/>
    </row>
    <row r="223" spans="1:89" ht="15.75" customHeight="1" x14ac:dyDescent="0.45">
      <c r="A223" s="22"/>
      <c r="B223" s="22"/>
      <c r="C223" s="12"/>
      <c r="D223" s="12"/>
      <c r="E223" s="155"/>
      <c r="F223" s="144"/>
      <c r="G223" s="12"/>
      <c r="H223" s="22"/>
      <c r="I223" s="22"/>
      <c r="J223" s="22"/>
      <c r="K223" s="145"/>
      <c r="L223" s="144"/>
      <c r="M223" s="144"/>
      <c r="N223" s="152"/>
      <c r="O223" s="22"/>
      <c r="P223" s="152"/>
      <c r="Q223" s="22"/>
      <c r="R223" s="74"/>
      <c r="S223" s="45"/>
      <c r="T223" s="158"/>
      <c r="U223" s="45"/>
      <c r="V223" s="45"/>
      <c r="W223" s="45"/>
      <c r="X223" s="45"/>
      <c r="Y223" s="45"/>
      <c r="Z223" s="45"/>
      <c r="AA223" s="45"/>
      <c r="AB223" s="45"/>
      <c r="AC223" s="144"/>
      <c r="AD223" s="144"/>
      <c r="AE223" s="45"/>
      <c r="AF223" s="45"/>
      <c r="AG223" s="144"/>
      <c r="AH223" s="144"/>
      <c r="AI223" s="144"/>
      <c r="AJ223" s="22"/>
      <c r="AK223" s="22"/>
      <c r="AL223" s="144"/>
      <c r="AM223" s="22"/>
      <c r="AN223" s="22"/>
      <c r="AO223" s="144"/>
      <c r="AP223" s="22"/>
      <c r="AQ223" s="22"/>
      <c r="AR223" s="144"/>
      <c r="AS223" s="22"/>
      <c r="AT223" s="22"/>
      <c r="AU223" s="144"/>
      <c r="AV223" s="22"/>
      <c r="AW223" s="22"/>
      <c r="AX223" s="144"/>
      <c r="AY223" s="144"/>
      <c r="AZ223" s="22"/>
      <c r="BA223" s="144"/>
      <c r="BB223" s="144"/>
      <c r="BC223" s="144"/>
      <c r="BD223" s="144"/>
      <c r="BE223" s="144"/>
      <c r="BF223" s="22"/>
      <c r="BG223" s="144"/>
      <c r="BH223" s="144"/>
      <c r="BI223" s="22"/>
      <c r="BJ223" s="144"/>
      <c r="BK223" s="22"/>
      <c r="BL223" s="144"/>
      <c r="BM223" s="144"/>
      <c r="BN223" s="22"/>
      <c r="BO223" s="144"/>
      <c r="BP223" s="144"/>
      <c r="BQ223" s="22"/>
      <c r="BR223" s="22"/>
      <c r="BS223" s="144"/>
      <c r="BT223" s="22"/>
      <c r="BU223" s="22"/>
      <c r="BV223" s="144"/>
      <c r="BW223" s="22"/>
      <c r="BX223" s="22"/>
      <c r="BY223" s="144"/>
      <c r="BZ223" s="22"/>
      <c r="CA223" s="22"/>
      <c r="CB223" s="144"/>
      <c r="CC223" s="22"/>
      <c r="CD223" s="22"/>
      <c r="CE223" s="144"/>
      <c r="CF223" s="22"/>
      <c r="CG223" s="22"/>
      <c r="CH223" s="144"/>
      <c r="CI223" s="22"/>
      <c r="CJ223" s="22"/>
      <c r="CK223" s="144"/>
    </row>
    <row r="224" spans="1:89" ht="15.75" customHeight="1" x14ac:dyDescent="0.45">
      <c r="A224" s="22"/>
      <c r="B224" s="22"/>
      <c r="C224" s="12"/>
      <c r="D224" s="12"/>
      <c r="E224" s="155"/>
      <c r="F224" s="144"/>
      <c r="G224" s="12"/>
      <c r="H224" s="22"/>
      <c r="I224" s="22"/>
      <c r="J224" s="22"/>
      <c r="K224" s="145"/>
      <c r="L224" s="144"/>
      <c r="M224" s="144"/>
      <c r="N224" s="152"/>
      <c r="O224" s="22"/>
      <c r="P224" s="152"/>
      <c r="Q224" s="22"/>
      <c r="R224" s="74"/>
      <c r="S224" s="45"/>
      <c r="T224" s="158"/>
      <c r="U224" s="45"/>
      <c r="V224" s="45"/>
      <c r="W224" s="45"/>
      <c r="X224" s="45"/>
      <c r="Y224" s="45"/>
      <c r="Z224" s="45"/>
      <c r="AA224" s="45"/>
      <c r="AB224" s="45"/>
      <c r="AC224" s="144"/>
      <c r="AD224" s="144"/>
      <c r="AE224" s="45"/>
      <c r="AF224" s="45"/>
      <c r="AG224" s="144"/>
      <c r="AH224" s="144"/>
      <c r="AI224" s="144"/>
      <c r="AJ224" s="22"/>
      <c r="AK224" s="22"/>
      <c r="AL224" s="144"/>
      <c r="AM224" s="22"/>
      <c r="AN224" s="22"/>
      <c r="AO224" s="144"/>
      <c r="AP224" s="22"/>
      <c r="AQ224" s="22"/>
      <c r="AR224" s="144"/>
      <c r="AS224" s="22"/>
      <c r="AT224" s="22"/>
      <c r="AU224" s="144"/>
      <c r="AV224" s="22"/>
      <c r="AW224" s="22"/>
      <c r="AX224" s="144"/>
      <c r="AY224" s="144"/>
      <c r="AZ224" s="22"/>
      <c r="BA224" s="144"/>
      <c r="BB224" s="144"/>
      <c r="BC224" s="144"/>
      <c r="BD224" s="144"/>
      <c r="BE224" s="144"/>
      <c r="BF224" s="22"/>
      <c r="BG224" s="144"/>
      <c r="BH224" s="144"/>
      <c r="BI224" s="22"/>
      <c r="BJ224" s="144"/>
      <c r="BK224" s="22"/>
      <c r="BL224" s="144"/>
      <c r="BM224" s="144"/>
      <c r="BN224" s="22"/>
      <c r="BO224" s="144"/>
      <c r="BP224" s="144"/>
      <c r="BQ224" s="22"/>
      <c r="BR224" s="22"/>
      <c r="BS224" s="144"/>
      <c r="BT224" s="22"/>
      <c r="BU224" s="22"/>
      <c r="BV224" s="144"/>
      <c r="BW224" s="22"/>
      <c r="BX224" s="22"/>
      <c r="BY224" s="144"/>
      <c r="BZ224" s="22"/>
      <c r="CA224" s="22"/>
      <c r="CB224" s="144"/>
      <c r="CC224" s="22"/>
      <c r="CD224" s="22"/>
      <c r="CE224" s="144"/>
      <c r="CF224" s="22"/>
      <c r="CG224" s="22"/>
      <c r="CH224" s="144"/>
      <c r="CI224" s="22"/>
      <c r="CJ224" s="22"/>
      <c r="CK224" s="144"/>
    </row>
    <row r="225" spans="1:89" ht="15.75" customHeight="1" x14ac:dyDescent="0.45">
      <c r="A225" s="22"/>
      <c r="B225" s="22"/>
      <c r="C225" s="12"/>
      <c r="D225" s="12"/>
      <c r="E225" s="155"/>
      <c r="F225" s="144"/>
      <c r="G225" s="12"/>
      <c r="H225" s="22"/>
      <c r="I225" s="22"/>
      <c r="J225" s="22"/>
      <c r="K225" s="145"/>
      <c r="L225" s="144"/>
      <c r="M225" s="144"/>
      <c r="N225" s="152"/>
      <c r="O225" s="22"/>
      <c r="P225" s="152"/>
      <c r="Q225" s="22"/>
      <c r="R225" s="74"/>
      <c r="S225" s="45"/>
      <c r="T225" s="158"/>
      <c r="U225" s="45"/>
      <c r="V225" s="45"/>
      <c r="W225" s="45"/>
      <c r="X225" s="45"/>
      <c r="Y225" s="45"/>
      <c r="Z225" s="45"/>
      <c r="AA225" s="45"/>
      <c r="AB225" s="45"/>
      <c r="AC225" s="144"/>
      <c r="AD225" s="144"/>
      <c r="AE225" s="45"/>
      <c r="AF225" s="45"/>
      <c r="AG225" s="144"/>
      <c r="AH225" s="144"/>
      <c r="AI225" s="144"/>
      <c r="AJ225" s="22"/>
      <c r="AK225" s="22"/>
      <c r="AL225" s="144"/>
      <c r="AM225" s="22"/>
      <c r="AN225" s="22"/>
      <c r="AO225" s="144"/>
      <c r="AP225" s="22"/>
      <c r="AQ225" s="22"/>
      <c r="AR225" s="144"/>
      <c r="AS225" s="22"/>
      <c r="AT225" s="22"/>
      <c r="AU225" s="144"/>
      <c r="AV225" s="22"/>
      <c r="AW225" s="22"/>
      <c r="AX225" s="144"/>
      <c r="AY225" s="144"/>
      <c r="AZ225" s="22"/>
      <c r="BA225" s="144"/>
      <c r="BB225" s="144"/>
      <c r="BC225" s="144"/>
      <c r="BD225" s="144"/>
      <c r="BE225" s="144"/>
      <c r="BF225" s="22"/>
      <c r="BG225" s="144"/>
      <c r="BH225" s="144"/>
      <c r="BI225" s="22"/>
      <c r="BJ225" s="144"/>
      <c r="BK225" s="22"/>
      <c r="BL225" s="144"/>
      <c r="BM225" s="144"/>
      <c r="BN225" s="22"/>
      <c r="BO225" s="144"/>
      <c r="BP225" s="144"/>
      <c r="BQ225" s="22"/>
      <c r="BR225" s="22"/>
      <c r="BS225" s="144"/>
      <c r="BT225" s="22"/>
      <c r="BU225" s="22"/>
      <c r="BV225" s="144"/>
      <c r="BW225" s="22"/>
      <c r="BX225" s="22"/>
      <c r="BY225" s="144"/>
      <c r="BZ225" s="22"/>
      <c r="CA225" s="22"/>
      <c r="CB225" s="144"/>
      <c r="CC225" s="22"/>
      <c r="CD225" s="22"/>
      <c r="CE225" s="144"/>
      <c r="CF225" s="22"/>
      <c r="CG225" s="22"/>
      <c r="CH225" s="144"/>
      <c r="CI225" s="22"/>
      <c r="CJ225" s="22"/>
      <c r="CK225" s="144"/>
    </row>
    <row r="226" spans="1:89" ht="15.75" customHeight="1" x14ac:dyDescent="0.45">
      <c r="A226" s="22"/>
      <c r="B226" s="22"/>
      <c r="C226" s="12"/>
      <c r="D226" s="12"/>
      <c r="E226" s="155"/>
      <c r="F226" s="144"/>
      <c r="G226" s="12"/>
      <c r="H226" s="22"/>
      <c r="I226" s="22"/>
      <c r="J226" s="22"/>
      <c r="K226" s="145"/>
      <c r="L226" s="144"/>
      <c r="M226" s="144"/>
      <c r="N226" s="152"/>
      <c r="O226" s="22"/>
      <c r="P226" s="152"/>
      <c r="Q226" s="22"/>
      <c r="R226" s="74"/>
      <c r="S226" s="45"/>
      <c r="T226" s="158"/>
      <c r="U226" s="45"/>
      <c r="V226" s="45"/>
      <c r="W226" s="45"/>
      <c r="X226" s="45"/>
      <c r="Y226" s="45"/>
      <c r="Z226" s="45"/>
      <c r="AA226" s="45"/>
      <c r="AB226" s="45"/>
      <c r="AC226" s="144"/>
      <c r="AD226" s="144"/>
      <c r="AE226" s="45"/>
      <c r="AF226" s="45"/>
      <c r="AG226" s="144"/>
      <c r="AH226" s="144"/>
      <c r="AI226" s="144"/>
      <c r="AJ226" s="22"/>
      <c r="AK226" s="22"/>
      <c r="AL226" s="144"/>
      <c r="AM226" s="22"/>
      <c r="AN226" s="22"/>
      <c r="AO226" s="144"/>
      <c r="AP226" s="22"/>
      <c r="AQ226" s="22"/>
      <c r="AR226" s="144"/>
      <c r="AS226" s="22"/>
      <c r="AT226" s="22"/>
      <c r="AU226" s="144"/>
      <c r="AV226" s="22"/>
      <c r="AW226" s="22"/>
      <c r="AX226" s="144"/>
      <c r="AY226" s="144"/>
      <c r="AZ226" s="22"/>
      <c r="BA226" s="144"/>
      <c r="BB226" s="144"/>
      <c r="BC226" s="144"/>
      <c r="BD226" s="144"/>
      <c r="BE226" s="144"/>
      <c r="BF226" s="22"/>
      <c r="BG226" s="144"/>
      <c r="BH226" s="144"/>
      <c r="BI226" s="22"/>
      <c r="BJ226" s="144"/>
      <c r="BK226" s="22"/>
      <c r="BL226" s="144"/>
      <c r="BM226" s="144"/>
      <c r="BN226" s="22"/>
      <c r="BO226" s="144"/>
      <c r="BP226" s="144"/>
      <c r="BQ226" s="22"/>
      <c r="BR226" s="22"/>
      <c r="BS226" s="144"/>
      <c r="BT226" s="22"/>
      <c r="BU226" s="22"/>
      <c r="BV226" s="144"/>
      <c r="BW226" s="22"/>
      <c r="BX226" s="22"/>
      <c r="BY226" s="144"/>
      <c r="BZ226" s="22"/>
      <c r="CA226" s="22"/>
      <c r="CB226" s="144"/>
      <c r="CC226" s="22"/>
      <c r="CD226" s="22"/>
      <c r="CE226" s="144"/>
      <c r="CF226" s="22"/>
      <c r="CG226" s="22"/>
      <c r="CH226" s="144"/>
      <c r="CI226" s="22"/>
      <c r="CJ226" s="22"/>
      <c r="CK226" s="144"/>
    </row>
    <row r="227" spans="1:89" ht="15.75" customHeight="1" x14ac:dyDescent="0.45">
      <c r="A227" s="22"/>
      <c r="B227" s="22"/>
      <c r="C227" s="12"/>
      <c r="D227" s="12"/>
      <c r="E227" s="155"/>
      <c r="F227" s="144"/>
      <c r="G227" s="12"/>
      <c r="H227" s="22"/>
      <c r="I227" s="22"/>
      <c r="J227" s="22"/>
      <c r="K227" s="145"/>
      <c r="L227" s="144"/>
      <c r="M227" s="144"/>
      <c r="N227" s="152"/>
      <c r="O227" s="22"/>
      <c r="P227" s="152"/>
      <c r="Q227" s="22"/>
      <c r="R227" s="74"/>
      <c r="S227" s="45"/>
      <c r="T227" s="158"/>
      <c r="U227" s="45"/>
      <c r="V227" s="45"/>
      <c r="W227" s="45"/>
      <c r="X227" s="45"/>
      <c r="Y227" s="45"/>
      <c r="Z227" s="45"/>
      <c r="AA227" s="45"/>
      <c r="AB227" s="45"/>
      <c r="AC227" s="144"/>
      <c r="AD227" s="144"/>
      <c r="AE227" s="45"/>
      <c r="AF227" s="45"/>
      <c r="AG227" s="144"/>
      <c r="AH227" s="144"/>
      <c r="AI227" s="144"/>
      <c r="AJ227" s="22"/>
      <c r="AK227" s="22"/>
      <c r="AL227" s="144"/>
      <c r="AM227" s="22"/>
      <c r="AN227" s="22"/>
      <c r="AO227" s="144"/>
      <c r="AP227" s="22"/>
      <c r="AQ227" s="22"/>
      <c r="AR227" s="144"/>
      <c r="AS227" s="22"/>
      <c r="AT227" s="22"/>
      <c r="AU227" s="144"/>
      <c r="AV227" s="22"/>
      <c r="AW227" s="22"/>
      <c r="AX227" s="144"/>
      <c r="AY227" s="144"/>
      <c r="AZ227" s="22"/>
      <c r="BA227" s="144"/>
      <c r="BB227" s="144"/>
      <c r="BC227" s="144"/>
      <c r="BD227" s="144"/>
      <c r="BE227" s="144"/>
      <c r="BF227" s="22"/>
      <c r="BG227" s="144"/>
      <c r="BH227" s="144"/>
      <c r="BI227" s="22"/>
      <c r="BJ227" s="144"/>
      <c r="BK227" s="22"/>
      <c r="BL227" s="144"/>
      <c r="BM227" s="144"/>
      <c r="BN227" s="22"/>
      <c r="BO227" s="144"/>
      <c r="BP227" s="144"/>
      <c r="BQ227" s="22"/>
      <c r="BR227" s="22"/>
      <c r="BS227" s="144"/>
      <c r="BT227" s="22"/>
      <c r="BU227" s="22"/>
      <c r="BV227" s="144"/>
      <c r="BW227" s="22"/>
      <c r="BX227" s="22"/>
      <c r="BY227" s="144"/>
      <c r="BZ227" s="22"/>
      <c r="CA227" s="22"/>
      <c r="CB227" s="144"/>
      <c r="CC227" s="22"/>
      <c r="CD227" s="22"/>
      <c r="CE227" s="144"/>
      <c r="CF227" s="22"/>
      <c r="CG227" s="22"/>
      <c r="CH227" s="144"/>
      <c r="CI227" s="22"/>
      <c r="CJ227" s="22"/>
      <c r="CK227" s="144"/>
    </row>
    <row r="228" spans="1:89" ht="15.75" customHeight="1" x14ac:dyDescent="0.45">
      <c r="A228" s="22"/>
      <c r="B228" s="22"/>
      <c r="C228" s="12"/>
      <c r="D228" s="12"/>
      <c r="E228" s="155"/>
      <c r="F228" s="144"/>
      <c r="G228" s="12"/>
      <c r="H228" s="22"/>
      <c r="I228" s="22"/>
      <c r="J228" s="22"/>
      <c r="K228" s="145"/>
      <c r="L228" s="144"/>
      <c r="M228" s="144"/>
      <c r="N228" s="152"/>
      <c r="O228" s="22"/>
      <c r="P228" s="152"/>
      <c r="Q228" s="22"/>
      <c r="R228" s="74"/>
      <c r="S228" s="45"/>
      <c r="T228" s="158"/>
      <c r="U228" s="45"/>
      <c r="V228" s="45"/>
      <c r="W228" s="45"/>
      <c r="X228" s="45"/>
      <c r="Y228" s="45"/>
      <c r="Z228" s="45"/>
      <c r="AA228" s="45"/>
      <c r="AB228" s="45"/>
      <c r="AC228" s="144"/>
      <c r="AD228" s="144"/>
      <c r="AE228" s="45"/>
      <c r="AF228" s="45"/>
      <c r="AG228" s="144"/>
      <c r="AH228" s="144"/>
      <c r="AI228" s="144"/>
      <c r="AJ228" s="22"/>
      <c r="AK228" s="22"/>
      <c r="AL228" s="144"/>
      <c r="AM228" s="22"/>
      <c r="AN228" s="22"/>
      <c r="AO228" s="144"/>
      <c r="AP228" s="22"/>
      <c r="AQ228" s="22"/>
      <c r="AR228" s="144"/>
      <c r="AS228" s="22"/>
      <c r="AT228" s="22"/>
      <c r="AU228" s="144"/>
      <c r="AV228" s="22"/>
      <c r="AW228" s="22"/>
      <c r="AX228" s="144"/>
      <c r="AY228" s="144"/>
      <c r="AZ228" s="22"/>
      <c r="BA228" s="144"/>
      <c r="BB228" s="144"/>
      <c r="BC228" s="144"/>
      <c r="BD228" s="144"/>
      <c r="BE228" s="144"/>
      <c r="BF228" s="22"/>
      <c r="BG228" s="144"/>
      <c r="BH228" s="144"/>
      <c r="BI228" s="22"/>
      <c r="BJ228" s="144"/>
      <c r="BK228" s="22"/>
      <c r="BL228" s="144"/>
      <c r="BM228" s="144"/>
      <c r="BN228" s="22"/>
      <c r="BO228" s="144"/>
      <c r="BP228" s="144"/>
      <c r="BQ228" s="22"/>
      <c r="BR228" s="22"/>
      <c r="BS228" s="144"/>
      <c r="BT228" s="22"/>
      <c r="BU228" s="22"/>
      <c r="BV228" s="144"/>
      <c r="BW228" s="22"/>
      <c r="BX228" s="22"/>
      <c r="BY228" s="144"/>
      <c r="BZ228" s="22"/>
      <c r="CA228" s="22"/>
      <c r="CB228" s="144"/>
      <c r="CC228" s="22"/>
      <c r="CD228" s="22"/>
      <c r="CE228" s="144"/>
      <c r="CF228" s="22"/>
      <c r="CG228" s="22"/>
      <c r="CH228" s="144"/>
      <c r="CI228" s="22"/>
      <c r="CJ228" s="22"/>
      <c r="CK228" s="144"/>
    </row>
    <row r="229" spans="1:89" ht="15.75" customHeight="1" x14ac:dyDescent="0.45">
      <c r="A229" s="22"/>
      <c r="B229" s="22"/>
      <c r="C229" s="12"/>
      <c r="D229" s="12"/>
      <c r="E229" s="155"/>
      <c r="F229" s="144"/>
      <c r="G229" s="12"/>
      <c r="H229" s="22"/>
      <c r="I229" s="22"/>
      <c r="J229" s="22"/>
      <c r="K229" s="145"/>
      <c r="L229" s="144"/>
      <c r="M229" s="144"/>
      <c r="N229" s="152"/>
      <c r="O229" s="22"/>
      <c r="P229" s="152"/>
      <c r="Q229" s="22"/>
      <c r="R229" s="74"/>
      <c r="S229" s="45"/>
      <c r="T229" s="158"/>
      <c r="U229" s="45"/>
      <c r="V229" s="45"/>
      <c r="W229" s="45"/>
      <c r="X229" s="45"/>
      <c r="Y229" s="45"/>
      <c r="Z229" s="45"/>
      <c r="AA229" s="45"/>
      <c r="AB229" s="45"/>
      <c r="AC229" s="144"/>
      <c r="AD229" s="144"/>
      <c r="AE229" s="45"/>
      <c r="AF229" s="45"/>
      <c r="AG229" s="144"/>
      <c r="AH229" s="144"/>
      <c r="AI229" s="144"/>
      <c r="AJ229" s="22"/>
      <c r="AK229" s="22"/>
      <c r="AL229" s="144"/>
      <c r="AM229" s="22"/>
      <c r="AN229" s="22"/>
      <c r="AO229" s="144"/>
      <c r="AP229" s="22"/>
      <c r="AQ229" s="22"/>
      <c r="AR229" s="144"/>
      <c r="AS229" s="22"/>
      <c r="AT229" s="22"/>
      <c r="AU229" s="144"/>
      <c r="AV229" s="22"/>
      <c r="AW229" s="22"/>
      <c r="AX229" s="144"/>
      <c r="AY229" s="144"/>
      <c r="AZ229" s="22"/>
      <c r="BA229" s="144"/>
      <c r="BB229" s="144"/>
      <c r="BC229" s="144"/>
      <c r="BD229" s="144"/>
      <c r="BE229" s="144"/>
      <c r="BF229" s="22"/>
      <c r="BG229" s="144"/>
      <c r="BH229" s="144"/>
      <c r="BI229" s="22"/>
      <c r="BJ229" s="144"/>
      <c r="BK229" s="22"/>
      <c r="BL229" s="144"/>
      <c r="BM229" s="144"/>
      <c r="BN229" s="22"/>
      <c r="BO229" s="144"/>
      <c r="BP229" s="144"/>
      <c r="BQ229" s="22"/>
      <c r="BR229" s="22"/>
      <c r="BS229" s="144"/>
      <c r="BT229" s="22"/>
      <c r="BU229" s="22"/>
      <c r="BV229" s="144"/>
      <c r="BW229" s="22"/>
      <c r="BX229" s="22"/>
      <c r="BY229" s="144"/>
      <c r="BZ229" s="22"/>
      <c r="CA229" s="22"/>
      <c r="CB229" s="144"/>
      <c r="CC229" s="22"/>
      <c r="CD229" s="22"/>
      <c r="CE229" s="144"/>
      <c r="CF229" s="22"/>
      <c r="CG229" s="22"/>
      <c r="CH229" s="144"/>
      <c r="CI229" s="22"/>
      <c r="CJ229" s="22"/>
      <c r="CK229" s="144"/>
    </row>
    <row r="230" spans="1:89" ht="15.75" customHeight="1" x14ac:dyDescent="0.45">
      <c r="A230" s="22"/>
      <c r="B230" s="22"/>
      <c r="C230" s="12"/>
      <c r="D230" s="12"/>
      <c r="E230" s="155"/>
      <c r="F230" s="144"/>
      <c r="G230" s="12"/>
      <c r="H230" s="22"/>
      <c r="I230" s="22"/>
      <c r="J230" s="22"/>
      <c r="K230" s="145"/>
      <c r="L230" s="144"/>
      <c r="M230" s="144"/>
      <c r="N230" s="152"/>
      <c r="O230" s="22"/>
      <c r="P230" s="152"/>
      <c r="Q230" s="22"/>
      <c r="R230" s="74"/>
      <c r="S230" s="45"/>
      <c r="T230" s="158"/>
      <c r="U230" s="45"/>
      <c r="V230" s="45"/>
      <c r="W230" s="45"/>
      <c r="X230" s="45"/>
      <c r="Y230" s="45"/>
      <c r="Z230" s="45"/>
      <c r="AA230" s="45"/>
      <c r="AB230" s="45"/>
      <c r="AC230" s="144"/>
      <c r="AD230" s="144"/>
      <c r="AE230" s="45"/>
      <c r="AF230" s="45"/>
      <c r="AG230" s="144"/>
      <c r="AH230" s="144"/>
      <c r="AI230" s="144"/>
      <c r="AJ230" s="22"/>
      <c r="AK230" s="22"/>
      <c r="AL230" s="144"/>
      <c r="AM230" s="22"/>
      <c r="AN230" s="22"/>
      <c r="AO230" s="144"/>
      <c r="AP230" s="22"/>
      <c r="AQ230" s="22"/>
      <c r="AR230" s="144"/>
      <c r="AS230" s="22"/>
      <c r="AT230" s="22"/>
      <c r="AU230" s="144"/>
      <c r="AV230" s="22"/>
      <c r="AW230" s="22"/>
      <c r="AX230" s="144"/>
      <c r="AY230" s="144"/>
      <c r="AZ230" s="22"/>
      <c r="BA230" s="144"/>
      <c r="BB230" s="144"/>
      <c r="BC230" s="144"/>
      <c r="BD230" s="144"/>
      <c r="BE230" s="144"/>
      <c r="BF230" s="22"/>
      <c r="BG230" s="144"/>
      <c r="BH230" s="144"/>
      <c r="BI230" s="22"/>
      <c r="BJ230" s="144"/>
      <c r="BK230" s="22"/>
      <c r="BL230" s="144"/>
      <c r="BM230" s="144"/>
      <c r="BN230" s="22"/>
      <c r="BO230" s="144"/>
      <c r="BP230" s="144"/>
      <c r="BQ230" s="22"/>
      <c r="BR230" s="22"/>
      <c r="BS230" s="144"/>
      <c r="BT230" s="22"/>
      <c r="BU230" s="22"/>
      <c r="BV230" s="144"/>
      <c r="BW230" s="22"/>
      <c r="BX230" s="22"/>
      <c r="BY230" s="144"/>
      <c r="BZ230" s="22"/>
      <c r="CA230" s="22"/>
      <c r="CB230" s="144"/>
      <c r="CC230" s="22"/>
      <c r="CD230" s="22"/>
      <c r="CE230" s="144"/>
      <c r="CF230" s="22"/>
      <c r="CG230" s="22"/>
      <c r="CH230" s="144"/>
      <c r="CI230" s="22"/>
      <c r="CJ230" s="22"/>
      <c r="CK230" s="144"/>
    </row>
    <row r="231" spans="1:89" ht="15.75" customHeight="1" x14ac:dyDescent="0.45">
      <c r="A231" s="22"/>
      <c r="B231" s="22"/>
      <c r="C231" s="12"/>
      <c r="D231" s="12"/>
      <c r="E231" s="155"/>
      <c r="F231" s="144"/>
      <c r="G231" s="12"/>
      <c r="H231" s="22"/>
      <c r="I231" s="22"/>
      <c r="J231" s="22"/>
      <c r="K231" s="145"/>
      <c r="L231" s="144"/>
      <c r="M231" s="144"/>
      <c r="N231" s="152"/>
      <c r="O231" s="22"/>
      <c r="P231" s="152"/>
      <c r="Q231" s="22"/>
      <c r="R231" s="74"/>
      <c r="S231" s="45"/>
      <c r="T231" s="158"/>
      <c r="U231" s="45"/>
      <c r="V231" s="45"/>
      <c r="W231" s="45"/>
      <c r="X231" s="45"/>
      <c r="Y231" s="45"/>
      <c r="Z231" s="45"/>
      <c r="AA231" s="45"/>
      <c r="AB231" s="45"/>
      <c r="AC231" s="144"/>
      <c r="AD231" s="144"/>
      <c r="AE231" s="45"/>
      <c r="AF231" s="45"/>
      <c r="AG231" s="144"/>
      <c r="AH231" s="144"/>
      <c r="AI231" s="144"/>
      <c r="AJ231" s="22"/>
      <c r="AK231" s="22"/>
      <c r="AL231" s="144"/>
      <c r="AM231" s="22"/>
      <c r="AN231" s="22"/>
      <c r="AO231" s="144"/>
      <c r="AP231" s="22"/>
      <c r="AQ231" s="22"/>
      <c r="AR231" s="144"/>
      <c r="AS231" s="22"/>
      <c r="AT231" s="22"/>
      <c r="AU231" s="144"/>
      <c r="AV231" s="22"/>
      <c r="AW231" s="22"/>
      <c r="AX231" s="144"/>
      <c r="AY231" s="144"/>
      <c r="AZ231" s="22"/>
      <c r="BA231" s="144"/>
      <c r="BB231" s="144"/>
      <c r="BC231" s="144"/>
      <c r="BD231" s="144"/>
      <c r="BE231" s="144"/>
      <c r="BF231" s="22"/>
      <c r="BG231" s="144"/>
      <c r="BH231" s="144"/>
      <c r="BI231" s="22"/>
      <c r="BJ231" s="144"/>
      <c r="BK231" s="22"/>
      <c r="BL231" s="144"/>
      <c r="BM231" s="144"/>
      <c r="BN231" s="22"/>
      <c r="BO231" s="144"/>
      <c r="BP231" s="144"/>
      <c r="BQ231" s="22"/>
      <c r="BR231" s="22"/>
      <c r="BS231" s="144"/>
      <c r="BT231" s="22"/>
      <c r="BU231" s="22"/>
      <c r="BV231" s="144"/>
      <c r="BW231" s="22"/>
      <c r="BX231" s="22"/>
      <c r="BY231" s="144"/>
      <c r="BZ231" s="22"/>
      <c r="CA231" s="22"/>
      <c r="CB231" s="144"/>
      <c r="CC231" s="22"/>
      <c r="CD231" s="22"/>
      <c r="CE231" s="144"/>
      <c r="CF231" s="22"/>
      <c r="CG231" s="22"/>
      <c r="CH231" s="144"/>
      <c r="CI231" s="22"/>
      <c r="CJ231" s="22"/>
      <c r="CK231" s="144"/>
    </row>
    <row r="232" spans="1:89" ht="15.75" customHeight="1" x14ac:dyDescent="0.45">
      <c r="A232" s="22"/>
      <c r="B232" s="22"/>
      <c r="C232" s="12"/>
      <c r="D232" s="12"/>
      <c r="E232" s="155"/>
      <c r="F232" s="144"/>
      <c r="G232" s="12"/>
      <c r="H232" s="22"/>
      <c r="I232" s="22"/>
      <c r="J232" s="22"/>
      <c r="K232" s="145"/>
      <c r="L232" s="144"/>
      <c r="M232" s="144"/>
      <c r="N232" s="152"/>
      <c r="O232" s="22"/>
      <c r="P232" s="152"/>
      <c r="Q232" s="22"/>
      <c r="R232" s="74"/>
      <c r="S232" s="45"/>
      <c r="T232" s="158"/>
      <c r="U232" s="45"/>
      <c r="V232" s="45"/>
      <c r="W232" s="45"/>
      <c r="X232" s="45"/>
      <c r="Y232" s="45"/>
      <c r="Z232" s="45"/>
      <c r="AA232" s="45"/>
      <c r="AB232" s="45"/>
      <c r="AC232" s="144"/>
      <c r="AD232" s="144"/>
      <c r="AE232" s="45"/>
      <c r="AF232" s="45"/>
      <c r="AG232" s="144"/>
      <c r="AH232" s="144"/>
      <c r="AI232" s="144"/>
      <c r="AJ232" s="22"/>
      <c r="AK232" s="22"/>
      <c r="AL232" s="144"/>
      <c r="AM232" s="22"/>
      <c r="AN232" s="22"/>
      <c r="AO232" s="144"/>
      <c r="AP232" s="22"/>
      <c r="AQ232" s="22"/>
      <c r="AR232" s="144"/>
      <c r="AS232" s="22"/>
      <c r="AT232" s="22"/>
      <c r="AU232" s="144"/>
      <c r="AV232" s="22"/>
      <c r="AW232" s="22"/>
      <c r="AX232" s="144"/>
      <c r="AY232" s="144"/>
      <c r="AZ232" s="22"/>
      <c r="BA232" s="144"/>
      <c r="BB232" s="144"/>
      <c r="BC232" s="144"/>
      <c r="BD232" s="144"/>
      <c r="BE232" s="144"/>
      <c r="BF232" s="22"/>
      <c r="BG232" s="144"/>
      <c r="BH232" s="144"/>
      <c r="BI232" s="22"/>
      <c r="BJ232" s="144"/>
      <c r="BK232" s="22"/>
      <c r="BL232" s="144"/>
      <c r="BM232" s="144"/>
      <c r="BN232" s="22"/>
      <c r="BO232" s="144"/>
      <c r="BP232" s="144"/>
      <c r="BQ232" s="22"/>
      <c r="BR232" s="22"/>
      <c r="BS232" s="144"/>
      <c r="BT232" s="22"/>
      <c r="BU232" s="22"/>
      <c r="BV232" s="144"/>
      <c r="BW232" s="22"/>
      <c r="BX232" s="22"/>
      <c r="BY232" s="144"/>
      <c r="BZ232" s="22"/>
      <c r="CA232" s="22"/>
      <c r="CB232" s="144"/>
      <c r="CC232" s="22"/>
      <c r="CD232" s="22"/>
      <c r="CE232" s="144"/>
      <c r="CF232" s="22"/>
      <c r="CG232" s="22"/>
      <c r="CH232" s="144"/>
      <c r="CI232" s="22"/>
      <c r="CJ232" s="22"/>
      <c r="CK232" s="144"/>
    </row>
    <row r="233" spans="1:89" ht="15.75" customHeight="1" x14ac:dyDescent="0.45">
      <c r="A233" s="22"/>
      <c r="B233" s="22"/>
      <c r="C233" s="12"/>
      <c r="D233" s="12"/>
      <c r="E233" s="155"/>
      <c r="F233" s="144"/>
      <c r="G233" s="12"/>
      <c r="H233" s="22"/>
      <c r="I233" s="22"/>
      <c r="J233" s="22"/>
      <c r="K233" s="145"/>
      <c r="L233" s="144"/>
      <c r="M233" s="144"/>
      <c r="N233" s="152"/>
      <c r="O233" s="22"/>
      <c r="P233" s="152"/>
      <c r="Q233" s="22"/>
      <c r="R233" s="74"/>
      <c r="S233" s="45"/>
      <c r="T233" s="158"/>
      <c r="U233" s="45"/>
      <c r="V233" s="45"/>
      <c r="W233" s="45"/>
      <c r="X233" s="45"/>
      <c r="Y233" s="45"/>
      <c r="Z233" s="45"/>
      <c r="AA233" s="45"/>
      <c r="AB233" s="45"/>
      <c r="AC233" s="144"/>
      <c r="AD233" s="144"/>
      <c r="AE233" s="45"/>
      <c r="AF233" s="45"/>
      <c r="AG233" s="144"/>
      <c r="AH233" s="144"/>
      <c r="AI233" s="144"/>
      <c r="AJ233" s="22"/>
      <c r="AK233" s="22"/>
      <c r="AL233" s="144"/>
      <c r="AM233" s="22"/>
      <c r="AN233" s="22"/>
      <c r="AO233" s="144"/>
      <c r="AP233" s="22"/>
      <c r="AQ233" s="22"/>
      <c r="AR233" s="144"/>
      <c r="AS233" s="22"/>
      <c r="AT233" s="22"/>
      <c r="AU233" s="144"/>
      <c r="AV233" s="22"/>
      <c r="AW233" s="22"/>
      <c r="AX233" s="144"/>
      <c r="AY233" s="144"/>
      <c r="AZ233" s="22"/>
      <c r="BA233" s="144"/>
      <c r="BB233" s="144"/>
      <c r="BC233" s="144"/>
      <c r="BD233" s="144"/>
      <c r="BE233" s="144"/>
      <c r="BF233" s="22"/>
      <c r="BG233" s="144"/>
      <c r="BH233" s="144"/>
      <c r="BI233" s="22"/>
      <c r="BJ233" s="144"/>
      <c r="BK233" s="22"/>
      <c r="BL233" s="144"/>
      <c r="BM233" s="144"/>
      <c r="BN233" s="22"/>
      <c r="BO233" s="144"/>
      <c r="BP233" s="144"/>
      <c r="BQ233" s="22"/>
      <c r="BR233" s="22"/>
      <c r="BS233" s="144"/>
      <c r="BT233" s="22"/>
      <c r="BU233" s="22"/>
      <c r="BV233" s="144"/>
      <c r="BW233" s="22"/>
      <c r="BX233" s="22"/>
      <c r="BY233" s="144"/>
      <c r="BZ233" s="22"/>
      <c r="CA233" s="22"/>
      <c r="CB233" s="144"/>
      <c r="CC233" s="22"/>
      <c r="CD233" s="22"/>
      <c r="CE233" s="144"/>
      <c r="CF233" s="22"/>
      <c r="CG233" s="22"/>
      <c r="CH233" s="144"/>
      <c r="CI233" s="22"/>
      <c r="CJ233" s="22"/>
      <c r="CK233" s="144"/>
    </row>
    <row r="234" spans="1:89" ht="15.75" customHeight="1" x14ac:dyDescent="0.45">
      <c r="A234" s="22"/>
      <c r="B234" s="22"/>
      <c r="C234" s="12"/>
      <c r="D234" s="12"/>
      <c r="E234" s="155"/>
      <c r="F234" s="144"/>
      <c r="G234" s="12"/>
      <c r="H234" s="22"/>
      <c r="I234" s="22"/>
      <c r="J234" s="22"/>
      <c r="K234" s="145"/>
      <c r="L234" s="144"/>
      <c r="M234" s="144"/>
      <c r="N234" s="152"/>
      <c r="O234" s="22"/>
      <c r="P234" s="152"/>
      <c r="Q234" s="22"/>
      <c r="R234" s="74"/>
      <c r="S234" s="45"/>
      <c r="T234" s="158"/>
      <c r="U234" s="45"/>
      <c r="V234" s="45"/>
      <c r="W234" s="45"/>
      <c r="X234" s="45"/>
      <c r="Y234" s="45"/>
      <c r="Z234" s="45"/>
      <c r="AA234" s="45"/>
      <c r="AB234" s="45"/>
      <c r="AC234" s="144"/>
      <c r="AD234" s="144"/>
      <c r="AE234" s="45"/>
      <c r="AF234" s="45"/>
      <c r="AG234" s="144"/>
      <c r="AH234" s="144"/>
      <c r="AI234" s="144"/>
      <c r="AJ234" s="22"/>
      <c r="AK234" s="22"/>
      <c r="AL234" s="144"/>
      <c r="AM234" s="22"/>
      <c r="AN234" s="22"/>
      <c r="AO234" s="144"/>
      <c r="AP234" s="22"/>
      <c r="AQ234" s="22"/>
      <c r="AR234" s="144"/>
      <c r="AS234" s="22"/>
      <c r="AT234" s="22"/>
      <c r="AU234" s="144"/>
      <c r="AV234" s="22"/>
      <c r="AW234" s="22"/>
      <c r="AX234" s="144"/>
      <c r="AY234" s="144"/>
      <c r="AZ234" s="22"/>
      <c r="BA234" s="144"/>
      <c r="BB234" s="144"/>
      <c r="BC234" s="144"/>
      <c r="BD234" s="144"/>
      <c r="BE234" s="144"/>
      <c r="BF234" s="22"/>
      <c r="BG234" s="144"/>
      <c r="BH234" s="144"/>
      <c r="BI234" s="22"/>
      <c r="BJ234" s="144"/>
      <c r="BK234" s="22"/>
      <c r="BL234" s="144"/>
      <c r="BM234" s="144"/>
      <c r="BN234" s="22"/>
      <c r="BO234" s="144"/>
      <c r="BP234" s="144"/>
      <c r="BQ234" s="22"/>
      <c r="BR234" s="22"/>
      <c r="BS234" s="144"/>
      <c r="BT234" s="22"/>
      <c r="BU234" s="22"/>
      <c r="BV234" s="144"/>
      <c r="BW234" s="22"/>
      <c r="BX234" s="22"/>
      <c r="BY234" s="144"/>
      <c r="BZ234" s="22"/>
      <c r="CA234" s="22"/>
      <c r="CB234" s="144"/>
      <c r="CC234" s="22"/>
      <c r="CD234" s="22"/>
      <c r="CE234" s="144"/>
      <c r="CF234" s="22"/>
      <c r="CG234" s="22"/>
      <c r="CH234" s="144"/>
      <c r="CI234" s="22"/>
      <c r="CJ234" s="22"/>
      <c r="CK234" s="144"/>
    </row>
    <row r="235" spans="1:89" ht="15.75" customHeight="1" x14ac:dyDescent="0.45">
      <c r="A235" s="22"/>
      <c r="B235" s="22"/>
      <c r="C235" s="12"/>
      <c r="D235" s="12"/>
      <c r="E235" s="155"/>
      <c r="F235" s="144"/>
      <c r="G235" s="12"/>
      <c r="H235" s="22"/>
      <c r="I235" s="22"/>
      <c r="J235" s="22"/>
      <c r="K235" s="145"/>
      <c r="L235" s="144"/>
      <c r="M235" s="144"/>
      <c r="N235" s="152"/>
      <c r="O235" s="22"/>
      <c r="P235" s="152"/>
      <c r="Q235" s="22"/>
      <c r="R235" s="74"/>
      <c r="S235" s="45"/>
      <c r="T235" s="158"/>
      <c r="U235" s="45"/>
      <c r="V235" s="45"/>
      <c r="W235" s="45"/>
      <c r="X235" s="45"/>
      <c r="Y235" s="45"/>
      <c r="Z235" s="45"/>
      <c r="AA235" s="45"/>
      <c r="AB235" s="45"/>
      <c r="AC235" s="144"/>
      <c r="AD235" s="144"/>
      <c r="AE235" s="45"/>
      <c r="AF235" s="45"/>
      <c r="AG235" s="144"/>
      <c r="AH235" s="144"/>
      <c r="AI235" s="144"/>
      <c r="AJ235" s="22"/>
      <c r="AK235" s="22"/>
      <c r="AL235" s="144"/>
      <c r="AM235" s="22"/>
      <c r="AN235" s="22"/>
      <c r="AO235" s="144"/>
      <c r="AP235" s="22"/>
      <c r="AQ235" s="22"/>
      <c r="AR235" s="144"/>
      <c r="AS235" s="22"/>
      <c r="AT235" s="22"/>
      <c r="AU235" s="144"/>
      <c r="AV235" s="22"/>
      <c r="AW235" s="22"/>
      <c r="AX235" s="144"/>
      <c r="AY235" s="144"/>
      <c r="AZ235" s="22"/>
      <c r="BA235" s="144"/>
      <c r="BB235" s="144"/>
      <c r="BC235" s="144"/>
      <c r="BD235" s="144"/>
      <c r="BE235" s="144"/>
      <c r="BF235" s="22"/>
      <c r="BG235" s="144"/>
      <c r="BH235" s="144"/>
      <c r="BI235" s="22"/>
      <c r="BJ235" s="144"/>
      <c r="BK235" s="22"/>
      <c r="BL235" s="144"/>
      <c r="BM235" s="144"/>
      <c r="BN235" s="22"/>
      <c r="BO235" s="144"/>
      <c r="BP235" s="144"/>
      <c r="BQ235" s="22"/>
      <c r="BR235" s="22"/>
      <c r="BS235" s="144"/>
      <c r="BT235" s="22"/>
      <c r="BU235" s="22"/>
      <c r="BV235" s="144"/>
      <c r="BW235" s="22"/>
      <c r="BX235" s="22"/>
      <c r="BY235" s="144"/>
      <c r="BZ235" s="22"/>
      <c r="CA235" s="22"/>
      <c r="CB235" s="144"/>
      <c r="CC235" s="22"/>
      <c r="CD235" s="22"/>
      <c r="CE235" s="144"/>
      <c r="CF235" s="22"/>
      <c r="CG235" s="22"/>
      <c r="CH235" s="144"/>
      <c r="CI235" s="22"/>
      <c r="CJ235" s="22"/>
      <c r="CK235" s="144"/>
    </row>
    <row r="236" spans="1:89" ht="15.75" customHeight="1" x14ac:dyDescent="0.45">
      <c r="A236" s="22"/>
      <c r="B236" s="22"/>
      <c r="C236" s="12"/>
      <c r="D236" s="12"/>
      <c r="E236" s="155"/>
      <c r="F236" s="144"/>
      <c r="G236" s="12"/>
      <c r="H236" s="22"/>
      <c r="I236" s="22"/>
      <c r="J236" s="22"/>
      <c r="K236" s="145"/>
      <c r="L236" s="144"/>
      <c r="M236" s="144"/>
      <c r="N236" s="152"/>
      <c r="O236" s="22"/>
      <c r="P236" s="152"/>
      <c r="Q236" s="22"/>
      <c r="R236" s="74"/>
      <c r="S236" s="45"/>
      <c r="T236" s="158"/>
      <c r="U236" s="45"/>
      <c r="V236" s="45"/>
      <c r="W236" s="45"/>
      <c r="X236" s="45"/>
      <c r="Y236" s="45"/>
      <c r="Z236" s="45"/>
      <c r="AA236" s="45"/>
      <c r="AB236" s="45"/>
      <c r="AC236" s="144"/>
      <c r="AD236" s="144"/>
      <c r="AE236" s="45"/>
      <c r="AF236" s="45"/>
      <c r="AG236" s="144"/>
      <c r="AH236" s="144"/>
      <c r="AI236" s="144"/>
      <c r="AJ236" s="22"/>
      <c r="AK236" s="22"/>
      <c r="AL236" s="144"/>
      <c r="AM236" s="22"/>
      <c r="AN236" s="22"/>
      <c r="AO236" s="144"/>
      <c r="AP236" s="22"/>
      <c r="AQ236" s="22"/>
      <c r="AR236" s="144"/>
      <c r="AS236" s="22"/>
      <c r="AT236" s="22"/>
      <c r="AU236" s="144"/>
      <c r="AV236" s="22"/>
      <c r="AW236" s="22"/>
      <c r="AX236" s="144"/>
      <c r="AY236" s="144"/>
      <c r="AZ236" s="22"/>
      <c r="BA236" s="144"/>
      <c r="BB236" s="144"/>
      <c r="BC236" s="144"/>
      <c r="BD236" s="144"/>
      <c r="BE236" s="144"/>
      <c r="BF236" s="22"/>
      <c r="BG236" s="144"/>
      <c r="BH236" s="144"/>
      <c r="BI236" s="22"/>
      <c r="BJ236" s="144"/>
      <c r="BK236" s="22"/>
      <c r="BL236" s="144"/>
      <c r="BM236" s="144"/>
      <c r="BN236" s="22"/>
      <c r="BO236" s="144"/>
      <c r="BP236" s="144"/>
      <c r="BQ236" s="22"/>
      <c r="BR236" s="22"/>
      <c r="BS236" s="144"/>
      <c r="BT236" s="22"/>
      <c r="BU236" s="22"/>
      <c r="BV236" s="144"/>
      <c r="BW236" s="22"/>
      <c r="BX236" s="22"/>
      <c r="BY236" s="144"/>
      <c r="BZ236" s="22"/>
      <c r="CA236" s="22"/>
      <c r="CB236" s="144"/>
      <c r="CC236" s="22"/>
      <c r="CD236" s="22"/>
      <c r="CE236" s="144"/>
      <c r="CF236" s="22"/>
      <c r="CG236" s="22"/>
      <c r="CH236" s="144"/>
      <c r="CI236" s="22"/>
      <c r="CJ236" s="22"/>
      <c r="CK236" s="144"/>
    </row>
    <row r="237" spans="1:89" ht="15.75" customHeight="1" x14ac:dyDescent="0.45">
      <c r="A237" s="22"/>
      <c r="B237" s="22"/>
      <c r="C237" s="12"/>
      <c r="D237" s="12"/>
      <c r="E237" s="155"/>
      <c r="F237" s="144"/>
      <c r="G237" s="12"/>
      <c r="H237" s="22"/>
      <c r="I237" s="22"/>
      <c r="J237" s="22"/>
      <c r="K237" s="145"/>
      <c r="L237" s="144"/>
      <c r="M237" s="144"/>
      <c r="N237" s="152"/>
      <c r="O237" s="22"/>
      <c r="P237" s="152"/>
      <c r="Q237" s="22"/>
      <c r="R237" s="74"/>
      <c r="S237" s="45"/>
      <c r="T237" s="158"/>
      <c r="U237" s="45"/>
      <c r="V237" s="45"/>
      <c r="W237" s="45"/>
      <c r="X237" s="45"/>
      <c r="Y237" s="45"/>
      <c r="Z237" s="45"/>
      <c r="AA237" s="45"/>
      <c r="AB237" s="45"/>
      <c r="AC237" s="144"/>
      <c r="AD237" s="144"/>
      <c r="AE237" s="45"/>
      <c r="AF237" s="45"/>
      <c r="AG237" s="144"/>
      <c r="AH237" s="144"/>
      <c r="AI237" s="144"/>
      <c r="AJ237" s="22"/>
      <c r="AK237" s="22"/>
      <c r="AL237" s="144"/>
      <c r="AM237" s="22"/>
      <c r="AN237" s="22"/>
      <c r="AO237" s="144"/>
      <c r="AP237" s="22"/>
      <c r="AQ237" s="22"/>
      <c r="AR237" s="144"/>
      <c r="AS237" s="22"/>
      <c r="AT237" s="22"/>
      <c r="AU237" s="144"/>
      <c r="AV237" s="22"/>
      <c r="AW237" s="22"/>
      <c r="AX237" s="144"/>
      <c r="AY237" s="144"/>
      <c r="AZ237" s="22"/>
      <c r="BA237" s="144"/>
      <c r="BB237" s="144"/>
      <c r="BC237" s="144"/>
      <c r="BD237" s="144"/>
      <c r="BE237" s="144"/>
      <c r="BF237" s="22"/>
      <c r="BG237" s="144"/>
      <c r="BH237" s="144"/>
      <c r="BI237" s="22"/>
      <c r="BJ237" s="144"/>
      <c r="BK237" s="22"/>
      <c r="BL237" s="144"/>
      <c r="BM237" s="144"/>
      <c r="BN237" s="22"/>
      <c r="BO237" s="144"/>
      <c r="BP237" s="144"/>
      <c r="BQ237" s="22"/>
      <c r="BR237" s="22"/>
      <c r="BS237" s="144"/>
      <c r="BT237" s="22"/>
      <c r="BU237" s="22"/>
      <c r="BV237" s="144"/>
      <c r="BW237" s="22"/>
      <c r="BX237" s="22"/>
      <c r="BY237" s="144"/>
      <c r="BZ237" s="22"/>
      <c r="CA237" s="22"/>
      <c r="CB237" s="144"/>
      <c r="CC237" s="22"/>
      <c r="CD237" s="22"/>
      <c r="CE237" s="144"/>
      <c r="CF237" s="22"/>
      <c r="CG237" s="22"/>
      <c r="CH237" s="144"/>
      <c r="CI237" s="22"/>
      <c r="CJ237" s="22"/>
      <c r="CK237" s="144"/>
    </row>
    <row r="238" spans="1:89" ht="15.75" customHeight="1" x14ac:dyDescent="0.45">
      <c r="A238" s="22"/>
      <c r="B238" s="22"/>
      <c r="C238" s="12"/>
      <c r="D238" s="12"/>
      <c r="E238" s="155"/>
      <c r="F238" s="144"/>
      <c r="G238" s="12"/>
      <c r="H238" s="22"/>
      <c r="I238" s="22"/>
      <c r="J238" s="22"/>
      <c r="K238" s="145"/>
      <c r="L238" s="144"/>
      <c r="M238" s="144"/>
      <c r="N238" s="152"/>
      <c r="O238" s="22"/>
      <c r="P238" s="152"/>
      <c r="Q238" s="22"/>
      <c r="R238" s="74"/>
      <c r="S238" s="45"/>
      <c r="T238" s="158"/>
      <c r="U238" s="45"/>
      <c r="V238" s="45"/>
      <c r="W238" s="45"/>
      <c r="X238" s="45"/>
      <c r="Y238" s="45"/>
      <c r="Z238" s="45"/>
      <c r="AA238" s="45"/>
      <c r="AB238" s="45"/>
      <c r="AC238" s="144"/>
      <c r="AD238" s="144"/>
      <c r="AE238" s="45"/>
      <c r="AF238" s="45"/>
      <c r="AG238" s="144"/>
      <c r="AH238" s="144"/>
      <c r="AI238" s="144"/>
      <c r="AJ238" s="22"/>
      <c r="AK238" s="22"/>
      <c r="AL238" s="144"/>
      <c r="AM238" s="22"/>
      <c r="AN238" s="22"/>
      <c r="AO238" s="144"/>
      <c r="AP238" s="22"/>
      <c r="AQ238" s="22"/>
      <c r="AR238" s="144"/>
      <c r="AS238" s="22"/>
      <c r="AT238" s="22"/>
      <c r="AU238" s="144"/>
      <c r="AV238" s="22"/>
      <c r="AW238" s="22"/>
      <c r="AX238" s="144"/>
      <c r="AY238" s="144"/>
      <c r="AZ238" s="22"/>
      <c r="BA238" s="144"/>
      <c r="BB238" s="144"/>
      <c r="BC238" s="144"/>
      <c r="BD238" s="144"/>
      <c r="BE238" s="144"/>
      <c r="BF238" s="22"/>
      <c r="BG238" s="144"/>
      <c r="BH238" s="144"/>
      <c r="BI238" s="22"/>
      <c r="BJ238" s="144"/>
      <c r="BK238" s="22"/>
      <c r="BL238" s="144"/>
      <c r="BM238" s="144"/>
      <c r="BN238" s="22"/>
      <c r="BO238" s="144"/>
      <c r="BP238" s="144"/>
      <c r="BQ238" s="22"/>
      <c r="BR238" s="22"/>
      <c r="BS238" s="144"/>
      <c r="BT238" s="22"/>
      <c r="BU238" s="22"/>
      <c r="BV238" s="144"/>
      <c r="BW238" s="22"/>
      <c r="BX238" s="22"/>
      <c r="BY238" s="144"/>
      <c r="BZ238" s="22"/>
      <c r="CA238" s="22"/>
      <c r="CB238" s="144"/>
      <c r="CC238" s="22"/>
      <c r="CD238" s="22"/>
      <c r="CE238" s="144"/>
      <c r="CF238" s="22"/>
      <c r="CG238" s="22"/>
      <c r="CH238" s="144"/>
      <c r="CI238" s="22"/>
      <c r="CJ238" s="22"/>
      <c r="CK238" s="144"/>
    </row>
    <row r="239" spans="1:89" ht="15.75" customHeight="1" x14ac:dyDescent="0.45">
      <c r="A239" s="22"/>
      <c r="B239" s="22"/>
      <c r="C239" s="12"/>
      <c r="D239" s="12"/>
      <c r="E239" s="155"/>
      <c r="F239" s="144"/>
      <c r="G239" s="12"/>
      <c r="H239" s="22"/>
      <c r="I239" s="22"/>
      <c r="J239" s="22"/>
      <c r="K239" s="145"/>
      <c r="L239" s="144"/>
      <c r="M239" s="144"/>
      <c r="N239" s="152"/>
      <c r="O239" s="22"/>
      <c r="P239" s="152"/>
      <c r="Q239" s="22"/>
      <c r="R239" s="74"/>
      <c r="S239" s="45"/>
      <c r="T239" s="158"/>
      <c r="U239" s="45"/>
      <c r="V239" s="45"/>
      <c r="W239" s="45"/>
      <c r="X239" s="45"/>
      <c r="Y239" s="45"/>
      <c r="Z239" s="45"/>
      <c r="AA239" s="45"/>
      <c r="AB239" s="45"/>
      <c r="AC239" s="144"/>
      <c r="AD239" s="144"/>
      <c r="AE239" s="45"/>
      <c r="AF239" s="45"/>
      <c r="AG239" s="144"/>
      <c r="AH239" s="144"/>
      <c r="AI239" s="144"/>
      <c r="AJ239" s="22"/>
      <c r="AK239" s="22"/>
      <c r="AL239" s="144"/>
      <c r="AM239" s="22"/>
      <c r="AN239" s="22"/>
      <c r="AO239" s="144"/>
      <c r="AP239" s="22"/>
      <c r="AQ239" s="22"/>
      <c r="AR239" s="144"/>
      <c r="AS239" s="22"/>
      <c r="AT239" s="22"/>
      <c r="AU239" s="144"/>
      <c r="AV239" s="22"/>
      <c r="AW239" s="22"/>
      <c r="AX239" s="144"/>
      <c r="AY239" s="144"/>
      <c r="AZ239" s="22"/>
      <c r="BA239" s="144"/>
      <c r="BB239" s="144"/>
      <c r="BC239" s="144"/>
      <c r="BD239" s="144"/>
      <c r="BE239" s="144"/>
      <c r="BF239" s="22"/>
      <c r="BG239" s="144"/>
      <c r="BH239" s="144"/>
      <c r="BI239" s="22"/>
      <c r="BJ239" s="144"/>
      <c r="BK239" s="22"/>
      <c r="BL239" s="144"/>
      <c r="BM239" s="144"/>
      <c r="BN239" s="22"/>
      <c r="BO239" s="144"/>
      <c r="BP239" s="144"/>
      <c r="BQ239" s="22"/>
      <c r="BR239" s="22"/>
      <c r="BS239" s="144"/>
      <c r="BT239" s="22"/>
      <c r="BU239" s="22"/>
      <c r="BV239" s="144"/>
      <c r="BW239" s="22"/>
      <c r="BX239" s="22"/>
      <c r="BY239" s="144"/>
      <c r="BZ239" s="22"/>
      <c r="CA239" s="22"/>
      <c r="CB239" s="144"/>
      <c r="CC239" s="22"/>
      <c r="CD239" s="22"/>
      <c r="CE239" s="144"/>
      <c r="CF239" s="22"/>
      <c r="CG239" s="22"/>
      <c r="CH239" s="144"/>
      <c r="CI239" s="22"/>
      <c r="CJ239" s="22"/>
      <c r="CK239" s="144"/>
    </row>
    <row r="240" spans="1:89" ht="15.75" customHeight="1" x14ac:dyDescent="0.45">
      <c r="A240" s="22"/>
      <c r="B240" s="22"/>
      <c r="C240" s="12"/>
      <c r="D240" s="12"/>
      <c r="E240" s="155"/>
      <c r="F240" s="144"/>
      <c r="G240" s="12"/>
      <c r="H240" s="22"/>
      <c r="I240" s="22"/>
      <c r="J240" s="22"/>
      <c r="K240" s="145"/>
      <c r="L240" s="144"/>
      <c r="M240" s="144"/>
      <c r="N240" s="152"/>
      <c r="O240" s="22"/>
      <c r="P240" s="152"/>
      <c r="Q240" s="22"/>
      <c r="R240" s="74"/>
      <c r="S240" s="45"/>
      <c r="T240" s="158"/>
      <c r="U240" s="45"/>
      <c r="V240" s="45"/>
      <c r="W240" s="45"/>
      <c r="X240" s="45"/>
      <c r="Y240" s="45"/>
      <c r="Z240" s="45"/>
      <c r="AA240" s="45"/>
      <c r="AB240" s="45"/>
      <c r="AC240" s="144"/>
      <c r="AD240" s="144"/>
      <c r="AE240" s="45"/>
      <c r="AF240" s="45"/>
      <c r="AG240" s="144"/>
      <c r="AH240" s="144"/>
      <c r="AI240" s="144"/>
      <c r="AJ240" s="22"/>
      <c r="AK240" s="22"/>
      <c r="AL240" s="144"/>
      <c r="AM240" s="22"/>
      <c r="AN240" s="22"/>
      <c r="AO240" s="144"/>
      <c r="AP240" s="22"/>
      <c r="AQ240" s="22"/>
      <c r="AR240" s="144"/>
      <c r="AS240" s="22"/>
      <c r="AT240" s="22"/>
      <c r="AU240" s="144"/>
      <c r="AV240" s="22"/>
      <c r="AW240" s="22"/>
      <c r="AX240" s="144"/>
      <c r="AY240" s="144"/>
      <c r="AZ240" s="22"/>
      <c r="BA240" s="144"/>
      <c r="BB240" s="144"/>
      <c r="BC240" s="144"/>
      <c r="BD240" s="144"/>
      <c r="BE240" s="144"/>
      <c r="BF240" s="22"/>
      <c r="BG240" s="144"/>
      <c r="BH240" s="144"/>
      <c r="BI240" s="22"/>
      <c r="BJ240" s="144"/>
      <c r="BK240" s="22"/>
      <c r="BL240" s="144"/>
      <c r="BM240" s="144"/>
      <c r="BN240" s="22"/>
      <c r="BO240" s="144"/>
      <c r="BP240" s="144"/>
      <c r="BQ240" s="22"/>
      <c r="BR240" s="22"/>
      <c r="BS240" s="144"/>
      <c r="BT240" s="22"/>
      <c r="BU240" s="22"/>
      <c r="BV240" s="144"/>
      <c r="BW240" s="22"/>
      <c r="BX240" s="22"/>
      <c r="BY240" s="144"/>
      <c r="BZ240" s="22"/>
      <c r="CA240" s="22"/>
      <c r="CB240" s="144"/>
      <c r="CC240" s="22"/>
      <c r="CD240" s="22"/>
      <c r="CE240" s="144"/>
      <c r="CF240" s="22"/>
      <c r="CG240" s="22"/>
      <c r="CH240" s="144"/>
      <c r="CI240" s="22"/>
      <c r="CJ240" s="22"/>
      <c r="CK240" s="144"/>
    </row>
    <row r="241" spans="1:89" ht="15.75" customHeight="1" x14ac:dyDescent="0.45">
      <c r="A241" s="22"/>
      <c r="B241" s="22"/>
      <c r="C241" s="12"/>
      <c r="D241" s="12"/>
      <c r="E241" s="155"/>
      <c r="F241" s="144"/>
      <c r="G241" s="12"/>
      <c r="H241" s="22"/>
      <c r="I241" s="22"/>
      <c r="J241" s="22"/>
      <c r="K241" s="145"/>
      <c r="L241" s="144"/>
      <c r="M241" s="144"/>
      <c r="N241" s="152"/>
      <c r="O241" s="22"/>
      <c r="P241" s="152"/>
      <c r="Q241" s="22"/>
      <c r="R241" s="74"/>
      <c r="S241" s="45"/>
      <c r="T241" s="158"/>
      <c r="U241" s="45"/>
      <c r="V241" s="45"/>
      <c r="W241" s="45"/>
      <c r="X241" s="45"/>
      <c r="Y241" s="45"/>
      <c r="Z241" s="45"/>
      <c r="AA241" s="45"/>
      <c r="AB241" s="45"/>
      <c r="AC241" s="144"/>
      <c r="AD241" s="144"/>
      <c r="AE241" s="45"/>
      <c r="AF241" s="45"/>
      <c r="AG241" s="144"/>
      <c r="AH241" s="144"/>
      <c r="AI241" s="144"/>
      <c r="AJ241" s="22"/>
      <c r="AK241" s="22"/>
      <c r="AL241" s="144"/>
      <c r="AM241" s="22"/>
      <c r="AN241" s="22"/>
      <c r="AO241" s="144"/>
      <c r="AP241" s="22"/>
      <c r="AQ241" s="22"/>
      <c r="AR241" s="144"/>
      <c r="AS241" s="22"/>
      <c r="AT241" s="22"/>
      <c r="AU241" s="144"/>
      <c r="AV241" s="22"/>
      <c r="AW241" s="22"/>
      <c r="AX241" s="144"/>
      <c r="AY241" s="144"/>
      <c r="AZ241" s="22"/>
      <c r="BA241" s="144"/>
      <c r="BB241" s="144"/>
      <c r="BC241" s="144"/>
      <c r="BD241" s="144"/>
      <c r="BE241" s="144"/>
      <c r="BF241" s="22"/>
      <c r="BG241" s="144"/>
      <c r="BH241" s="144"/>
      <c r="BI241" s="22"/>
      <c r="BJ241" s="144"/>
      <c r="BK241" s="22"/>
      <c r="BL241" s="144"/>
      <c r="BM241" s="144"/>
      <c r="BN241" s="22"/>
      <c r="BO241" s="144"/>
      <c r="BP241" s="144"/>
      <c r="BQ241" s="22"/>
      <c r="BR241" s="22"/>
      <c r="BS241" s="144"/>
      <c r="BT241" s="22"/>
      <c r="BU241" s="22"/>
      <c r="BV241" s="144"/>
      <c r="BW241" s="22"/>
      <c r="BX241" s="22"/>
      <c r="BY241" s="144"/>
      <c r="BZ241" s="22"/>
      <c r="CA241" s="22"/>
      <c r="CB241" s="144"/>
      <c r="CC241" s="22"/>
      <c r="CD241" s="22"/>
      <c r="CE241" s="144"/>
      <c r="CF241" s="22"/>
      <c r="CG241" s="22"/>
      <c r="CH241" s="144"/>
      <c r="CI241" s="22"/>
      <c r="CJ241" s="22"/>
      <c r="CK241" s="144"/>
    </row>
    <row r="242" spans="1:89" ht="15.75" customHeight="1" x14ac:dyDescent="0.45">
      <c r="A242" s="22"/>
      <c r="B242" s="22"/>
      <c r="C242" s="12"/>
      <c r="D242" s="12"/>
      <c r="E242" s="155"/>
      <c r="F242" s="144"/>
      <c r="G242" s="12"/>
      <c r="H242" s="22"/>
      <c r="I242" s="22"/>
      <c r="J242" s="22"/>
      <c r="K242" s="145"/>
      <c r="L242" s="144"/>
      <c r="M242" s="144"/>
      <c r="N242" s="152"/>
      <c r="O242" s="22"/>
      <c r="P242" s="152"/>
      <c r="Q242" s="22"/>
      <c r="R242" s="74"/>
      <c r="S242" s="45"/>
      <c r="T242" s="158"/>
      <c r="U242" s="45"/>
      <c r="V242" s="45"/>
      <c r="W242" s="45"/>
      <c r="X242" s="45"/>
      <c r="Y242" s="45"/>
      <c r="Z242" s="45"/>
      <c r="AA242" s="45"/>
      <c r="AB242" s="45"/>
      <c r="AC242" s="144"/>
      <c r="AD242" s="144"/>
      <c r="AE242" s="45"/>
      <c r="AF242" s="45"/>
      <c r="AG242" s="144"/>
      <c r="AH242" s="144"/>
      <c r="AI242" s="144"/>
      <c r="AJ242" s="22"/>
      <c r="AK242" s="22"/>
      <c r="AL242" s="144"/>
      <c r="AM242" s="22"/>
      <c r="AN242" s="22"/>
      <c r="AO242" s="144"/>
      <c r="AP242" s="22"/>
      <c r="AQ242" s="22"/>
      <c r="AR242" s="144"/>
      <c r="AS242" s="22"/>
      <c r="AT242" s="22"/>
      <c r="AU242" s="144"/>
      <c r="AV242" s="22"/>
      <c r="AW242" s="22"/>
      <c r="AX242" s="144"/>
      <c r="AY242" s="144"/>
      <c r="AZ242" s="22"/>
      <c r="BA242" s="144"/>
      <c r="BB242" s="144"/>
      <c r="BC242" s="144"/>
      <c r="BD242" s="144"/>
      <c r="BE242" s="144"/>
      <c r="BF242" s="22"/>
      <c r="BG242" s="144"/>
      <c r="BH242" s="144"/>
      <c r="BI242" s="22"/>
      <c r="BJ242" s="144"/>
      <c r="BK242" s="22"/>
      <c r="BL242" s="144"/>
      <c r="BM242" s="144"/>
      <c r="BN242" s="22"/>
      <c r="BO242" s="144"/>
      <c r="BP242" s="144"/>
      <c r="BQ242" s="22"/>
      <c r="BR242" s="22"/>
      <c r="BS242" s="144"/>
      <c r="BT242" s="22"/>
      <c r="BU242" s="22"/>
      <c r="BV242" s="144"/>
      <c r="BW242" s="22"/>
      <c r="BX242" s="22"/>
      <c r="BY242" s="144"/>
      <c r="BZ242" s="22"/>
      <c r="CA242" s="22"/>
      <c r="CB242" s="144"/>
      <c r="CC242" s="22"/>
      <c r="CD242" s="22"/>
      <c r="CE242" s="144"/>
      <c r="CF242" s="22"/>
      <c r="CG242" s="22"/>
      <c r="CH242" s="144"/>
      <c r="CI242" s="22"/>
      <c r="CJ242" s="22"/>
      <c r="CK242" s="144"/>
    </row>
    <row r="243" spans="1:89" ht="15.75" customHeight="1" x14ac:dyDescent="0.45">
      <c r="A243" s="22"/>
      <c r="B243" s="22"/>
      <c r="C243" s="12"/>
      <c r="D243" s="12"/>
      <c r="E243" s="155"/>
      <c r="F243" s="144"/>
      <c r="G243" s="12"/>
      <c r="H243" s="22"/>
      <c r="I243" s="22"/>
      <c r="J243" s="22"/>
      <c r="K243" s="145"/>
      <c r="L243" s="144"/>
      <c r="M243" s="144"/>
      <c r="N243" s="152"/>
      <c r="O243" s="22"/>
      <c r="P243" s="152"/>
      <c r="Q243" s="22"/>
      <c r="R243" s="74"/>
      <c r="S243" s="45"/>
      <c r="T243" s="158"/>
      <c r="U243" s="45"/>
      <c r="V243" s="45"/>
      <c r="W243" s="45"/>
      <c r="X243" s="45"/>
      <c r="Y243" s="45"/>
      <c r="Z243" s="45"/>
      <c r="AA243" s="45"/>
      <c r="AB243" s="45"/>
      <c r="AC243" s="144"/>
      <c r="AD243" s="144"/>
      <c r="AE243" s="45"/>
      <c r="AF243" s="45"/>
      <c r="AG243" s="144"/>
      <c r="AH243" s="144"/>
      <c r="AI243" s="144"/>
      <c r="AJ243" s="22"/>
      <c r="AK243" s="22"/>
      <c r="AL243" s="144"/>
      <c r="AM243" s="22"/>
      <c r="AN243" s="22"/>
      <c r="AO243" s="144"/>
      <c r="AP243" s="22"/>
      <c r="AQ243" s="22"/>
      <c r="AR243" s="144"/>
      <c r="AS243" s="22"/>
      <c r="AT243" s="22"/>
      <c r="AU243" s="144"/>
      <c r="AV243" s="22"/>
      <c r="AW243" s="22"/>
      <c r="AX243" s="144"/>
      <c r="AY243" s="144"/>
      <c r="AZ243" s="22"/>
      <c r="BA243" s="144"/>
      <c r="BB243" s="144"/>
      <c r="BC243" s="144"/>
      <c r="BD243" s="144"/>
      <c r="BE243" s="144"/>
      <c r="BF243" s="22"/>
      <c r="BG243" s="144"/>
      <c r="BH243" s="144"/>
      <c r="BI243" s="22"/>
      <c r="BJ243" s="144"/>
      <c r="BK243" s="22"/>
      <c r="BL243" s="144"/>
      <c r="BM243" s="144"/>
      <c r="BN243" s="22"/>
      <c r="BO243" s="144"/>
      <c r="BP243" s="144"/>
      <c r="BQ243" s="22"/>
      <c r="BR243" s="22"/>
      <c r="BS243" s="144"/>
      <c r="BT243" s="22"/>
      <c r="BU243" s="22"/>
      <c r="BV243" s="144"/>
      <c r="BW243" s="22"/>
      <c r="BX243" s="22"/>
      <c r="BY243" s="144"/>
      <c r="BZ243" s="22"/>
      <c r="CA243" s="22"/>
      <c r="CB243" s="144"/>
      <c r="CC243" s="22"/>
      <c r="CD243" s="22"/>
      <c r="CE243" s="144"/>
      <c r="CF243" s="22"/>
      <c r="CG243" s="22"/>
      <c r="CH243" s="144"/>
      <c r="CI243" s="22"/>
      <c r="CJ243" s="22"/>
      <c r="CK243" s="144"/>
    </row>
    <row r="244" spans="1:89" ht="15.75" customHeight="1" x14ac:dyDescent="0.45">
      <c r="A244" s="22"/>
      <c r="B244" s="22"/>
      <c r="C244" s="12"/>
      <c r="D244" s="12"/>
      <c r="E244" s="155"/>
      <c r="F244" s="144"/>
      <c r="G244" s="12"/>
      <c r="H244" s="22"/>
      <c r="I244" s="22"/>
      <c r="J244" s="22"/>
      <c r="K244" s="145"/>
      <c r="L244" s="144"/>
      <c r="M244" s="144"/>
      <c r="N244" s="152"/>
      <c r="O244" s="22"/>
      <c r="P244" s="152"/>
      <c r="Q244" s="22"/>
      <c r="R244" s="74"/>
      <c r="S244" s="45"/>
      <c r="T244" s="158"/>
      <c r="U244" s="45"/>
      <c r="V244" s="45"/>
      <c r="W244" s="45"/>
      <c r="X244" s="45"/>
      <c r="Y244" s="45"/>
      <c r="Z244" s="45"/>
      <c r="AA244" s="45"/>
      <c r="AB244" s="45"/>
      <c r="AC244" s="144"/>
      <c r="AD244" s="144"/>
      <c r="AE244" s="45"/>
      <c r="AF244" s="45"/>
      <c r="AG244" s="144"/>
      <c r="AH244" s="144"/>
      <c r="AI244" s="144"/>
      <c r="AJ244" s="22"/>
      <c r="AK244" s="22"/>
      <c r="AL244" s="144"/>
      <c r="AM244" s="22"/>
      <c r="AN244" s="22"/>
      <c r="AO244" s="144"/>
      <c r="AP244" s="22"/>
      <c r="AQ244" s="22"/>
      <c r="AR244" s="144"/>
      <c r="AS244" s="22"/>
      <c r="AT244" s="22"/>
      <c r="AU244" s="144"/>
      <c r="AV244" s="22"/>
      <c r="AW244" s="22"/>
      <c r="AX244" s="144"/>
      <c r="AY244" s="144"/>
      <c r="AZ244" s="22"/>
      <c r="BA244" s="144"/>
      <c r="BB244" s="144"/>
      <c r="BC244" s="144"/>
      <c r="BD244" s="144"/>
      <c r="BE244" s="144"/>
      <c r="BF244" s="22"/>
      <c r="BG244" s="144"/>
      <c r="BH244" s="144"/>
      <c r="BI244" s="22"/>
      <c r="BJ244" s="144"/>
      <c r="BK244" s="22"/>
      <c r="BL244" s="144"/>
      <c r="BM244" s="144"/>
      <c r="BN244" s="22"/>
      <c r="BO244" s="144"/>
      <c r="BP244" s="144"/>
      <c r="BQ244" s="22"/>
      <c r="BR244" s="22"/>
      <c r="BS244" s="144"/>
      <c r="BT244" s="22"/>
      <c r="BU244" s="22"/>
      <c r="BV244" s="144"/>
      <c r="BW244" s="22"/>
      <c r="BX244" s="22"/>
      <c r="BY244" s="144"/>
      <c r="BZ244" s="22"/>
      <c r="CA244" s="22"/>
      <c r="CB244" s="144"/>
      <c r="CC244" s="22"/>
      <c r="CD244" s="22"/>
      <c r="CE244" s="144"/>
      <c r="CF244" s="22"/>
      <c r="CG244" s="22"/>
      <c r="CH244" s="144"/>
      <c r="CI244" s="22"/>
      <c r="CJ244" s="22"/>
      <c r="CK244" s="144"/>
    </row>
    <row r="245" spans="1:89" ht="15.75" customHeight="1" x14ac:dyDescent="0.45">
      <c r="A245" s="22"/>
      <c r="B245" s="22"/>
      <c r="C245" s="12"/>
      <c r="D245" s="12"/>
      <c r="E245" s="155"/>
      <c r="F245" s="144"/>
      <c r="G245" s="12"/>
      <c r="H245" s="22"/>
      <c r="I245" s="22"/>
      <c r="J245" s="22"/>
      <c r="K245" s="145"/>
      <c r="L245" s="144"/>
      <c r="M245" s="144"/>
      <c r="N245" s="152"/>
      <c r="O245" s="22"/>
      <c r="P245" s="152"/>
      <c r="Q245" s="22"/>
      <c r="R245" s="74"/>
      <c r="S245" s="45"/>
      <c r="T245" s="158"/>
      <c r="U245" s="45"/>
      <c r="V245" s="45"/>
      <c r="W245" s="45"/>
      <c r="X245" s="45"/>
      <c r="Y245" s="45"/>
      <c r="Z245" s="45"/>
      <c r="AA245" s="45"/>
      <c r="AB245" s="45"/>
      <c r="AC245" s="144"/>
      <c r="AD245" s="144"/>
      <c r="AE245" s="45"/>
      <c r="AF245" s="45"/>
      <c r="AG245" s="144"/>
      <c r="AH245" s="144"/>
      <c r="AI245" s="144"/>
      <c r="AJ245" s="22"/>
      <c r="AK245" s="22"/>
      <c r="AL245" s="144"/>
      <c r="AM245" s="22"/>
      <c r="AN245" s="22"/>
      <c r="AO245" s="144"/>
      <c r="AP245" s="22"/>
      <c r="AQ245" s="22"/>
      <c r="AR245" s="144"/>
      <c r="AS245" s="22"/>
      <c r="AT245" s="22"/>
      <c r="AU245" s="144"/>
      <c r="AV245" s="22"/>
      <c r="AW245" s="22"/>
      <c r="AX245" s="144"/>
      <c r="AY245" s="144"/>
      <c r="AZ245" s="22"/>
      <c r="BA245" s="144"/>
      <c r="BB245" s="144"/>
      <c r="BC245" s="144"/>
      <c r="BD245" s="144"/>
      <c r="BE245" s="144"/>
      <c r="BF245" s="22"/>
      <c r="BG245" s="144"/>
      <c r="BH245" s="144"/>
      <c r="BI245" s="22"/>
      <c r="BJ245" s="144"/>
      <c r="BK245" s="22"/>
      <c r="BL245" s="144"/>
      <c r="BM245" s="144"/>
      <c r="BN245" s="22"/>
      <c r="BO245" s="144"/>
      <c r="BP245" s="144"/>
      <c r="BQ245" s="22"/>
      <c r="BR245" s="22"/>
      <c r="BS245" s="144"/>
      <c r="BT245" s="22"/>
      <c r="BU245" s="22"/>
      <c r="BV245" s="144"/>
      <c r="BW245" s="22"/>
      <c r="BX245" s="22"/>
      <c r="BY245" s="144"/>
      <c r="BZ245" s="22"/>
      <c r="CA245" s="22"/>
      <c r="CB245" s="144"/>
      <c r="CC245" s="22"/>
      <c r="CD245" s="22"/>
      <c r="CE245" s="144"/>
      <c r="CF245" s="22"/>
      <c r="CG245" s="22"/>
      <c r="CH245" s="144"/>
      <c r="CI245" s="22"/>
      <c r="CJ245" s="22"/>
      <c r="CK245" s="144"/>
    </row>
    <row r="246" spans="1:89" ht="15.75" customHeight="1" x14ac:dyDescent="0.45">
      <c r="A246" s="22"/>
      <c r="B246" s="22"/>
      <c r="C246" s="12"/>
      <c r="D246" s="12"/>
      <c r="E246" s="155"/>
      <c r="F246" s="144"/>
      <c r="G246" s="12"/>
      <c r="H246" s="22"/>
      <c r="I246" s="22"/>
      <c r="J246" s="22"/>
      <c r="K246" s="145"/>
      <c r="L246" s="144"/>
      <c r="M246" s="144"/>
      <c r="N246" s="152"/>
      <c r="O246" s="22"/>
      <c r="P246" s="152"/>
      <c r="Q246" s="22"/>
      <c r="R246" s="74"/>
      <c r="S246" s="45"/>
      <c r="T246" s="158"/>
      <c r="U246" s="45"/>
      <c r="V246" s="45"/>
      <c r="W246" s="45"/>
      <c r="X246" s="45"/>
      <c r="Y246" s="45"/>
      <c r="Z246" s="45"/>
      <c r="AA246" s="45"/>
      <c r="AB246" s="45"/>
      <c r="AC246" s="144"/>
      <c r="AD246" s="144"/>
      <c r="AE246" s="45"/>
      <c r="AF246" s="45"/>
      <c r="AG246" s="144"/>
      <c r="AH246" s="144"/>
      <c r="AI246" s="144"/>
      <c r="AJ246" s="22"/>
      <c r="AK246" s="22"/>
      <c r="AL246" s="144"/>
      <c r="AM246" s="22"/>
      <c r="AN246" s="22"/>
      <c r="AO246" s="144"/>
      <c r="AP246" s="22"/>
      <c r="AQ246" s="22"/>
      <c r="AR246" s="144"/>
      <c r="AS246" s="22"/>
      <c r="AT246" s="22"/>
      <c r="AU246" s="144"/>
      <c r="AV246" s="22"/>
      <c r="AW246" s="22"/>
      <c r="AX246" s="144"/>
      <c r="AY246" s="144"/>
      <c r="AZ246" s="22"/>
      <c r="BA246" s="144"/>
      <c r="BB246" s="144"/>
      <c r="BC246" s="144"/>
      <c r="BD246" s="144"/>
      <c r="BE246" s="144"/>
      <c r="BF246" s="22"/>
      <c r="BG246" s="144"/>
      <c r="BH246" s="144"/>
      <c r="BI246" s="22"/>
      <c r="BJ246" s="144"/>
      <c r="BK246" s="22"/>
      <c r="BL246" s="144"/>
      <c r="BM246" s="144"/>
      <c r="BN246" s="22"/>
      <c r="BO246" s="144"/>
      <c r="BP246" s="144"/>
      <c r="BQ246" s="22"/>
      <c r="BR246" s="22"/>
      <c r="BS246" s="144"/>
      <c r="BT246" s="22"/>
      <c r="BU246" s="22"/>
      <c r="BV246" s="144"/>
      <c r="BW246" s="22"/>
      <c r="BX246" s="22"/>
      <c r="BY246" s="144"/>
      <c r="BZ246" s="22"/>
      <c r="CA246" s="22"/>
      <c r="CB246" s="144"/>
      <c r="CC246" s="22"/>
      <c r="CD246" s="22"/>
      <c r="CE246" s="144"/>
      <c r="CF246" s="22"/>
      <c r="CG246" s="22"/>
      <c r="CH246" s="144"/>
      <c r="CI246" s="22"/>
      <c r="CJ246" s="22"/>
      <c r="CK246" s="144"/>
    </row>
    <row r="247" spans="1:89" ht="15.75" customHeight="1" x14ac:dyDescent="0.45">
      <c r="A247" s="22"/>
      <c r="B247" s="22"/>
      <c r="C247" s="12"/>
      <c r="D247" s="12"/>
      <c r="E247" s="155"/>
      <c r="F247" s="144"/>
      <c r="G247" s="12"/>
      <c r="H247" s="22"/>
      <c r="I247" s="22"/>
      <c r="J247" s="22"/>
      <c r="K247" s="145"/>
      <c r="L247" s="144"/>
      <c r="M247" s="144"/>
      <c r="N247" s="152"/>
      <c r="O247" s="22"/>
      <c r="P247" s="152"/>
      <c r="Q247" s="22"/>
      <c r="R247" s="74"/>
      <c r="S247" s="45"/>
      <c r="T247" s="158"/>
      <c r="U247" s="45"/>
      <c r="V247" s="45"/>
      <c r="W247" s="45"/>
      <c r="X247" s="45"/>
      <c r="Y247" s="45"/>
      <c r="Z247" s="45"/>
      <c r="AA247" s="45"/>
      <c r="AB247" s="45"/>
      <c r="AC247" s="144"/>
      <c r="AD247" s="144"/>
      <c r="AE247" s="45"/>
      <c r="AF247" s="45"/>
      <c r="AG247" s="144"/>
      <c r="AH247" s="144"/>
      <c r="AI247" s="144"/>
      <c r="AJ247" s="22"/>
      <c r="AK247" s="22"/>
      <c r="AL247" s="144"/>
      <c r="AM247" s="22"/>
      <c r="AN247" s="22"/>
      <c r="AO247" s="144"/>
      <c r="AP247" s="22"/>
      <c r="AQ247" s="22"/>
      <c r="AR247" s="144"/>
      <c r="AS247" s="22"/>
      <c r="AT247" s="22"/>
      <c r="AU247" s="144"/>
      <c r="AV247" s="22"/>
      <c r="AW247" s="22"/>
      <c r="AX247" s="144"/>
      <c r="AY247" s="144"/>
      <c r="AZ247" s="22"/>
      <c r="BA247" s="144"/>
      <c r="BB247" s="144"/>
      <c r="BC247" s="144"/>
      <c r="BD247" s="144"/>
      <c r="BE247" s="144"/>
      <c r="BF247" s="22"/>
      <c r="BG247" s="144"/>
      <c r="BH247" s="144"/>
      <c r="BI247" s="22"/>
      <c r="BJ247" s="144"/>
      <c r="BK247" s="22"/>
      <c r="BL247" s="144"/>
      <c r="BM247" s="144"/>
      <c r="BN247" s="22"/>
      <c r="BO247" s="144"/>
      <c r="BP247" s="144"/>
      <c r="BQ247" s="22"/>
      <c r="BR247" s="22"/>
      <c r="BS247" s="144"/>
      <c r="BT247" s="22"/>
      <c r="BU247" s="22"/>
      <c r="BV247" s="144"/>
      <c r="BW247" s="22"/>
      <c r="BX247" s="22"/>
      <c r="BY247" s="144"/>
      <c r="BZ247" s="22"/>
      <c r="CA247" s="22"/>
      <c r="CB247" s="144"/>
      <c r="CC247" s="22"/>
      <c r="CD247" s="22"/>
      <c r="CE247" s="144"/>
      <c r="CF247" s="22"/>
      <c r="CG247" s="22"/>
      <c r="CH247" s="144"/>
      <c r="CI247" s="22"/>
      <c r="CJ247" s="22"/>
      <c r="CK247" s="144"/>
    </row>
    <row r="248" spans="1:89" ht="15.75" customHeight="1" x14ac:dyDescent="0.45">
      <c r="A248" s="22"/>
      <c r="B248" s="22"/>
      <c r="C248" s="12"/>
      <c r="D248" s="12"/>
      <c r="E248" s="155"/>
      <c r="F248" s="144"/>
      <c r="G248" s="12"/>
      <c r="H248" s="22"/>
      <c r="I248" s="22"/>
      <c r="J248" s="22"/>
      <c r="K248" s="145"/>
      <c r="L248" s="144"/>
      <c r="M248" s="144"/>
      <c r="N248" s="152"/>
      <c r="O248" s="22"/>
      <c r="P248" s="152"/>
      <c r="Q248" s="22"/>
      <c r="R248" s="74"/>
      <c r="S248" s="45"/>
      <c r="T248" s="158"/>
      <c r="U248" s="45"/>
      <c r="V248" s="45"/>
      <c r="W248" s="45"/>
      <c r="X248" s="45"/>
      <c r="Y248" s="45"/>
      <c r="Z248" s="45"/>
      <c r="AA248" s="45"/>
      <c r="AB248" s="45"/>
      <c r="AC248" s="144"/>
      <c r="AD248" s="144"/>
      <c r="AE248" s="45"/>
      <c r="AF248" s="45"/>
      <c r="AG248" s="144"/>
      <c r="AH248" s="144"/>
      <c r="AI248" s="144"/>
      <c r="AJ248" s="22"/>
      <c r="AK248" s="22"/>
      <c r="AL248" s="144"/>
      <c r="AM248" s="22"/>
      <c r="AN248" s="22"/>
      <c r="AO248" s="144"/>
      <c r="AP248" s="22"/>
      <c r="AQ248" s="22"/>
      <c r="AR248" s="144"/>
      <c r="AS248" s="22"/>
      <c r="AT248" s="22"/>
      <c r="AU248" s="144"/>
      <c r="AV248" s="22"/>
      <c r="AW248" s="22"/>
      <c r="AX248" s="144"/>
      <c r="AY248" s="144"/>
      <c r="AZ248" s="22"/>
      <c r="BA248" s="144"/>
      <c r="BB248" s="144"/>
      <c r="BC248" s="144"/>
      <c r="BD248" s="144"/>
      <c r="BE248" s="144"/>
      <c r="BF248" s="22"/>
      <c r="BG248" s="144"/>
      <c r="BH248" s="144"/>
      <c r="BI248" s="22"/>
      <c r="BJ248" s="144"/>
      <c r="BK248" s="22"/>
      <c r="BL248" s="144"/>
      <c r="BM248" s="144"/>
      <c r="BN248" s="22"/>
      <c r="BO248" s="144"/>
      <c r="BP248" s="144"/>
      <c r="BQ248" s="22"/>
      <c r="BR248" s="22"/>
      <c r="BS248" s="144"/>
      <c r="BT248" s="22"/>
      <c r="BU248" s="22"/>
      <c r="BV248" s="144"/>
      <c r="BW248" s="22"/>
      <c r="BX248" s="22"/>
      <c r="BY248" s="144"/>
      <c r="BZ248" s="22"/>
      <c r="CA248" s="22"/>
      <c r="CB248" s="144"/>
      <c r="CC248" s="22"/>
      <c r="CD248" s="22"/>
      <c r="CE248" s="144"/>
      <c r="CF248" s="22"/>
      <c r="CG248" s="22"/>
      <c r="CH248" s="144"/>
      <c r="CI248" s="22"/>
      <c r="CJ248" s="22"/>
      <c r="CK248" s="144"/>
    </row>
    <row r="249" spans="1:89" ht="15.75" customHeight="1" x14ac:dyDescent="0.45">
      <c r="A249" s="22"/>
      <c r="B249" s="22"/>
      <c r="C249" s="12"/>
      <c r="D249" s="12"/>
      <c r="E249" s="155"/>
      <c r="F249" s="144"/>
      <c r="G249" s="12"/>
      <c r="H249" s="22"/>
      <c r="I249" s="22"/>
      <c r="J249" s="22"/>
      <c r="K249" s="145"/>
      <c r="L249" s="144"/>
      <c r="M249" s="144"/>
      <c r="N249" s="152"/>
      <c r="O249" s="22"/>
      <c r="P249" s="152"/>
      <c r="Q249" s="22"/>
      <c r="R249" s="74"/>
      <c r="S249" s="45"/>
      <c r="T249" s="158"/>
      <c r="U249" s="45"/>
      <c r="V249" s="45"/>
      <c r="W249" s="45"/>
      <c r="X249" s="45"/>
      <c r="Y249" s="45"/>
      <c r="Z249" s="45"/>
      <c r="AA249" s="45"/>
      <c r="AB249" s="45"/>
      <c r="AC249" s="144"/>
      <c r="AD249" s="144"/>
      <c r="AE249" s="45"/>
      <c r="AF249" s="45"/>
      <c r="AG249" s="144"/>
      <c r="AH249" s="144"/>
      <c r="AI249" s="144"/>
      <c r="AJ249" s="22"/>
      <c r="AK249" s="22"/>
      <c r="AL249" s="144"/>
      <c r="AM249" s="22"/>
      <c r="AN249" s="22"/>
      <c r="AO249" s="144"/>
      <c r="AP249" s="22"/>
      <c r="AQ249" s="22"/>
      <c r="AR249" s="144"/>
      <c r="AS249" s="22"/>
      <c r="AT249" s="22"/>
      <c r="AU249" s="144"/>
      <c r="AV249" s="22"/>
      <c r="AW249" s="22"/>
      <c r="AX249" s="144"/>
      <c r="AY249" s="144"/>
      <c r="AZ249" s="22"/>
      <c r="BA249" s="144"/>
      <c r="BB249" s="144"/>
      <c r="BC249" s="144"/>
      <c r="BD249" s="144"/>
      <c r="BE249" s="144"/>
      <c r="BF249" s="22"/>
      <c r="BG249" s="144"/>
      <c r="BH249" s="144"/>
      <c r="BI249" s="22"/>
      <c r="BJ249" s="144"/>
      <c r="BK249" s="22"/>
      <c r="BL249" s="144"/>
      <c r="BM249" s="144"/>
      <c r="BN249" s="22"/>
      <c r="BO249" s="144"/>
      <c r="BP249" s="144"/>
      <c r="BQ249" s="22"/>
      <c r="BR249" s="22"/>
      <c r="BS249" s="144"/>
      <c r="BT249" s="22"/>
      <c r="BU249" s="22"/>
      <c r="BV249" s="144"/>
      <c r="BW249" s="22"/>
      <c r="BX249" s="22"/>
      <c r="BY249" s="144"/>
      <c r="BZ249" s="22"/>
      <c r="CA249" s="22"/>
      <c r="CB249" s="144"/>
      <c r="CC249" s="22"/>
      <c r="CD249" s="22"/>
      <c r="CE249" s="144"/>
      <c r="CF249" s="22"/>
      <c r="CG249" s="22"/>
      <c r="CH249" s="144"/>
      <c r="CI249" s="22"/>
      <c r="CJ249" s="22"/>
      <c r="CK249" s="144"/>
    </row>
    <row r="250" spans="1:89" ht="15.75" customHeight="1" x14ac:dyDescent="0.45">
      <c r="A250" s="22"/>
      <c r="B250" s="22"/>
      <c r="C250" s="12"/>
      <c r="D250" s="12"/>
      <c r="E250" s="155"/>
      <c r="F250" s="144"/>
      <c r="G250" s="12"/>
      <c r="H250" s="22"/>
      <c r="I250" s="22"/>
      <c r="J250" s="22"/>
      <c r="K250" s="145"/>
      <c r="L250" s="144"/>
      <c r="M250" s="144"/>
      <c r="N250" s="152"/>
      <c r="O250" s="22"/>
      <c r="P250" s="152"/>
      <c r="Q250" s="22"/>
      <c r="R250" s="74"/>
      <c r="S250" s="45"/>
      <c r="T250" s="158"/>
      <c r="U250" s="45"/>
      <c r="V250" s="45"/>
      <c r="W250" s="45"/>
      <c r="X250" s="45"/>
      <c r="Y250" s="45"/>
      <c r="Z250" s="45"/>
      <c r="AA250" s="45"/>
      <c r="AB250" s="45"/>
      <c r="AC250" s="144"/>
      <c r="AD250" s="144"/>
      <c r="AE250" s="45"/>
      <c r="AF250" s="45"/>
      <c r="AG250" s="144"/>
      <c r="AH250" s="144"/>
      <c r="AI250" s="144"/>
      <c r="AJ250" s="22"/>
      <c r="AK250" s="22"/>
      <c r="AL250" s="144"/>
      <c r="AM250" s="22"/>
      <c r="AN250" s="22"/>
      <c r="AO250" s="144"/>
      <c r="AP250" s="22"/>
      <c r="AQ250" s="22"/>
      <c r="AR250" s="144"/>
      <c r="AS250" s="22"/>
      <c r="AT250" s="22"/>
      <c r="AU250" s="144"/>
      <c r="AV250" s="22"/>
      <c r="AW250" s="22"/>
      <c r="AX250" s="144"/>
      <c r="AY250" s="144"/>
      <c r="AZ250" s="22"/>
      <c r="BA250" s="144"/>
      <c r="BB250" s="144"/>
      <c r="BC250" s="144"/>
      <c r="BD250" s="144"/>
      <c r="BE250" s="144"/>
      <c r="BF250" s="22"/>
      <c r="BG250" s="144"/>
      <c r="BH250" s="144"/>
      <c r="BI250" s="22"/>
      <c r="BJ250" s="144"/>
      <c r="BK250" s="22"/>
      <c r="BL250" s="144"/>
      <c r="BM250" s="144"/>
      <c r="BN250" s="22"/>
      <c r="BO250" s="144"/>
      <c r="BP250" s="144"/>
      <c r="BQ250" s="22"/>
      <c r="BR250" s="22"/>
      <c r="BS250" s="144"/>
      <c r="BT250" s="22"/>
      <c r="BU250" s="22"/>
      <c r="BV250" s="144"/>
      <c r="BW250" s="22"/>
      <c r="BX250" s="22"/>
      <c r="BY250" s="144"/>
      <c r="BZ250" s="22"/>
      <c r="CA250" s="22"/>
      <c r="CB250" s="144"/>
      <c r="CC250" s="22"/>
      <c r="CD250" s="22"/>
      <c r="CE250" s="144"/>
      <c r="CF250" s="22"/>
      <c r="CG250" s="22"/>
      <c r="CH250" s="144"/>
      <c r="CI250" s="22"/>
      <c r="CJ250" s="22"/>
      <c r="CK250" s="144"/>
    </row>
    <row r="251" spans="1:89" ht="15.75" customHeight="1" x14ac:dyDescent="0.45">
      <c r="A251" s="22"/>
      <c r="B251" s="22"/>
      <c r="C251" s="12"/>
      <c r="D251" s="12"/>
      <c r="E251" s="155"/>
      <c r="F251" s="144"/>
      <c r="G251" s="12"/>
      <c r="H251" s="22"/>
      <c r="I251" s="22"/>
      <c r="J251" s="22"/>
      <c r="K251" s="145"/>
      <c r="L251" s="144"/>
      <c r="M251" s="144"/>
      <c r="N251" s="152"/>
      <c r="O251" s="22"/>
      <c r="P251" s="152"/>
      <c r="Q251" s="22"/>
      <c r="R251" s="74"/>
      <c r="S251" s="45"/>
      <c r="T251" s="158"/>
      <c r="U251" s="45"/>
      <c r="V251" s="45"/>
      <c r="W251" s="45"/>
      <c r="X251" s="45"/>
      <c r="Y251" s="45"/>
      <c r="Z251" s="45"/>
      <c r="AA251" s="45"/>
      <c r="AB251" s="45"/>
      <c r="AC251" s="144"/>
      <c r="AD251" s="144"/>
      <c r="AE251" s="45"/>
      <c r="AF251" s="45"/>
      <c r="AG251" s="144"/>
      <c r="AH251" s="144"/>
      <c r="AI251" s="144"/>
      <c r="AJ251" s="22"/>
      <c r="AK251" s="22"/>
      <c r="AL251" s="144"/>
      <c r="AM251" s="22"/>
      <c r="AN251" s="22"/>
      <c r="AO251" s="144"/>
      <c r="AP251" s="22"/>
      <c r="AQ251" s="22"/>
      <c r="AR251" s="144"/>
      <c r="AS251" s="22"/>
      <c r="AT251" s="22"/>
      <c r="AU251" s="144"/>
      <c r="AV251" s="22"/>
      <c r="AW251" s="22"/>
      <c r="AX251" s="144"/>
      <c r="AY251" s="144"/>
      <c r="AZ251" s="22"/>
      <c r="BA251" s="144"/>
      <c r="BB251" s="144"/>
      <c r="BC251" s="144"/>
      <c r="BD251" s="144"/>
      <c r="BE251" s="144"/>
      <c r="BF251" s="22"/>
      <c r="BG251" s="144"/>
      <c r="BH251" s="144"/>
      <c r="BI251" s="22"/>
      <c r="BJ251" s="144"/>
      <c r="BK251" s="22"/>
      <c r="BL251" s="144"/>
      <c r="BM251" s="144"/>
      <c r="BN251" s="22"/>
      <c r="BO251" s="144"/>
      <c r="BP251" s="144"/>
      <c r="BQ251" s="22"/>
      <c r="BR251" s="22"/>
      <c r="BS251" s="144"/>
      <c r="BT251" s="22"/>
      <c r="BU251" s="22"/>
      <c r="BV251" s="144"/>
      <c r="BW251" s="22"/>
      <c r="BX251" s="22"/>
      <c r="BY251" s="144"/>
      <c r="BZ251" s="22"/>
      <c r="CA251" s="22"/>
      <c r="CB251" s="144"/>
      <c r="CC251" s="22"/>
      <c r="CD251" s="22"/>
      <c r="CE251" s="144"/>
      <c r="CF251" s="22"/>
      <c r="CG251" s="22"/>
      <c r="CH251" s="144"/>
      <c r="CI251" s="22"/>
      <c r="CJ251" s="22"/>
      <c r="CK251" s="144"/>
    </row>
    <row r="252" spans="1:89" ht="15.75" customHeight="1" x14ac:dyDescent="0.45">
      <c r="A252" s="22"/>
      <c r="B252" s="22"/>
      <c r="C252" s="12"/>
      <c r="D252" s="12"/>
      <c r="E252" s="155"/>
      <c r="F252" s="144"/>
      <c r="G252" s="12"/>
      <c r="H252" s="22"/>
      <c r="I252" s="22"/>
      <c r="J252" s="22"/>
      <c r="K252" s="145"/>
      <c r="L252" s="144"/>
      <c r="M252" s="144"/>
      <c r="N252" s="152"/>
      <c r="O252" s="22"/>
      <c r="P252" s="152"/>
      <c r="Q252" s="22"/>
      <c r="R252" s="74"/>
      <c r="S252" s="45"/>
      <c r="T252" s="158"/>
      <c r="U252" s="45"/>
      <c r="V252" s="45"/>
      <c r="W252" s="45"/>
      <c r="X252" s="45"/>
      <c r="Y252" s="45"/>
      <c r="Z252" s="45"/>
      <c r="AA252" s="45"/>
      <c r="AB252" s="45"/>
      <c r="AC252" s="144"/>
      <c r="AD252" s="144"/>
      <c r="AE252" s="45"/>
      <c r="AF252" s="45"/>
      <c r="AG252" s="144"/>
      <c r="AH252" s="144"/>
      <c r="AI252" s="144"/>
      <c r="AJ252" s="22"/>
      <c r="AK252" s="22"/>
      <c r="AL252" s="144"/>
      <c r="AM252" s="22"/>
      <c r="AN252" s="22"/>
      <c r="AO252" s="144"/>
      <c r="AP252" s="22"/>
      <c r="AQ252" s="22"/>
      <c r="AR252" s="144"/>
      <c r="AS252" s="22"/>
      <c r="AT252" s="22"/>
      <c r="AU252" s="144"/>
      <c r="AV252" s="22"/>
      <c r="AW252" s="22"/>
      <c r="AX252" s="144"/>
      <c r="AY252" s="144"/>
      <c r="AZ252" s="22"/>
      <c r="BA252" s="144"/>
      <c r="BB252" s="144"/>
      <c r="BC252" s="144"/>
      <c r="BD252" s="144"/>
      <c r="BE252" s="144"/>
      <c r="BF252" s="22"/>
      <c r="BG252" s="144"/>
      <c r="BH252" s="144"/>
      <c r="BI252" s="22"/>
      <c r="BJ252" s="144"/>
      <c r="BK252" s="22"/>
      <c r="BL252" s="144"/>
      <c r="BM252" s="144"/>
      <c r="BN252" s="22"/>
      <c r="BO252" s="144"/>
      <c r="BP252" s="144"/>
      <c r="BQ252" s="22"/>
      <c r="BR252" s="22"/>
      <c r="BS252" s="144"/>
      <c r="BT252" s="22"/>
      <c r="BU252" s="22"/>
      <c r="BV252" s="144"/>
      <c r="BW252" s="22"/>
      <c r="BX252" s="22"/>
      <c r="BY252" s="144"/>
      <c r="BZ252" s="22"/>
      <c r="CA252" s="22"/>
      <c r="CB252" s="144"/>
      <c r="CC252" s="22"/>
      <c r="CD252" s="22"/>
      <c r="CE252" s="144"/>
      <c r="CF252" s="22"/>
      <c r="CG252" s="22"/>
      <c r="CH252" s="144"/>
      <c r="CI252" s="22"/>
      <c r="CJ252" s="22"/>
      <c r="CK252" s="144"/>
    </row>
    <row r="253" spans="1:89" ht="15.75" customHeight="1" x14ac:dyDescent="0.45">
      <c r="A253" s="22"/>
      <c r="B253" s="22"/>
      <c r="C253" s="12"/>
      <c r="D253" s="12"/>
      <c r="E253" s="155"/>
      <c r="F253" s="144"/>
      <c r="G253" s="12"/>
      <c r="H253" s="22"/>
      <c r="I253" s="22"/>
      <c r="J253" s="22"/>
      <c r="K253" s="145"/>
      <c r="L253" s="144"/>
      <c r="M253" s="144"/>
      <c r="N253" s="152"/>
      <c r="O253" s="22"/>
      <c r="P253" s="152"/>
      <c r="Q253" s="22"/>
      <c r="R253" s="74"/>
      <c r="S253" s="45"/>
      <c r="T253" s="158"/>
      <c r="U253" s="45"/>
      <c r="V253" s="45"/>
      <c r="W253" s="45"/>
      <c r="X253" s="45"/>
      <c r="Y253" s="45"/>
      <c r="Z253" s="45"/>
      <c r="AA253" s="45"/>
      <c r="AB253" s="45"/>
      <c r="AC253" s="144"/>
      <c r="AD253" s="144"/>
      <c r="AE253" s="45"/>
      <c r="AF253" s="45"/>
      <c r="AG253" s="144"/>
      <c r="AH253" s="144"/>
      <c r="AI253" s="144"/>
      <c r="AJ253" s="22"/>
      <c r="AK253" s="22"/>
      <c r="AL253" s="144"/>
      <c r="AM253" s="22"/>
      <c r="AN253" s="22"/>
      <c r="AO253" s="144"/>
      <c r="AP253" s="22"/>
      <c r="AQ253" s="22"/>
      <c r="AR253" s="144"/>
      <c r="AS253" s="22"/>
      <c r="AT253" s="22"/>
      <c r="AU253" s="144"/>
      <c r="AV253" s="22"/>
      <c r="AW253" s="22"/>
      <c r="AX253" s="144"/>
      <c r="AY253" s="144"/>
      <c r="AZ253" s="22"/>
      <c r="BA253" s="144"/>
      <c r="BB253" s="144"/>
      <c r="BC253" s="144"/>
      <c r="BD253" s="144"/>
      <c r="BE253" s="144"/>
      <c r="BF253" s="22"/>
      <c r="BG253" s="144"/>
      <c r="BH253" s="144"/>
      <c r="BI253" s="22"/>
      <c r="BJ253" s="144"/>
      <c r="BK253" s="22"/>
      <c r="BL253" s="144"/>
      <c r="BM253" s="144"/>
      <c r="BN253" s="22"/>
      <c r="BO253" s="144"/>
      <c r="BP253" s="144"/>
      <c r="BQ253" s="22"/>
      <c r="BR253" s="22"/>
      <c r="BS253" s="144"/>
      <c r="BT253" s="22"/>
      <c r="BU253" s="22"/>
      <c r="BV253" s="144"/>
      <c r="BW253" s="22"/>
      <c r="BX253" s="22"/>
      <c r="BY253" s="144"/>
      <c r="BZ253" s="22"/>
      <c r="CA253" s="22"/>
      <c r="CB253" s="144"/>
      <c r="CC253" s="22"/>
      <c r="CD253" s="22"/>
      <c r="CE253" s="144"/>
      <c r="CF253" s="22"/>
      <c r="CG253" s="22"/>
      <c r="CH253" s="144"/>
      <c r="CI253" s="22"/>
      <c r="CJ253" s="22"/>
      <c r="CK253" s="144"/>
    </row>
    <row r="254" spans="1:89" ht="15.75" customHeight="1" x14ac:dyDescent="0.45">
      <c r="A254" s="22"/>
      <c r="B254" s="22"/>
      <c r="C254" s="12"/>
      <c r="D254" s="12"/>
      <c r="E254" s="155"/>
      <c r="F254" s="144"/>
      <c r="G254" s="12"/>
      <c r="H254" s="22"/>
      <c r="I254" s="22"/>
      <c r="J254" s="22"/>
      <c r="K254" s="145"/>
      <c r="L254" s="144"/>
      <c r="M254" s="144"/>
      <c r="N254" s="152"/>
      <c r="O254" s="22"/>
      <c r="P254" s="152"/>
      <c r="Q254" s="22"/>
      <c r="R254" s="74"/>
      <c r="S254" s="45"/>
      <c r="T254" s="158"/>
      <c r="U254" s="45"/>
      <c r="V254" s="45"/>
      <c r="W254" s="45"/>
      <c r="X254" s="45"/>
      <c r="Y254" s="45"/>
      <c r="Z254" s="45"/>
      <c r="AA254" s="45"/>
      <c r="AB254" s="45"/>
      <c r="AC254" s="144"/>
      <c r="AD254" s="144"/>
      <c r="AE254" s="45"/>
      <c r="AF254" s="45"/>
      <c r="AG254" s="144"/>
      <c r="AH254" s="144"/>
      <c r="AI254" s="144"/>
      <c r="AJ254" s="22"/>
      <c r="AK254" s="22"/>
      <c r="AL254" s="144"/>
      <c r="AM254" s="22"/>
      <c r="AN254" s="22"/>
      <c r="AO254" s="144"/>
      <c r="AP254" s="22"/>
      <c r="AQ254" s="22"/>
      <c r="AR254" s="144"/>
      <c r="AS254" s="22"/>
      <c r="AT254" s="22"/>
      <c r="AU254" s="144"/>
      <c r="AV254" s="22"/>
      <c r="AW254" s="22"/>
      <c r="AX254" s="144"/>
      <c r="AY254" s="144"/>
      <c r="AZ254" s="22"/>
      <c r="BA254" s="144"/>
      <c r="BB254" s="144"/>
      <c r="BC254" s="144"/>
      <c r="BD254" s="144"/>
      <c r="BE254" s="144"/>
      <c r="BF254" s="22"/>
      <c r="BG254" s="144"/>
      <c r="BH254" s="144"/>
      <c r="BI254" s="22"/>
      <c r="BJ254" s="144"/>
      <c r="BK254" s="22"/>
      <c r="BL254" s="144"/>
      <c r="BM254" s="144"/>
      <c r="BN254" s="22"/>
      <c r="BO254" s="144"/>
      <c r="BP254" s="144"/>
      <c r="BQ254" s="22"/>
      <c r="BR254" s="22"/>
      <c r="BS254" s="144"/>
      <c r="BT254" s="22"/>
      <c r="BU254" s="22"/>
      <c r="BV254" s="144"/>
      <c r="BW254" s="22"/>
      <c r="BX254" s="22"/>
      <c r="BY254" s="144"/>
      <c r="BZ254" s="22"/>
      <c r="CA254" s="22"/>
      <c r="CB254" s="144"/>
      <c r="CC254" s="22"/>
      <c r="CD254" s="22"/>
      <c r="CE254" s="144"/>
      <c r="CF254" s="22"/>
      <c r="CG254" s="22"/>
      <c r="CH254" s="144"/>
      <c r="CI254" s="22"/>
      <c r="CJ254" s="22"/>
      <c r="CK254" s="144"/>
    </row>
    <row r="255" spans="1:89" ht="15.75" customHeight="1" x14ac:dyDescent="0.45">
      <c r="A255" s="22"/>
      <c r="B255" s="22"/>
      <c r="C255" s="12"/>
      <c r="D255" s="12"/>
      <c r="E255" s="155"/>
      <c r="F255" s="144"/>
      <c r="G255" s="12"/>
      <c r="H255" s="22"/>
      <c r="I255" s="22"/>
      <c r="J255" s="22"/>
      <c r="K255" s="145"/>
      <c r="L255" s="144"/>
      <c r="M255" s="144"/>
      <c r="N255" s="152"/>
      <c r="O255" s="22"/>
      <c r="P255" s="152"/>
      <c r="Q255" s="22"/>
      <c r="R255" s="74"/>
      <c r="S255" s="45"/>
      <c r="T255" s="158"/>
      <c r="U255" s="45"/>
      <c r="V255" s="45"/>
      <c r="W255" s="45"/>
      <c r="X255" s="45"/>
      <c r="Y255" s="45"/>
      <c r="Z255" s="45"/>
      <c r="AA255" s="45"/>
      <c r="AB255" s="45"/>
      <c r="AC255" s="144"/>
      <c r="AD255" s="144"/>
      <c r="AE255" s="45"/>
      <c r="AF255" s="45"/>
      <c r="AG255" s="144"/>
      <c r="AH255" s="144"/>
      <c r="AI255" s="144"/>
      <c r="AJ255" s="22"/>
      <c r="AK255" s="22"/>
      <c r="AL255" s="144"/>
      <c r="AM255" s="22"/>
      <c r="AN255" s="22"/>
      <c r="AO255" s="144"/>
      <c r="AP255" s="22"/>
      <c r="AQ255" s="22"/>
      <c r="AR255" s="144"/>
      <c r="AS255" s="22"/>
      <c r="AT255" s="22"/>
      <c r="AU255" s="144"/>
      <c r="AV255" s="22"/>
      <c r="AW255" s="22"/>
      <c r="AX255" s="144"/>
      <c r="AY255" s="144"/>
      <c r="AZ255" s="22"/>
      <c r="BA255" s="144"/>
      <c r="BB255" s="144"/>
      <c r="BC255" s="144"/>
      <c r="BD255" s="144"/>
      <c r="BE255" s="144"/>
      <c r="BF255" s="22"/>
      <c r="BG255" s="144"/>
      <c r="BH255" s="144"/>
      <c r="BI255" s="22"/>
      <c r="BJ255" s="144"/>
      <c r="BK255" s="22"/>
      <c r="BL255" s="144"/>
      <c r="BM255" s="144"/>
      <c r="BN255" s="22"/>
      <c r="BO255" s="144"/>
      <c r="BP255" s="144"/>
      <c r="BQ255" s="22"/>
      <c r="BR255" s="22"/>
      <c r="BS255" s="144"/>
      <c r="BT255" s="22"/>
      <c r="BU255" s="22"/>
      <c r="BV255" s="144"/>
      <c r="BW255" s="22"/>
      <c r="BX255" s="22"/>
      <c r="BY255" s="144"/>
      <c r="BZ255" s="22"/>
      <c r="CA255" s="22"/>
      <c r="CB255" s="144"/>
      <c r="CC255" s="22"/>
      <c r="CD255" s="22"/>
      <c r="CE255" s="144"/>
      <c r="CF255" s="22"/>
      <c r="CG255" s="22"/>
      <c r="CH255" s="144"/>
      <c r="CI255" s="22"/>
      <c r="CJ255" s="22"/>
      <c r="CK255" s="144"/>
    </row>
    <row r="256" spans="1:89" ht="15.75" customHeight="1" x14ac:dyDescent="0.45">
      <c r="A256" s="22"/>
      <c r="B256" s="22"/>
      <c r="C256" s="12"/>
      <c r="D256" s="12"/>
      <c r="E256" s="155"/>
      <c r="F256" s="144"/>
      <c r="G256" s="12"/>
      <c r="H256" s="22"/>
      <c r="I256" s="22"/>
      <c r="J256" s="22"/>
      <c r="K256" s="145"/>
      <c r="L256" s="144"/>
      <c r="M256" s="144"/>
      <c r="N256" s="152"/>
      <c r="O256" s="22"/>
      <c r="P256" s="152"/>
      <c r="Q256" s="22"/>
      <c r="R256" s="74"/>
      <c r="S256" s="45"/>
      <c r="T256" s="158"/>
      <c r="U256" s="45"/>
      <c r="V256" s="45"/>
      <c r="W256" s="45"/>
      <c r="X256" s="45"/>
      <c r="Y256" s="45"/>
      <c r="Z256" s="45"/>
      <c r="AA256" s="45"/>
      <c r="AB256" s="45"/>
      <c r="AC256" s="144"/>
      <c r="AD256" s="144"/>
      <c r="AE256" s="45"/>
      <c r="AF256" s="45"/>
      <c r="AG256" s="144"/>
      <c r="AH256" s="144"/>
      <c r="AI256" s="144"/>
      <c r="AJ256" s="22"/>
      <c r="AK256" s="22"/>
      <c r="AL256" s="144"/>
      <c r="AM256" s="22"/>
      <c r="AN256" s="22"/>
      <c r="AO256" s="144"/>
      <c r="AP256" s="22"/>
      <c r="AQ256" s="22"/>
      <c r="AR256" s="144"/>
      <c r="AS256" s="22"/>
      <c r="AT256" s="22"/>
      <c r="AU256" s="144"/>
      <c r="AV256" s="22"/>
      <c r="AW256" s="22"/>
      <c r="AX256" s="144"/>
      <c r="AY256" s="144"/>
      <c r="AZ256" s="22"/>
      <c r="BA256" s="144"/>
      <c r="BB256" s="144"/>
      <c r="BC256" s="144"/>
      <c r="BD256" s="144"/>
      <c r="BE256" s="144"/>
      <c r="BF256" s="22"/>
      <c r="BG256" s="144"/>
      <c r="BH256" s="144"/>
      <c r="BI256" s="22"/>
      <c r="BJ256" s="144"/>
      <c r="BK256" s="22"/>
      <c r="BL256" s="144"/>
      <c r="BM256" s="144"/>
      <c r="BN256" s="22"/>
      <c r="BO256" s="144"/>
      <c r="BP256" s="144"/>
      <c r="BQ256" s="22"/>
      <c r="BR256" s="22"/>
      <c r="BS256" s="144"/>
      <c r="BT256" s="22"/>
      <c r="BU256" s="22"/>
      <c r="BV256" s="144"/>
      <c r="BW256" s="22"/>
      <c r="BX256" s="22"/>
      <c r="BY256" s="144"/>
      <c r="BZ256" s="22"/>
      <c r="CA256" s="22"/>
      <c r="CB256" s="144"/>
      <c r="CC256" s="22"/>
      <c r="CD256" s="22"/>
      <c r="CE256" s="144"/>
      <c r="CF256" s="22"/>
      <c r="CG256" s="22"/>
      <c r="CH256" s="144"/>
      <c r="CI256" s="22"/>
      <c r="CJ256" s="22"/>
      <c r="CK256" s="144"/>
    </row>
    <row r="257" spans="1:89" ht="15.75" customHeight="1" x14ac:dyDescent="0.45">
      <c r="A257" s="22"/>
      <c r="B257" s="22"/>
      <c r="C257" s="12"/>
      <c r="D257" s="12"/>
      <c r="E257" s="155"/>
      <c r="F257" s="144"/>
      <c r="G257" s="12"/>
      <c r="H257" s="22"/>
      <c r="I257" s="22"/>
      <c r="J257" s="22"/>
      <c r="K257" s="145"/>
      <c r="L257" s="144"/>
      <c r="M257" s="144"/>
      <c r="N257" s="152"/>
      <c r="O257" s="22"/>
      <c r="P257" s="152"/>
      <c r="Q257" s="22"/>
      <c r="R257" s="74"/>
      <c r="S257" s="45"/>
      <c r="T257" s="158"/>
      <c r="U257" s="45"/>
      <c r="V257" s="45"/>
      <c r="W257" s="45"/>
      <c r="X257" s="45"/>
      <c r="Y257" s="45"/>
      <c r="Z257" s="45"/>
      <c r="AA257" s="45"/>
      <c r="AB257" s="45"/>
      <c r="AC257" s="144"/>
      <c r="AD257" s="144"/>
      <c r="AE257" s="45"/>
      <c r="AF257" s="45"/>
      <c r="AG257" s="144"/>
      <c r="AH257" s="144"/>
      <c r="AI257" s="144"/>
      <c r="AJ257" s="22"/>
      <c r="AK257" s="22"/>
      <c r="AL257" s="144"/>
      <c r="AM257" s="22"/>
      <c r="AN257" s="22"/>
      <c r="AO257" s="144"/>
      <c r="AP257" s="22"/>
      <c r="AQ257" s="22"/>
      <c r="AR257" s="144"/>
      <c r="AS257" s="22"/>
      <c r="AT257" s="22"/>
      <c r="AU257" s="144"/>
      <c r="AV257" s="22"/>
      <c r="AW257" s="22"/>
      <c r="AX257" s="144"/>
      <c r="AY257" s="144"/>
      <c r="AZ257" s="22"/>
      <c r="BA257" s="144"/>
      <c r="BB257" s="144"/>
      <c r="BC257" s="144"/>
      <c r="BD257" s="144"/>
      <c r="BE257" s="144"/>
      <c r="BF257" s="22"/>
      <c r="BG257" s="144"/>
      <c r="BH257" s="144"/>
      <c r="BI257" s="22"/>
      <c r="BJ257" s="144"/>
      <c r="BK257" s="22"/>
      <c r="BL257" s="144"/>
      <c r="BM257" s="144"/>
      <c r="BN257" s="22"/>
      <c r="BO257" s="144"/>
      <c r="BP257" s="144"/>
      <c r="BQ257" s="22"/>
      <c r="BR257" s="22"/>
      <c r="BS257" s="144"/>
      <c r="BT257" s="22"/>
      <c r="BU257" s="22"/>
      <c r="BV257" s="144"/>
      <c r="BW257" s="22"/>
      <c r="BX257" s="22"/>
      <c r="BY257" s="144"/>
      <c r="BZ257" s="22"/>
      <c r="CA257" s="22"/>
      <c r="CB257" s="144"/>
      <c r="CC257" s="22"/>
      <c r="CD257" s="22"/>
      <c r="CE257" s="144"/>
      <c r="CF257" s="22"/>
      <c r="CG257" s="22"/>
      <c r="CH257" s="144"/>
      <c r="CI257" s="22"/>
      <c r="CJ257" s="22"/>
      <c r="CK257" s="144"/>
    </row>
    <row r="258" spans="1:89" ht="15.75" customHeight="1" x14ac:dyDescent="0.45">
      <c r="A258" s="22"/>
      <c r="B258" s="22"/>
      <c r="C258" s="12"/>
      <c r="D258" s="12"/>
      <c r="E258" s="155"/>
      <c r="F258" s="144"/>
      <c r="G258" s="12"/>
      <c r="H258" s="22"/>
      <c r="I258" s="22"/>
      <c r="J258" s="22"/>
      <c r="K258" s="145"/>
      <c r="L258" s="144"/>
      <c r="M258" s="144"/>
      <c r="N258" s="152"/>
      <c r="O258" s="22"/>
      <c r="P258" s="152"/>
      <c r="Q258" s="22"/>
      <c r="R258" s="74"/>
      <c r="S258" s="45"/>
      <c r="T258" s="158"/>
      <c r="U258" s="45"/>
      <c r="V258" s="45"/>
      <c r="W258" s="45"/>
      <c r="X258" s="45"/>
      <c r="Y258" s="45"/>
      <c r="Z258" s="45"/>
      <c r="AA258" s="45"/>
      <c r="AB258" s="45"/>
      <c r="AC258" s="144"/>
      <c r="AD258" s="144"/>
      <c r="AE258" s="45"/>
      <c r="AF258" s="45"/>
      <c r="AG258" s="144"/>
      <c r="AH258" s="144"/>
      <c r="AI258" s="144"/>
      <c r="AJ258" s="22"/>
      <c r="AK258" s="22"/>
      <c r="AL258" s="144"/>
      <c r="AM258" s="22"/>
      <c r="AN258" s="22"/>
      <c r="AO258" s="144"/>
      <c r="AP258" s="22"/>
      <c r="AQ258" s="22"/>
      <c r="AR258" s="144"/>
      <c r="AS258" s="22"/>
      <c r="AT258" s="22"/>
      <c r="AU258" s="144"/>
      <c r="AV258" s="22"/>
      <c r="AW258" s="22"/>
      <c r="AX258" s="144"/>
      <c r="AY258" s="144"/>
      <c r="AZ258" s="22"/>
      <c r="BA258" s="144"/>
      <c r="BB258" s="144"/>
      <c r="BC258" s="144"/>
      <c r="BD258" s="144"/>
      <c r="BE258" s="144"/>
      <c r="BF258" s="22"/>
      <c r="BG258" s="144"/>
      <c r="BH258" s="144"/>
      <c r="BI258" s="22"/>
      <c r="BJ258" s="144"/>
      <c r="BK258" s="22"/>
      <c r="BL258" s="144"/>
      <c r="BM258" s="144"/>
      <c r="BN258" s="22"/>
      <c r="BO258" s="144"/>
      <c r="BP258" s="144"/>
      <c r="BQ258" s="22"/>
      <c r="BR258" s="22"/>
      <c r="BS258" s="144"/>
      <c r="BT258" s="22"/>
      <c r="BU258" s="22"/>
      <c r="BV258" s="144"/>
      <c r="BW258" s="22"/>
      <c r="BX258" s="22"/>
      <c r="BY258" s="144"/>
      <c r="BZ258" s="22"/>
      <c r="CA258" s="22"/>
      <c r="CB258" s="144"/>
      <c r="CC258" s="22"/>
      <c r="CD258" s="22"/>
      <c r="CE258" s="144"/>
      <c r="CF258" s="22"/>
      <c r="CG258" s="22"/>
      <c r="CH258" s="144"/>
      <c r="CI258" s="22"/>
      <c r="CJ258" s="22"/>
      <c r="CK258" s="144"/>
    </row>
    <row r="259" spans="1:89" ht="15.75" customHeight="1" x14ac:dyDescent="0.45">
      <c r="A259" s="22"/>
      <c r="B259" s="22"/>
      <c r="C259" s="12"/>
      <c r="D259" s="12"/>
      <c r="E259" s="155"/>
      <c r="F259" s="144"/>
      <c r="G259" s="12"/>
      <c r="H259" s="22"/>
      <c r="I259" s="22"/>
      <c r="J259" s="22"/>
      <c r="K259" s="145"/>
      <c r="L259" s="144"/>
      <c r="M259" s="144"/>
      <c r="N259" s="152"/>
      <c r="O259" s="22"/>
      <c r="P259" s="152"/>
      <c r="Q259" s="22"/>
      <c r="R259" s="74"/>
      <c r="S259" s="45"/>
      <c r="T259" s="158"/>
      <c r="U259" s="45"/>
      <c r="V259" s="45"/>
      <c r="W259" s="45"/>
      <c r="X259" s="45"/>
      <c r="Y259" s="45"/>
      <c r="Z259" s="45"/>
      <c r="AA259" s="45"/>
      <c r="AB259" s="45"/>
      <c r="AC259" s="144"/>
      <c r="AD259" s="144"/>
      <c r="AE259" s="45"/>
      <c r="AF259" s="45"/>
      <c r="AG259" s="144"/>
      <c r="AH259" s="144"/>
      <c r="AI259" s="144"/>
      <c r="AJ259" s="22"/>
      <c r="AK259" s="22"/>
      <c r="AL259" s="144"/>
      <c r="AM259" s="22"/>
      <c r="AN259" s="22"/>
      <c r="AO259" s="144"/>
      <c r="AP259" s="22"/>
      <c r="AQ259" s="22"/>
      <c r="AR259" s="144"/>
      <c r="AS259" s="22"/>
      <c r="AT259" s="22"/>
      <c r="AU259" s="144"/>
      <c r="AV259" s="22"/>
      <c r="AW259" s="22"/>
      <c r="AX259" s="144"/>
      <c r="AY259" s="144"/>
      <c r="AZ259" s="22"/>
      <c r="BA259" s="144"/>
      <c r="BB259" s="144"/>
      <c r="BC259" s="144"/>
      <c r="BD259" s="144"/>
      <c r="BE259" s="144"/>
      <c r="BF259" s="22"/>
      <c r="BG259" s="144"/>
      <c r="BH259" s="144"/>
      <c r="BI259" s="22"/>
      <c r="BJ259" s="144"/>
      <c r="BK259" s="22"/>
      <c r="BL259" s="144"/>
      <c r="BM259" s="144"/>
      <c r="BN259" s="22"/>
      <c r="BO259" s="144"/>
      <c r="BP259" s="144"/>
      <c r="BQ259" s="22"/>
      <c r="BR259" s="22"/>
      <c r="BS259" s="144"/>
      <c r="BT259" s="22"/>
      <c r="BU259" s="22"/>
      <c r="BV259" s="144"/>
      <c r="BW259" s="22"/>
      <c r="BX259" s="22"/>
      <c r="BY259" s="144"/>
      <c r="BZ259" s="22"/>
      <c r="CA259" s="22"/>
      <c r="CB259" s="144"/>
      <c r="CC259" s="22"/>
      <c r="CD259" s="22"/>
      <c r="CE259" s="144"/>
      <c r="CF259" s="22"/>
      <c r="CG259" s="22"/>
      <c r="CH259" s="144"/>
      <c r="CI259" s="22"/>
      <c r="CJ259" s="22"/>
      <c r="CK259" s="144"/>
    </row>
    <row r="260" spans="1:89" ht="15.75" customHeight="1" x14ac:dyDescent="0.45">
      <c r="A260" s="22"/>
      <c r="B260" s="22"/>
      <c r="C260" s="12"/>
      <c r="D260" s="12"/>
      <c r="E260" s="155"/>
      <c r="F260" s="144"/>
      <c r="G260" s="12"/>
      <c r="H260" s="22"/>
      <c r="I260" s="22"/>
      <c r="J260" s="22"/>
      <c r="K260" s="145"/>
      <c r="L260" s="144"/>
      <c r="M260" s="144"/>
      <c r="N260" s="152"/>
      <c r="O260" s="22"/>
      <c r="P260" s="152"/>
      <c r="Q260" s="22"/>
      <c r="R260" s="74"/>
      <c r="S260" s="45"/>
      <c r="T260" s="158"/>
      <c r="U260" s="45"/>
      <c r="V260" s="45"/>
      <c r="W260" s="45"/>
      <c r="X260" s="45"/>
      <c r="Y260" s="45"/>
      <c r="Z260" s="45"/>
      <c r="AA260" s="45"/>
      <c r="AB260" s="45"/>
      <c r="AC260" s="144"/>
      <c r="AD260" s="144"/>
      <c r="AE260" s="45"/>
      <c r="AF260" s="45"/>
      <c r="AG260" s="144"/>
      <c r="AH260" s="144"/>
      <c r="AI260" s="144"/>
      <c r="AJ260" s="22"/>
      <c r="AK260" s="22"/>
      <c r="AL260" s="144"/>
      <c r="AM260" s="22"/>
      <c r="AN260" s="22"/>
      <c r="AO260" s="144"/>
      <c r="AP260" s="22"/>
      <c r="AQ260" s="22"/>
      <c r="AR260" s="144"/>
      <c r="AS260" s="22"/>
      <c r="AT260" s="22"/>
      <c r="AU260" s="144"/>
      <c r="AV260" s="22"/>
      <c r="AW260" s="22"/>
      <c r="AX260" s="144"/>
      <c r="AY260" s="144"/>
      <c r="AZ260" s="22"/>
      <c r="BA260" s="144"/>
      <c r="BB260" s="144"/>
      <c r="BC260" s="144"/>
      <c r="BD260" s="144"/>
      <c r="BE260" s="144"/>
      <c r="BF260" s="22"/>
      <c r="BG260" s="144"/>
      <c r="BH260" s="144"/>
      <c r="BI260" s="22"/>
      <c r="BJ260" s="144"/>
      <c r="BK260" s="22"/>
      <c r="BL260" s="144"/>
      <c r="BM260" s="144"/>
      <c r="BN260" s="22"/>
      <c r="BO260" s="144"/>
      <c r="BP260" s="144"/>
      <c r="BQ260" s="22"/>
      <c r="BR260" s="22"/>
      <c r="BS260" s="144"/>
      <c r="BT260" s="22"/>
      <c r="BU260" s="22"/>
      <c r="BV260" s="144"/>
      <c r="BW260" s="22"/>
      <c r="BX260" s="22"/>
      <c r="BY260" s="144"/>
      <c r="BZ260" s="22"/>
      <c r="CA260" s="22"/>
      <c r="CB260" s="144"/>
      <c r="CC260" s="22"/>
      <c r="CD260" s="22"/>
      <c r="CE260" s="144"/>
      <c r="CF260" s="22"/>
      <c r="CG260" s="22"/>
      <c r="CH260" s="144"/>
      <c r="CI260" s="22"/>
      <c r="CJ260" s="22"/>
      <c r="CK260" s="144"/>
    </row>
    <row r="261" spans="1:89" ht="15.75" customHeight="1" x14ac:dyDescent="0.45">
      <c r="A261" s="22"/>
      <c r="B261" s="22"/>
      <c r="C261" s="12"/>
      <c r="D261" s="12"/>
      <c r="E261" s="155"/>
      <c r="F261" s="144"/>
      <c r="G261" s="12"/>
      <c r="H261" s="22"/>
      <c r="I261" s="22"/>
      <c r="J261" s="22"/>
      <c r="K261" s="145"/>
      <c r="L261" s="144"/>
      <c r="M261" s="144"/>
      <c r="N261" s="152"/>
      <c r="O261" s="22"/>
      <c r="P261" s="152"/>
      <c r="Q261" s="22"/>
      <c r="R261" s="74"/>
      <c r="S261" s="45"/>
      <c r="T261" s="158"/>
      <c r="U261" s="45"/>
      <c r="V261" s="45"/>
      <c r="W261" s="45"/>
      <c r="X261" s="45"/>
      <c r="Y261" s="45"/>
      <c r="Z261" s="45"/>
      <c r="AA261" s="45"/>
      <c r="AB261" s="45"/>
      <c r="AC261" s="144"/>
      <c r="AD261" s="144"/>
      <c r="AE261" s="45"/>
      <c r="AF261" s="45"/>
      <c r="AG261" s="144"/>
      <c r="AH261" s="144"/>
      <c r="AI261" s="144"/>
      <c r="AJ261" s="22"/>
      <c r="AK261" s="22"/>
      <c r="AL261" s="144"/>
      <c r="AM261" s="22"/>
      <c r="AN261" s="22"/>
      <c r="AO261" s="144"/>
      <c r="AP261" s="22"/>
      <c r="AQ261" s="22"/>
      <c r="AR261" s="144"/>
      <c r="AS261" s="22"/>
      <c r="AT261" s="22"/>
      <c r="AU261" s="144"/>
      <c r="AV261" s="22"/>
      <c r="AW261" s="22"/>
      <c r="AX261" s="144"/>
      <c r="AY261" s="144"/>
      <c r="AZ261" s="22"/>
      <c r="BA261" s="144"/>
      <c r="BB261" s="144"/>
      <c r="BC261" s="144"/>
      <c r="BD261" s="144"/>
      <c r="BE261" s="144"/>
      <c r="BF261" s="22"/>
      <c r="BG261" s="144"/>
      <c r="BH261" s="144"/>
      <c r="BI261" s="22"/>
      <c r="BJ261" s="144"/>
      <c r="BK261" s="22"/>
      <c r="BL261" s="144"/>
      <c r="BM261" s="144"/>
      <c r="BN261" s="22"/>
      <c r="BO261" s="144"/>
      <c r="BP261" s="144"/>
      <c r="BQ261" s="22"/>
      <c r="BR261" s="22"/>
      <c r="BS261" s="144"/>
      <c r="BT261" s="22"/>
      <c r="BU261" s="22"/>
      <c r="BV261" s="144"/>
      <c r="BW261" s="22"/>
      <c r="BX261" s="22"/>
      <c r="BY261" s="144"/>
      <c r="BZ261" s="22"/>
      <c r="CA261" s="22"/>
      <c r="CB261" s="144"/>
      <c r="CC261" s="22"/>
      <c r="CD261" s="22"/>
      <c r="CE261" s="144"/>
      <c r="CF261" s="22"/>
      <c r="CG261" s="22"/>
      <c r="CH261" s="144"/>
      <c r="CI261" s="22"/>
      <c r="CJ261" s="22"/>
      <c r="CK261" s="144"/>
    </row>
    <row r="262" spans="1:89" ht="15.75" customHeight="1" x14ac:dyDescent="0.45">
      <c r="A262" s="22"/>
      <c r="B262" s="22"/>
      <c r="C262" s="12"/>
      <c r="D262" s="12"/>
      <c r="E262" s="155"/>
      <c r="F262" s="144"/>
      <c r="G262" s="12"/>
      <c r="H262" s="22"/>
      <c r="I262" s="22"/>
      <c r="J262" s="22"/>
      <c r="K262" s="145"/>
      <c r="L262" s="144"/>
      <c r="M262" s="144"/>
      <c r="N262" s="152"/>
      <c r="O262" s="22"/>
      <c r="P262" s="152"/>
      <c r="Q262" s="22"/>
      <c r="R262" s="74"/>
      <c r="S262" s="45"/>
      <c r="T262" s="158"/>
      <c r="U262" s="45"/>
      <c r="V262" s="45"/>
      <c r="W262" s="45"/>
      <c r="X262" s="45"/>
      <c r="Y262" s="45"/>
      <c r="Z262" s="45"/>
      <c r="AA262" s="45"/>
      <c r="AB262" s="45"/>
      <c r="AC262" s="144"/>
      <c r="AD262" s="144"/>
      <c r="AE262" s="45"/>
      <c r="AF262" s="45"/>
      <c r="AG262" s="144"/>
      <c r="AH262" s="144"/>
      <c r="AI262" s="144"/>
      <c r="AJ262" s="22"/>
      <c r="AK262" s="22"/>
      <c r="AL262" s="144"/>
      <c r="AM262" s="22"/>
      <c r="AN262" s="22"/>
      <c r="AO262" s="144"/>
      <c r="AP262" s="22"/>
      <c r="AQ262" s="22"/>
      <c r="AR262" s="144"/>
      <c r="AS262" s="22"/>
      <c r="AT262" s="22"/>
      <c r="AU262" s="144"/>
      <c r="AV262" s="22"/>
      <c r="AW262" s="22"/>
      <c r="AX262" s="144"/>
      <c r="AY262" s="144"/>
      <c r="AZ262" s="22"/>
      <c r="BA262" s="144"/>
      <c r="BB262" s="144"/>
      <c r="BC262" s="144"/>
      <c r="BD262" s="144"/>
      <c r="BE262" s="144"/>
      <c r="BF262" s="22"/>
      <c r="BG262" s="144"/>
      <c r="BH262" s="144"/>
      <c r="BI262" s="22"/>
      <c r="BJ262" s="144"/>
      <c r="BK262" s="22"/>
      <c r="BL262" s="144"/>
      <c r="BM262" s="144"/>
      <c r="BN262" s="22"/>
      <c r="BO262" s="144"/>
      <c r="BP262" s="144"/>
      <c r="BQ262" s="22"/>
      <c r="BR262" s="22"/>
      <c r="BS262" s="144"/>
      <c r="BT262" s="22"/>
      <c r="BU262" s="22"/>
      <c r="BV262" s="144"/>
      <c r="BW262" s="22"/>
      <c r="BX262" s="22"/>
      <c r="BY262" s="144"/>
      <c r="BZ262" s="22"/>
      <c r="CA262" s="22"/>
      <c r="CB262" s="144"/>
      <c r="CC262" s="22"/>
      <c r="CD262" s="22"/>
      <c r="CE262" s="144"/>
      <c r="CF262" s="22"/>
      <c r="CG262" s="22"/>
      <c r="CH262" s="144"/>
      <c r="CI262" s="22"/>
      <c r="CJ262" s="22"/>
      <c r="CK262" s="144"/>
    </row>
    <row r="263" spans="1:89" ht="15.75" customHeight="1" x14ac:dyDescent="0.45">
      <c r="A263" s="22"/>
      <c r="B263" s="22"/>
      <c r="C263" s="12"/>
      <c r="D263" s="12"/>
      <c r="E263" s="155"/>
      <c r="F263" s="144"/>
      <c r="G263" s="12"/>
      <c r="H263" s="22"/>
      <c r="I263" s="22"/>
      <c r="J263" s="22"/>
      <c r="K263" s="145"/>
      <c r="L263" s="144"/>
      <c r="M263" s="144"/>
      <c r="N263" s="152"/>
      <c r="O263" s="22"/>
      <c r="P263" s="152"/>
      <c r="Q263" s="22"/>
      <c r="R263" s="74"/>
      <c r="S263" s="45"/>
      <c r="T263" s="158"/>
      <c r="U263" s="45"/>
      <c r="V263" s="45"/>
      <c r="W263" s="45"/>
      <c r="X263" s="45"/>
      <c r="Y263" s="45"/>
      <c r="Z263" s="45"/>
      <c r="AA263" s="45"/>
      <c r="AB263" s="45"/>
      <c r="AC263" s="144"/>
      <c r="AD263" s="144"/>
      <c r="AE263" s="45"/>
      <c r="AF263" s="45"/>
      <c r="AG263" s="144"/>
      <c r="AH263" s="144"/>
      <c r="AI263" s="144"/>
      <c r="AJ263" s="22"/>
      <c r="AK263" s="22"/>
      <c r="AL263" s="144"/>
      <c r="AM263" s="22"/>
      <c r="AN263" s="22"/>
      <c r="AO263" s="144"/>
      <c r="AP263" s="22"/>
      <c r="AQ263" s="22"/>
      <c r="AR263" s="144"/>
      <c r="AS263" s="22"/>
      <c r="AT263" s="22"/>
      <c r="AU263" s="144"/>
      <c r="AV263" s="22"/>
      <c r="AW263" s="22"/>
      <c r="AX263" s="144"/>
      <c r="AY263" s="144"/>
      <c r="AZ263" s="22"/>
      <c r="BA263" s="144"/>
      <c r="BB263" s="144"/>
      <c r="BC263" s="144"/>
      <c r="BD263" s="144"/>
      <c r="BE263" s="144"/>
      <c r="BF263" s="22"/>
      <c r="BG263" s="144"/>
      <c r="BH263" s="144"/>
      <c r="BI263" s="22"/>
      <c r="BJ263" s="144"/>
      <c r="BK263" s="22"/>
      <c r="BL263" s="144"/>
      <c r="BM263" s="144"/>
      <c r="BN263" s="22"/>
      <c r="BO263" s="144"/>
      <c r="BP263" s="144"/>
      <c r="BQ263" s="22"/>
      <c r="BR263" s="22"/>
      <c r="BS263" s="144"/>
      <c r="BT263" s="22"/>
      <c r="BU263" s="22"/>
      <c r="BV263" s="144"/>
      <c r="BW263" s="22"/>
      <c r="BX263" s="22"/>
      <c r="BY263" s="144"/>
      <c r="BZ263" s="22"/>
      <c r="CA263" s="22"/>
      <c r="CB263" s="144"/>
      <c r="CC263" s="22"/>
      <c r="CD263" s="22"/>
      <c r="CE263" s="144"/>
      <c r="CF263" s="22"/>
      <c r="CG263" s="22"/>
      <c r="CH263" s="144"/>
      <c r="CI263" s="22"/>
      <c r="CJ263" s="22"/>
      <c r="CK263" s="144"/>
    </row>
    <row r="264" spans="1:89" ht="15.75" customHeight="1" x14ac:dyDescent="0.45">
      <c r="A264" s="22"/>
      <c r="B264" s="22"/>
      <c r="C264" s="12"/>
      <c r="D264" s="12"/>
      <c r="E264" s="155"/>
      <c r="F264" s="144"/>
      <c r="G264" s="12"/>
      <c r="H264" s="22"/>
      <c r="I264" s="22"/>
      <c r="J264" s="22"/>
      <c r="K264" s="145"/>
      <c r="L264" s="144"/>
      <c r="M264" s="144"/>
      <c r="N264" s="152"/>
      <c r="O264" s="22"/>
      <c r="P264" s="152"/>
      <c r="Q264" s="22"/>
      <c r="R264" s="74"/>
      <c r="S264" s="45"/>
      <c r="T264" s="158"/>
      <c r="U264" s="45"/>
      <c r="V264" s="45"/>
      <c r="W264" s="45"/>
      <c r="X264" s="45"/>
      <c r="Y264" s="45"/>
      <c r="Z264" s="45"/>
      <c r="AA264" s="45"/>
      <c r="AB264" s="45"/>
      <c r="AC264" s="144"/>
      <c r="AD264" s="144"/>
      <c r="AE264" s="45"/>
      <c r="AF264" s="45"/>
      <c r="AG264" s="144"/>
      <c r="AH264" s="144"/>
      <c r="AI264" s="144"/>
      <c r="AJ264" s="22"/>
      <c r="AK264" s="22"/>
      <c r="AL264" s="144"/>
      <c r="AM264" s="22"/>
      <c r="AN264" s="22"/>
      <c r="AO264" s="144"/>
      <c r="AP264" s="22"/>
      <c r="AQ264" s="22"/>
      <c r="AR264" s="144"/>
      <c r="AS264" s="22"/>
      <c r="AT264" s="22"/>
      <c r="AU264" s="144"/>
      <c r="AV264" s="22"/>
      <c r="AW264" s="22"/>
      <c r="AX264" s="144"/>
      <c r="AY264" s="144"/>
      <c r="AZ264" s="22"/>
      <c r="BA264" s="144"/>
      <c r="BB264" s="144"/>
      <c r="BC264" s="144"/>
      <c r="BD264" s="144"/>
      <c r="BE264" s="144"/>
      <c r="BF264" s="22"/>
      <c r="BG264" s="144"/>
      <c r="BH264" s="144"/>
      <c r="BI264" s="22"/>
      <c r="BJ264" s="144"/>
      <c r="BK264" s="22"/>
      <c r="BL264" s="144"/>
      <c r="BM264" s="144"/>
      <c r="BN264" s="22"/>
      <c r="BO264" s="144"/>
      <c r="BP264" s="144"/>
      <c r="BQ264" s="22"/>
      <c r="BR264" s="22"/>
      <c r="BS264" s="144"/>
      <c r="BT264" s="22"/>
      <c r="BU264" s="22"/>
      <c r="BV264" s="144"/>
      <c r="BW264" s="22"/>
      <c r="BX264" s="22"/>
      <c r="BY264" s="144"/>
      <c r="BZ264" s="22"/>
      <c r="CA264" s="22"/>
      <c r="CB264" s="144"/>
      <c r="CC264" s="22"/>
      <c r="CD264" s="22"/>
      <c r="CE264" s="144"/>
      <c r="CF264" s="22"/>
      <c r="CG264" s="22"/>
      <c r="CH264" s="144"/>
      <c r="CI264" s="22"/>
      <c r="CJ264" s="22"/>
      <c r="CK264" s="144"/>
    </row>
    <row r="265" spans="1:89" ht="15.75" customHeight="1" x14ac:dyDescent="0.45">
      <c r="A265" s="22"/>
      <c r="B265" s="22"/>
      <c r="C265" s="12"/>
      <c r="D265" s="12"/>
      <c r="E265" s="155"/>
      <c r="F265" s="144"/>
      <c r="G265" s="12"/>
      <c r="H265" s="22"/>
      <c r="I265" s="22"/>
      <c r="J265" s="22"/>
      <c r="K265" s="145"/>
      <c r="L265" s="144"/>
      <c r="M265" s="144"/>
      <c r="N265" s="152"/>
      <c r="O265" s="22"/>
      <c r="P265" s="152"/>
      <c r="Q265" s="22"/>
      <c r="R265" s="74"/>
      <c r="S265" s="45"/>
      <c r="T265" s="158"/>
      <c r="U265" s="45"/>
      <c r="V265" s="45"/>
      <c r="W265" s="45"/>
      <c r="X265" s="45"/>
      <c r="Y265" s="45"/>
      <c r="Z265" s="45"/>
      <c r="AA265" s="45"/>
      <c r="AB265" s="45"/>
      <c r="AC265" s="144"/>
      <c r="AD265" s="144"/>
      <c r="AE265" s="45"/>
      <c r="AF265" s="45"/>
      <c r="AG265" s="144"/>
      <c r="AH265" s="144"/>
      <c r="AI265" s="144"/>
      <c r="AJ265" s="22"/>
      <c r="AK265" s="22"/>
      <c r="AL265" s="144"/>
      <c r="AM265" s="22"/>
      <c r="AN265" s="22"/>
      <c r="AO265" s="144"/>
      <c r="AP265" s="22"/>
      <c r="AQ265" s="22"/>
      <c r="AR265" s="144"/>
      <c r="AS265" s="22"/>
      <c r="AT265" s="22"/>
      <c r="AU265" s="144"/>
      <c r="AV265" s="22"/>
      <c r="AW265" s="22"/>
      <c r="AX265" s="144"/>
      <c r="AY265" s="144"/>
      <c r="AZ265" s="22"/>
      <c r="BA265" s="144"/>
      <c r="BB265" s="144"/>
      <c r="BC265" s="144"/>
      <c r="BD265" s="144"/>
      <c r="BE265" s="144"/>
      <c r="BF265" s="22"/>
      <c r="BG265" s="144"/>
      <c r="BH265" s="144"/>
      <c r="BI265" s="22"/>
      <c r="BJ265" s="144"/>
      <c r="BK265" s="22"/>
      <c r="BL265" s="144"/>
      <c r="BM265" s="144"/>
      <c r="BN265" s="22"/>
      <c r="BO265" s="144"/>
      <c r="BP265" s="144"/>
      <c r="BQ265" s="22"/>
      <c r="BR265" s="22"/>
      <c r="BS265" s="144"/>
      <c r="BT265" s="22"/>
      <c r="BU265" s="22"/>
      <c r="BV265" s="144"/>
      <c r="BW265" s="22"/>
      <c r="BX265" s="22"/>
      <c r="BY265" s="144"/>
      <c r="BZ265" s="22"/>
      <c r="CA265" s="22"/>
      <c r="CB265" s="144"/>
      <c r="CC265" s="22"/>
      <c r="CD265" s="22"/>
      <c r="CE265" s="144"/>
      <c r="CF265" s="22"/>
      <c r="CG265" s="22"/>
      <c r="CH265" s="144"/>
      <c r="CI265" s="22"/>
      <c r="CJ265" s="22"/>
      <c r="CK265" s="144"/>
    </row>
    <row r="266" spans="1:89" ht="15.75" customHeight="1" x14ac:dyDescent="0.45">
      <c r="A266" s="22"/>
      <c r="B266" s="22"/>
      <c r="C266" s="12"/>
      <c r="D266" s="12"/>
      <c r="E266" s="155"/>
      <c r="F266" s="144"/>
      <c r="G266" s="12"/>
      <c r="H266" s="22"/>
      <c r="I266" s="22"/>
      <c r="J266" s="22"/>
      <c r="K266" s="145"/>
      <c r="L266" s="144"/>
      <c r="M266" s="144"/>
      <c r="N266" s="152"/>
      <c r="O266" s="22"/>
      <c r="P266" s="152"/>
      <c r="Q266" s="22"/>
      <c r="R266" s="74"/>
      <c r="S266" s="45"/>
      <c r="T266" s="158"/>
      <c r="U266" s="45"/>
      <c r="V266" s="45"/>
      <c r="W266" s="45"/>
      <c r="X266" s="45"/>
      <c r="Y266" s="45"/>
      <c r="Z266" s="45"/>
      <c r="AA266" s="45"/>
      <c r="AB266" s="45"/>
      <c r="AC266" s="144"/>
      <c r="AD266" s="144"/>
      <c r="AE266" s="45"/>
      <c r="AF266" s="45"/>
      <c r="AG266" s="144"/>
      <c r="AH266" s="144"/>
      <c r="AI266" s="144"/>
      <c r="AJ266" s="22"/>
      <c r="AK266" s="22"/>
      <c r="AL266" s="144"/>
      <c r="AM266" s="22"/>
      <c r="AN266" s="22"/>
      <c r="AO266" s="144"/>
      <c r="AP266" s="22"/>
      <c r="AQ266" s="22"/>
      <c r="AR266" s="144"/>
      <c r="AS266" s="22"/>
      <c r="AT266" s="22"/>
      <c r="AU266" s="144"/>
      <c r="AV266" s="22"/>
      <c r="AW266" s="22"/>
      <c r="AX266" s="144"/>
      <c r="AY266" s="144"/>
      <c r="AZ266" s="22"/>
      <c r="BA266" s="144"/>
      <c r="BB266" s="144"/>
      <c r="BC266" s="144"/>
      <c r="BD266" s="144"/>
      <c r="BE266" s="144"/>
      <c r="BF266" s="22"/>
      <c r="BG266" s="144"/>
      <c r="BH266" s="144"/>
      <c r="BI266" s="22"/>
      <c r="BJ266" s="144"/>
      <c r="BK266" s="22"/>
      <c r="BL266" s="144"/>
      <c r="BM266" s="144"/>
      <c r="BN266" s="22"/>
      <c r="BO266" s="144"/>
      <c r="BP266" s="144"/>
      <c r="BQ266" s="22"/>
      <c r="BR266" s="22"/>
      <c r="BS266" s="144"/>
      <c r="BT266" s="22"/>
      <c r="BU266" s="22"/>
      <c r="BV266" s="144"/>
      <c r="BW266" s="22"/>
      <c r="BX266" s="22"/>
      <c r="BY266" s="144"/>
      <c r="BZ266" s="22"/>
      <c r="CA266" s="22"/>
      <c r="CB266" s="144"/>
      <c r="CC266" s="22"/>
      <c r="CD266" s="22"/>
      <c r="CE266" s="144"/>
      <c r="CF266" s="22"/>
      <c r="CG266" s="22"/>
      <c r="CH266" s="144"/>
      <c r="CI266" s="22"/>
      <c r="CJ266" s="22"/>
      <c r="CK266" s="144"/>
    </row>
    <row r="267" spans="1:89" ht="15.75" customHeight="1" x14ac:dyDescent="0.45">
      <c r="A267" s="22"/>
      <c r="B267" s="22"/>
      <c r="C267" s="12"/>
      <c r="D267" s="12"/>
      <c r="E267" s="155"/>
      <c r="F267" s="144"/>
      <c r="G267" s="12"/>
      <c r="H267" s="22"/>
      <c r="I267" s="22"/>
      <c r="J267" s="22"/>
      <c r="K267" s="145"/>
      <c r="L267" s="144"/>
      <c r="M267" s="144"/>
      <c r="N267" s="152"/>
      <c r="O267" s="22"/>
      <c r="P267" s="152"/>
      <c r="Q267" s="22"/>
      <c r="R267" s="74"/>
      <c r="S267" s="45"/>
      <c r="T267" s="158"/>
      <c r="U267" s="45"/>
      <c r="V267" s="45"/>
      <c r="W267" s="45"/>
      <c r="X267" s="45"/>
      <c r="Y267" s="45"/>
      <c r="Z267" s="45"/>
      <c r="AA267" s="45"/>
      <c r="AB267" s="45"/>
      <c r="AC267" s="144"/>
      <c r="AD267" s="144"/>
      <c r="AE267" s="45"/>
      <c r="AF267" s="45"/>
      <c r="AG267" s="144"/>
      <c r="AH267" s="144"/>
      <c r="AI267" s="144"/>
      <c r="AJ267" s="22"/>
      <c r="AK267" s="22"/>
      <c r="AL267" s="144"/>
      <c r="AM267" s="22"/>
      <c r="AN267" s="22"/>
      <c r="AO267" s="144"/>
      <c r="AP267" s="22"/>
      <c r="AQ267" s="22"/>
      <c r="AR267" s="144"/>
      <c r="AS267" s="22"/>
      <c r="AT267" s="22"/>
      <c r="AU267" s="144"/>
      <c r="AV267" s="22"/>
      <c r="AW267" s="22"/>
      <c r="AX267" s="144"/>
      <c r="AY267" s="144"/>
      <c r="AZ267" s="22"/>
      <c r="BA267" s="144"/>
      <c r="BB267" s="144"/>
      <c r="BC267" s="144"/>
      <c r="BD267" s="144"/>
      <c r="BE267" s="144"/>
      <c r="BF267" s="22"/>
      <c r="BG267" s="144"/>
      <c r="BH267" s="144"/>
      <c r="BI267" s="22"/>
      <c r="BJ267" s="144"/>
      <c r="BK267" s="22"/>
      <c r="BL267" s="144"/>
      <c r="BM267" s="144"/>
      <c r="BN267" s="22"/>
      <c r="BO267" s="144"/>
      <c r="BP267" s="144"/>
      <c r="BQ267" s="22"/>
      <c r="BR267" s="22"/>
      <c r="BS267" s="144"/>
      <c r="BT267" s="22"/>
      <c r="BU267" s="22"/>
      <c r="BV267" s="144"/>
      <c r="BW267" s="22"/>
      <c r="BX267" s="22"/>
      <c r="BY267" s="144"/>
      <c r="BZ267" s="22"/>
      <c r="CA267" s="22"/>
      <c r="CB267" s="144"/>
      <c r="CC267" s="22"/>
      <c r="CD267" s="22"/>
      <c r="CE267" s="144"/>
      <c r="CF267" s="22"/>
      <c r="CG267" s="22"/>
      <c r="CH267" s="144"/>
      <c r="CI267" s="22"/>
      <c r="CJ267" s="22"/>
      <c r="CK267" s="144"/>
    </row>
    <row r="268" spans="1:89" ht="15.75" customHeight="1" x14ac:dyDescent="0.45">
      <c r="A268" s="22"/>
      <c r="B268" s="22"/>
      <c r="C268" s="12"/>
      <c r="D268" s="12"/>
      <c r="E268" s="155"/>
      <c r="F268" s="144"/>
      <c r="G268" s="12"/>
      <c r="H268" s="22"/>
      <c r="I268" s="22"/>
      <c r="J268" s="22"/>
      <c r="K268" s="145"/>
      <c r="L268" s="144"/>
      <c r="M268" s="144"/>
      <c r="N268" s="152"/>
      <c r="O268" s="22"/>
      <c r="P268" s="152"/>
      <c r="Q268" s="22"/>
      <c r="R268" s="74"/>
      <c r="S268" s="45"/>
      <c r="T268" s="158"/>
      <c r="U268" s="45"/>
      <c r="V268" s="45"/>
      <c r="W268" s="45"/>
      <c r="X268" s="45"/>
      <c r="Y268" s="45"/>
      <c r="Z268" s="45"/>
      <c r="AA268" s="45"/>
      <c r="AB268" s="45"/>
      <c r="AC268" s="144"/>
      <c r="AD268" s="144"/>
      <c r="AE268" s="45"/>
      <c r="AF268" s="45"/>
      <c r="AG268" s="144"/>
      <c r="AH268" s="144"/>
      <c r="AI268" s="144"/>
      <c r="AJ268" s="22"/>
      <c r="AK268" s="22"/>
      <c r="AL268" s="144"/>
      <c r="AM268" s="22"/>
      <c r="AN268" s="22"/>
      <c r="AO268" s="144"/>
      <c r="AP268" s="22"/>
      <c r="AQ268" s="22"/>
      <c r="AR268" s="144"/>
      <c r="AS268" s="22"/>
      <c r="AT268" s="22"/>
      <c r="AU268" s="144"/>
      <c r="AV268" s="22"/>
      <c r="AW268" s="22"/>
      <c r="AX268" s="144"/>
      <c r="AY268" s="144"/>
      <c r="AZ268" s="22"/>
      <c r="BA268" s="144"/>
      <c r="BB268" s="144"/>
      <c r="BC268" s="144"/>
      <c r="BD268" s="144"/>
      <c r="BE268" s="144"/>
      <c r="BF268" s="22"/>
      <c r="BG268" s="144"/>
      <c r="BH268" s="144"/>
      <c r="BI268" s="22"/>
      <c r="BJ268" s="144"/>
      <c r="BK268" s="22"/>
      <c r="BL268" s="144"/>
      <c r="BM268" s="144"/>
      <c r="BN268" s="22"/>
      <c r="BO268" s="144"/>
      <c r="BP268" s="144"/>
      <c r="BQ268" s="22"/>
      <c r="BR268" s="22"/>
      <c r="BS268" s="144"/>
      <c r="BT268" s="22"/>
      <c r="BU268" s="22"/>
      <c r="BV268" s="144"/>
      <c r="BW268" s="22"/>
      <c r="BX268" s="22"/>
      <c r="BY268" s="144"/>
      <c r="BZ268" s="22"/>
      <c r="CA268" s="22"/>
      <c r="CB268" s="144"/>
      <c r="CC268" s="22"/>
      <c r="CD268" s="22"/>
      <c r="CE268" s="144"/>
      <c r="CF268" s="22"/>
      <c r="CG268" s="22"/>
      <c r="CH268" s="144"/>
      <c r="CI268" s="22"/>
      <c r="CJ268" s="22"/>
      <c r="CK268" s="144"/>
    </row>
    <row r="269" spans="1:89" ht="15.75" customHeight="1" x14ac:dyDescent="0.45">
      <c r="A269" s="22"/>
      <c r="B269" s="22"/>
      <c r="C269" s="12"/>
      <c r="D269" s="12"/>
      <c r="E269" s="155"/>
      <c r="F269" s="144"/>
      <c r="G269" s="12"/>
      <c r="H269" s="22"/>
      <c r="I269" s="22"/>
      <c r="J269" s="22"/>
      <c r="K269" s="145"/>
      <c r="L269" s="144"/>
      <c r="M269" s="144"/>
      <c r="N269" s="152"/>
      <c r="O269" s="22"/>
      <c r="P269" s="152"/>
      <c r="Q269" s="22"/>
      <c r="R269" s="74"/>
      <c r="S269" s="45"/>
      <c r="T269" s="158"/>
      <c r="U269" s="45"/>
      <c r="V269" s="45"/>
      <c r="W269" s="45"/>
      <c r="X269" s="45"/>
      <c r="Y269" s="45"/>
      <c r="Z269" s="45"/>
      <c r="AA269" s="45"/>
      <c r="AB269" s="45"/>
      <c r="AC269" s="144"/>
      <c r="AD269" s="144"/>
      <c r="AE269" s="45"/>
      <c r="AF269" s="45"/>
      <c r="AG269" s="144"/>
      <c r="AH269" s="144"/>
      <c r="AI269" s="144"/>
      <c r="AJ269" s="22"/>
      <c r="AK269" s="22"/>
      <c r="AL269" s="144"/>
      <c r="AM269" s="22"/>
      <c r="AN269" s="22"/>
      <c r="AO269" s="144"/>
      <c r="AP269" s="22"/>
      <c r="AQ269" s="22"/>
      <c r="AR269" s="144"/>
      <c r="AS269" s="22"/>
      <c r="AT269" s="22"/>
      <c r="AU269" s="144"/>
      <c r="AV269" s="22"/>
      <c r="AW269" s="22"/>
      <c r="AX269" s="144"/>
      <c r="AY269" s="144"/>
      <c r="AZ269" s="22"/>
      <c r="BA269" s="144"/>
      <c r="BB269" s="144"/>
      <c r="BC269" s="144"/>
      <c r="BD269" s="144"/>
      <c r="BE269" s="144"/>
      <c r="BF269" s="22"/>
      <c r="BG269" s="144"/>
      <c r="BH269" s="144"/>
      <c r="BI269" s="22"/>
      <c r="BJ269" s="144"/>
      <c r="BK269" s="22"/>
      <c r="BL269" s="144"/>
      <c r="BM269" s="144"/>
      <c r="BN269" s="22"/>
      <c r="BO269" s="144"/>
      <c r="BP269" s="144"/>
      <c r="BQ269" s="22"/>
      <c r="BR269" s="22"/>
      <c r="BS269" s="144"/>
      <c r="BT269" s="22"/>
      <c r="BU269" s="22"/>
      <c r="BV269" s="144"/>
      <c r="BW269" s="22"/>
      <c r="BX269" s="22"/>
      <c r="BY269" s="144"/>
      <c r="BZ269" s="22"/>
      <c r="CA269" s="22"/>
      <c r="CB269" s="144"/>
      <c r="CC269" s="22"/>
      <c r="CD269" s="22"/>
      <c r="CE269" s="144"/>
      <c r="CF269" s="22"/>
      <c r="CG269" s="22"/>
      <c r="CH269" s="144"/>
      <c r="CI269" s="22"/>
      <c r="CJ269" s="22"/>
      <c r="CK269" s="144"/>
    </row>
    <row r="270" spans="1:89" ht="15.75" customHeight="1" x14ac:dyDescent="0.45">
      <c r="A270" s="22"/>
      <c r="B270" s="22"/>
      <c r="C270" s="12"/>
      <c r="D270" s="12"/>
      <c r="E270" s="155"/>
      <c r="F270" s="144"/>
      <c r="G270" s="12"/>
      <c r="H270" s="22"/>
      <c r="I270" s="22"/>
      <c r="J270" s="22"/>
      <c r="K270" s="145"/>
      <c r="L270" s="144"/>
      <c r="M270" s="144"/>
      <c r="N270" s="152"/>
      <c r="O270" s="22"/>
      <c r="P270" s="152"/>
      <c r="Q270" s="22"/>
      <c r="R270" s="74"/>
      <c r="S270" s="45"/>
      <c r="T270" s="158"/>
      <c r="U270" s="45"/>
      <c r="V270" s="45"/>
      <c r="W270" s="45"/>
      <c r="X270" s="45"/>
      <c r="Y270" s="45"/>
      <c r="Z270" s="45"/>
      <c r="AA270" s="45"/>
      <c r="AB270" s="45"/>
      <c r="AC270" s="144"/>
      <c r="AD270" s="144"/>
      <c r="AE270" s="45"/>
      <c r="AF270" s="45"/>
      <c r="AG270" s="144"/>
      <c r="AH270" s="144"/>
      <c r="AI270" s="144"/>
      <c r="AJ270" s="22"/>
      <c r="AK270" s="22"/>
      <c r="AL270" s="144"/>
      <c r="AM270" s="22"/>
      <c r="AN270" s="22"/>
      <c r="AO270" s="144"/>
      <c r="AP270" s="22"/>
      <c r="AQ270" s="22"/>
      <c r="AR270" s="144"/>
      <c r="AS270" s="22"/>
      <c r="AT270" s="22"/>
      <c r="AU270" s="144"/>
      <c r="AV270" s="22"/>
      <c r="AW270" s="22"/>
      <c r="AX270" s="144"/>
      <c r="AY270" s="144"/>
      <c r="AZ270" s="22"/>
      <c r="BA270" s="144"/>
      <c r="BB270" s="144"/>
      <c r="BC270" s="144"/>
      <c r="BD270" s="144"/>
      <c r="BE270" s="144"/>
      <c r="BF270" s="22"/>
      <c r="BG270" s="144"/>
      <c r="BH270" s="144"/>
      <c r="BI270" s="22"/>
      <c r="BJ270" s="144"/>
      <c r="BK270" s="22"/>
      <c r="BL270" s="144"/>
      <c r="BM270" s="144"/>
      <c r="BN270" s="22"/>
      <c r="BO270" s="144"/>
      <c r="BP270" s="144"/>
      <c r="BQ270" s="22"/>
      <c r="BR270" s="22"/>
      <c r="BS270" s="144"/>
      <c r="BT270" s="22"/>
      <c r="BU270" s="22"/>
      <c r="BV270" s="144"/>
      <c r="BW270" s="22"/>
      <c r="BX270" s="22"/>
      <c r="BY270" s="144"/>
      <c r="BZ270" s="22"/>
      <c r="CA270" s="22"/>
      <c r="CB270" s="144"/>
      <c r="CC270" s="22"/>
      <c r="CD270" s="22"/>
      <c r="CE270" s="144"/>
      <c r="CF270" s="22"/>
      <c r="CG270" s="22"/>
      <c r="CH270" s="144"/>
      <c r="CI270" s="22"/>
      <c r="CJ270" s="22"/>
      <c r="CK270" s="144"/>
    </row>
    <row r="271" spans="1:89" ht="15.75" customHeight="1" x14ac:dyDescent="0.45">
      <c r="A271" s="22"/>
      <c r="B271" s="22"/>
      <c r="C271" s="12"/>
      <c r="D271" s="12"/>
      <c r="E271" s="155"/>
      <c r="F271" s="144"/>
      <c r="G271" s="12"/>
      <c r="H271" s="22"/>
      <c r="I271" s="22"/>
      <c r="J271" s="22"/>
      <c r="K271" s="145"/>
      <c r="L271" s="144"/>
      <c r="M271" s="144"/>
      <c r="N271" s="152"/>
      <c r="O271" s="22"/>
      <c r="P271" s="152"/>
      <c r="Q271" s="22"/>
      <c r="R271" s="74"/>
      <c r="S271" s="45"/>
      <c r="T271" s="158"/>
      <c r="U271" s="45"/>
      <c r="V271" s="45"/>
      <c r="W271" s="45"/>
      <c r="X271" s="45"/>
      <c r="Y271" s="45"/>
      <c r="Z271" s="45"/>
      <c r="AA271" s="45"/>
      <c r="AB271" s="45"/>
      <c r="AC271" s="144"/>
      <c r="AD271" s="144"/>
      <c r="AE271" s="45"/>
      <c r="AF271" s="45"/>
      <c r="AG271" s="144"/>
      <c r="AH271" s="144"/>
      <c r="AI271" s="144"/>
      <c r="AJ271" s="22"/>
      <c r="AK271" s="22"/>
      <c r="AL271" s="144"/>
      <c r="AM271" s="22"/>
      <c r="AN271" s="22"/>
      <c r="AO271" s="144"/>
      <c r="AP271" s="22"/>
      <c r="AQ271" s="22"/>
      <c r="AR271" s="144"/>
      <c r="AS271" s="22"/>
      <c r="AT271" s="22"/>
      <c r="AU271" s="144"/>
      <c r="AV271" s="22"/>
      <c r="AW271" s="22"/>
      <c r="AX271" s="144"/>
      <c r="AY271" s="144"/>
      <c r="AZ271" s="22"/>
      <c r="BA271" s="144"/>
      <c r="BB271" s="144"/>
      <c r="BC271" s="144"/>
      <c r="BD271" s="144"/>
      <c r="BE271" s="144"/>
      <c r="BF271" s="22"/>
      <c r="BG271" s="144"/>
      <c r="BH271" s="144"/>
      <c r="BI271" s="22"/>
      <c r="BJ271" s="144"/>
      <c r="BK271" s="22"/>
      <c r="BL271" s="144"/>
      <c r="BM271" s="144"/>
      <c r="BN271" s="22"/>
      <c r="BO271" s="144"/>
      <c r="BP271" s="144"/>
      <c r="BQ271" s="22"/>
      <c r="BR271" s="22"/>
      <c r="BS271" s="144"/>
      <c r="BT271" s="22"/>
      <c r="BU271" s="22"/>
      <c r="BV271" s="144"/>
      <c r="BW271" s="22"/>
      <c r="BX271" s="22"/>
      <c r="BY271" s="144"/>
      <c r="BZ271" s="22"/>
      <c r="CA271" s="22"/>
      <c r="CB271" s="144"/>
      <c r="CC271" s="22"/>
      <c r="CD271" s="22"/>
      <c r="CE271" s="144"/>
      <c r="CF271" s="22"/>
      <c r="CG271" s="22"/>
      <c r="CH271" s="144"/>
      <c r="CI271" s="22"/>
      <c r="CJ271" s="22"/>
      <c r="CK271" s="144"/>
    </row>
    <row r="272" spans="1:89" ht="15.75" customHeight="1" x14ac:dyDescent="0.45">
      <c r="A272" s="22"/>
      <c r="B272" s="22"/>
      <c r="C272" s="12"/>
      <c r="D272" s="12"/>
      <c r="E272" s="155"/>
      <c r="F272" s="144"/>
      <c r="G272" s="12"/>
      <c r="H272" s="22"/>
      <c r="I272" s="22"/>
      <c r="J272" s="22"/>
      <c r="K272" s="145"/>
      <c r="L272" s="144"/>
      <c r="M272" s="144"/>
      <c r="N272" s="152"/>
      <c r="O272" s="22"/>
      <c r="P272" s="152"/>
      <c r="Q272" s="22"/>
      <c r="R272" s="74"/>
      <c r="S272" s="45"/>
      <c r="T272" s="158"/>
      <c r="U272" s="45"/>
      <c r="V272" s="45"/>
      <c r="W272" s="45"/>
      <c r="X272" s="45"/>
      <c r="Y272" s="45"/>
      <c r="Z272" s="45"/>
      <c r="AA272" s="45"/>
      <c r="AB272" s="45"/>
      <c r="AC272" s="144"/>
      <c r="AD272" s="144"/>
      <c r="AE272" s="45"/>
      <c r="AF272" s="45"/>
      <c r="AG272" s="144"/>
      <c r="AH272" s="144"/>
      <c r="AI272" s="144"/>
      <c r="AJ272" s="22"/>
      <c r="AK272" s="22"/>
      <c r="AL272" s="144"/>
      <c r="AM272" s="22"/>
      <c r="AN272" s="22"/>
      <c r="AO272" s="144"/>
      <c r="AP272" s="22"/>
      <c r="AQ272" s="22"/>
      <c r="AR272" s="144"/>
      <c r="AS272" s="22"/>
      <c r="AT272" s="22"/>
      <c r="AU272" s="144"/>
      <c r="AV272" s="22"/>
      <c r="AW272" s="22"/>
      <c r="AX272" s="144"/>
      <c r="AY272" s="144"/>
      <c r="AZ272" s="22"/>
      <c r="BA272" s="144"/>
      <c r="BB272" s="144"/>
      <c r="BC272" s="144"/>
      <c r="BD272" s="144"/>
      <c r="BE272" s="144"/>
      <c r="BF272" s="22"/>
      <c r="BG272" s="144"/>
      <c r="BH272" s="144"/>
      <c r="BI272" s="22"/>
      <c r="BJ272" s="144"/>
      <c r="BK272" s="22"/>
      <c r="BL272" s="144"/>
      <c r="BM272" s="144"/>
      <c r="BN272" s="22"/>
      <c r="BO272" s="144"/>
      <c r="BP272" s="144"/>
      <c r="BQ272" s="22"/>
      <c r="BR272" s="22"/>
      <c r="BS272" s="144"/>
      <c r="BT272" s="22"/>
      <c r="BU272" s="22"/>
      <c r="BV272" s="144"/>
      <c r="BW272" s="22"/>
      <c r="BX272" s="22"/>
      <c r="BY272" s="144"/>
      <c r="BZ272" s="22"/>
      <c r="CA272" s="22"/>
      <c r="CB272" s="144"/>
      <c r="CC272" s="22"/>
      <c r="CD272" s="22"/>
      <c r="CE272" s="144"/>
      <c r="CF272" s="22"/>
      <c r="CG272" s="22"/>
      <c r="CH272" s="144"/>
      <c r="CI272" s="22"/>
      <c r="CJ272" s="22"/>
      <c r="CK272" s="144"/>
    </row>
    <row r="273" spans="1:89" ht="15.75" customHeight="1" x14ac:dyDescent="0.45">
      <c r="A273" s="22"/>
      <c r="B273" s="22"/>
      <c r="C273" s="12"/>
      <c r="D273" s="12"/>
      <c r="E273" s="155"/>
      <c r="F273" s="144"/>
      <c r="G273" s="12"/>
      <c r="H273" s="22"/>
      <c r="I273" s="22"/>
      <c r="J273" s="22"/>
      <c r="K273" s="145"/>
      <c r="L273" s="144"/>
      <c r="M273" s="144"/>
      <c r="N273" s="152"/>
      <c r="O273" s="22"/>
      <c r="P273" s="152"/>
      <c r="Q273" s="22"/>
      <c r="R273" s="74"/>
      <c r="S273" s="45"/>
      <c r="T273" s="158"/>
      <c r="U273" s="45"/>
      <c r="V273" s="45"/>
      <c r="W273" s="45"/>
      <c r="X273" s="45"/>
      <c r="Y273" s="45"/>
      <c r="Z273" s="45"/>
      <c r="AA273" s="45"/>
      <c r="AB273" s="45"/>
      <c r="AC273" s="144"/>
      <c r="AD273" s="144"/>
      <c r="AE273" s="45"/>
      <c r="AF273" s="45"/>
      <c r="AG273" s="144"/>
      <c r="AH273" s="144"/>
      <c r="AI273" s="144"/>
      <c r="AJ273" s="22"/>
      <c r="AK273" s="22"/>
      <c r="AL273" s="144"/>
      <c r="AM273" s="22"/>
      <c r="AN273" s="22"/>
      <c r="AO273" s="144"/>
      <c r="AP273" s="22"/>
      <c r="AQ273" s="22"/>
      <c r="AR273" s="144"/>
      <c r="AS273" s="22"/>
      <c r="AT273" s="22"/>
      <c r="AU273" s="144"/>
      <c r="AV273" s="22"/>
      <c r="AW273" s="22"/>
      <c r="AX273" s="144"/>
      <c r="AY273" s="144"/>
      <c r="AZ273" s="22"/>
      <c r="BA273" s="144"/>
      <c r="BB273" s="144"/>
      <c r="BC273" s="144"/>
      <c r="BD273" s="144"/>
      <c r="BE273" s="144"/>
      <c r="BF273" s="22"/>
      <c r="BG273" s="144"/>
      <c r="BH273" s="144"/>
      <c r="BI273" s="22"/>
      <c r="BJ273" s="144"/>
      <c r="BK273" s="22"/>
      <c r="BL273" s="144"/>
      <c r="BM273" s="144"/>
      <c r="BN273" s="22"/>
      <c r="BO273" s="144"/>
      <c r="BP273" s="144"/>
      <c r="BQ273" s="22"/>
      <c r="BR273" s="22"/>
      <c r="BS273" s="144"/>
      <c r="BT273" s="22"/>
      <c r="BU273" s="22"/>
      <c r="BV273" s="144"/>
      <c r="BW273" s="22"/>
      <c r="BX273" s="22"/>
      <c r="BY273" s="144"/>
      <c r="BZ273" s="22"/>
      <c r="CA273" s="22"/>
      <c r="CB273" s="144"/>
      <c r="CC273" s="22"/>
      <c r="CD273" s="22"/>
      <c r="CE273" s="144"/>
      <c r="CF273" s="22"/>
      <c r="CG273" s="22"/>
      <c r="CH273" s="144"/>
      <c r="CI273" s="22"/>
      <c r="CJ273" s="22"/>
      <c r="CK273" s="144"/>
    </row>
    <row r="274" spans="1:89" ht="15.75" customHeight="1" x14ac:dyDescent="0.45">
      <c r="A274" s="22"/>
      <c r="B274" s="22"/>
      <c r="C274" s="12"/>
      <c r="D274" s="12"/>
      <c r="E274" s="155"/>
      <c r="F274" s="144"/>
      <c r="G274" s="12"/>
      <c r="H274" s="22"/>
      <c r="I274" s="22"/>
      <c r="J274" s="22"/>
      <c r="K274" s="145"/>
      <c r="L274" s="144"/>
      <c r="M274" s="144"/>
      <c r="N274" s="152"/>
      <c r="O274" s="22"/>
      <c r="P274" s="152"/>
      <c r="Q274" s="22"/>
      <c r="R274" s="74"/>
      <c r="S274" s="45"/>
      <c r="T274" s="158"/>
      <c r="U274" s="45"/>
      <c r="V274" s="45"/>
      <c r="W274" s="45"/>
      <c r="X274" s="45"/>
      <c r="Y274" s="45"/>
      <c r="Z274" s="45"/>
      <c r="AA274" s="45"/>
      <c r="AB274" s="45"/>
      <c r="AC274" s="144"/>
      <c r="AD274" s="144"/>
      <c r="AE274" s="45"/>
      <c r="AF274" s="45"/>
      <c r="AG274" s="144"/>
      <c r="AH274" s="144"/>
      <c r="AI274" s="144"/>
      <c r="AJ274" s="22"/>
      <c r="AK274" s="22"/>
      <c r="AL274" s="144"/>
      <c r="AM274" s="22"/>
      <c r="AN274" s="22"/>
      <c r="AO274" s="144"/>
      <c r="AP274" s="22"/>
      <c r="AQ274" s="22"/>
      <c r="AR274" s="144"/>
      <c r="AS274" s="22"/>
      <c r="AT274" s="22"/>
      <c r="AU274" s="144"/>
      <c r="AV274" s="22"/>
      <c r="AW274" s="22"/>
      <c r="AX274" s="144"/>
      <c r="AY274" s="144"/>
      <c r="AZ274" s="22"/>
      <c r="BA274" s="144"/>
      <c r="BB274" s="144"/>
      <c r="BC274" s="144"/>
      <c r="BD274" s="144"/>
      <c r="BE274" s="144"/>
      <c r="BF274" s="22"/>
      <c r="BG274" s="144"/>
      <c r="BH274" s="144"/>
      <c r="BI274" s="22"/>
      <c r="BJ274" s="144"/>
      <c r="BK274" s="22"/>
      <c r="BL274" s="144"/>
      <c r="BM274" s="144"/>
      <c r="BN274" s="22"/>
      <c r="BO274" s="144"/>
      <c r="BP274" s="144"/>
      <c r="BQ274" s="22"/>
      <c r="BR274" s="22"/>
      <c r="BS274" s="144"/>
      <c r="BT274" s="22"/>
      <c r="BU274" s="22"/>
      <c r="BV274" s="144"/>
      <c r="BW274" s="22"/>
      <c r="BX274" s="22"/>
      <c r="BY274" s="144"/>
      <c r="BZ274" s="22"/>
      <c r="CA274" s="22"/>
      <c r="CB274" s="144"/>
      <c r="CC274" s="22"/>
      <c r="CD274" s="22"/>
      <c r="CE274" s="144"/>
      <c r="CF274" s="22"/>
      <c r="CG274" s="22"/>
      <c r="CH274" s="144"/>
      <c r="CI274" s="22"/>
      <c r="CJ274" s="22"/>
      <c r="CK274" s="144"/>
    </row>
    <row r="275" spans="1:89" ht="15.75" customHeight="1" x14ac:dyDescent="0.45">
      <c r="A275" s="22"/>
      <c r="B275" s="22"/>
      <c r="C275" s="12"/>
      <c r="D275" s="12"/>
      <c r="E275" s="155"/>
      <c r="F275" s="144"/>
      <c r="G275" s="12"/>
      <c r="H275" s="22"/>
      <c r="I275" s="22"/>
      <c r="J275" s="22"/>
      <c r="K275" s="145"/>
      <c r="L275" s="144"/>
      <c r="M275" s="144"/>
      <c r="N275" s="152"/>
      <c r="O275" s="22"/>
      <c r="P275" s="152"/>
      <c r="Q275" s="22"/>
      <c r="R275" s="74"/>
      <c r="S275" s="45"/>
      <c r="T275" s="158"/>
      <c r="U275" s="45"/>
      <c r="V275" s="45"/>
      <c r="W275" s="45"/>
      <c r="X275" s="45"/>
      <c r="Y275" s="45"/>
      <c r="Z275" s="45"/>
      <c r="AA275" s="45"/>
      <c r="AB275" s="45"/>
      <c r="AC275" s="144"/>
      <c r="AD275" s="144"/>
      <c r="AE275" s="45"/>
      <c r="AF275" s="45"/>
      <c r="AG275" s="144"/>
      <c r="AH275" s="144"/>
      <c r="AI275" s="144"/>
      <c r="AJ275" s="22"/>
      <c r="AK275" s="22"/>
      <c r="AL275" s="144"/>
      <c r="AM275" s="22"/>
      <c r="AN275" s="22"/>
      <c r="AO275" s="144"/>
      <c r="AP275" s="22"/>
      <c r="AQ275" s="22"/>
      <c r="AR275" s="144"/>
      <c r="AS275" s="22"/>
      <c r="AT275" s="22"/>
      <c r="AU275" s="144"/>
      <c r="AV275" s="22"/>
      <c r="AW275" s="22"/>
      <c r="AX275" s="144"/>
      <c r="AY275" s="144"/>
      <c r="AZ275" s="22"/>
      <c r="BA275" s="144"/>
      <c r="BB275" s="144"/>
      <c r="BC275" s="144"/>
      <c r="BD275" s="144"/>
      <c r="BE275" s="144"/>
      <c r="BF275" s="22"/>
      <c r="BG275" s="144"/>
      <c r="BH275" s="144"/>
      <c r="BI275" s="22"/>
      <c r="BJ275" s="144"/>
      <c r="BK275" s="22"/>
      <c r="BL275" s="144"/>
      <c r="BM275" s="144"/>
      <c r="BN275" s="22"/>
      <c r="BO275" s="144"/>
      <c r="BP275" s="144"/>
      <c r="BQ275" s="22"/>
      <c r="BR275" s="22"/>
      <c r="BS275" s="144"/>
      <c r="BT275" s="22"/>
      <c r="BU275" s="22"/>
      <c r="BV275" s="144"/>
      <c r="BW275" s="22"/>
      <c r="BX275" s="22"/>
      <c r="BY275" s="144"/>
      <c r="BZ275" s="22"/>
      <c r="CA275" s="22"/>
      <c r="CB275" s="144"/>
      <c r="CC275" s="22"/>
      <c r="CD275" s="22"/>
      <c r="CE275" s="144"/>
      <c r="CF275" s="22"/>
      <c r="CG275" s="22"/>
      <c r="CH275" s="144"/>
      <c r="CI275" s="22"/>
      <c r="CJ275" s="22"/>
      <c r="CK275" s="144"/>
    </row>
    <row r="276" spans="1:89" ht="15.75" customHeight="1" x14ac:dyDescent="0.45">
      <c r="A276" s="22"/>
      <c r="B276" s="22"/>
      <c r="C276" s="12"/>
      <c r="D276" s="12"/>
      <c r="E276" s="155"/>
      <c r="F276" s="144"/>
      <c r="G276" s="12"/>
      <c r="H276" s="22"/>
      <c r="I276" s="22"/>
      <c r="J276" s="22"/>
      <c r="K276" s="145"/>
      <c r="L276" s="144"/>
      <c r="M276" s="144"/>
      <c r="N276" s="152"/>
      <c r="O276" s="22"/>
      <c r="P276" s="152"/>
      <c r="Q276" s="22"/>
      <c r="R276" s="74"/>
      <c r="S276" s="45"/>
      <c r="T276" s="158"/>
      <c r="U276" s="45"/>
      <c r="V276" s="45"/>
      <c r="W276" s="45"/>
      <c r="X276" s="45"/>
      <c r="Y276" s="45"/>
      <c r="Z276" s="45"/>
      <c r="AA276" s="45"/>
      <c r="AB276" s="45"/>
      <c r="AC276" s="144"/>
      <c r="AD276" s="144"/>
      <c r="AE276" s="45"/>
      <c r="AF276" s="45"/>
      <c r="AG276" s="144"/>
      <c r="AH276" s="144"/>
      <c r="AI276" s="144"/>
      <c r="AJ276" s="22"/>
      <c r="AK276" s="22"/>
      <c r="AL276" s="144"/>
      <c r="AM276" s="22"/>
      <c r="AN276" s="22"/>
      <c r="AO276" s="144"/>
      <c r="AP276" s="22"/>
      <c r="AQ276" s="22"/>
      <c r="AR276" s="144"/>
      <c r="AS276" s="22"/>
      <c r="AT276" s="22"/>
      <c r="AU276" s="144"/>
      <c r="AV276" s="22"/>
      <c r="AW276" s="22"/>
      <c r="AX276" s="144"/>
      <c r="AY276" s="144"/>
      <c r="AZ276" s="22"/>
      <c r="BA276" s="144"/>
      <c r="BB276" s="144"/>
      <c r="BC276" s="144"/>
      <c r="BD276" s="144"/>
      <c r="BE276" s="144"/>
      <c r="BF276" s="22"/>
      <c r="BG276" s="144"/>
      <c r="BH276" s="144"/>
      <c r="BI276" s="22"/>
      <c r="BJ276" s="144"/>
      <c r="BK276" s="22"/>
      <c r="BL276" s="144"/>
      <c r="BM276" s="144"/>
      <c r="BN276" s="22"/>
      <c r="BO276" s="144"/>
      <c r="BP276" s="144"/>
      <c r="BQ276" s="22"/>
      <c r="BR276" s="22"/>
      <c r="BS276" s="144"/>
      <c r="BT276" s="22"/>
      <c r="BU276" s="22"/>
      <c r="BV276" s="144"/>
      <c r="BW276" s="22"/>
      <c r="BX276" s="22"/>
      <c r="BY276" s="144"/>
      <c r="BZ276" s="22"/>
      <c r="CA276" s="22"/>
      <c r="CB276" s="144"/>
      <c r="CC276" s="22"/>
      <c r="CD276" s="22"/>
      <c r="CE276" s="144"/>
      <c r="CF276" s="22"/>
      <c r="CG276" s="22"/>
      <c r="CH276" s="144"/>
      <c r="CI276" s="22"/>
      <c r="CJ276" s="22"/>
      <c r="CK276" s="144"/>
    </row>
    <row r="277" spans="1:89" ht="15.75" customHeight="1" x14ac:dyDescent="0.45">
      <c r="A277" s="22"/>
      <c r="B277" s="22"/>
      <c r="C277" s="12"/>
      <c r="D277" s="12"/>
      <c r="E277" s="155"/>
      <c r="F277" s="144"/>
      <c r="G277" s="12"/>
      <c r="H277" s="22"/>
      <c r="I277" s="22"/>
      <c r="J277" s="22"/>
      <c r="K277" s="145"/>
      <c r="L277" s="144"/>
      <c r="M277" s="144"/>
      <c r="N277" s="152"/>
      <c r="O277" s="22"/>
      <c r="P277" s="152"/>
      <c r="Q277" s="22"/>
      <c r="R277" s="74"/>
      <c r="S277" s="45"/>
      <c r="T277" s="158"/>
      <c r="U277" s="45"/>
      <c r="V277" s="45"/>
      <c r="W277" s="45"/>
      <c r="X277" s="45"/>
      <c r="Y277" s="45"/>
      <c r="Z277" s="45"/>
      <c r="AA277" s="45"/>
      <c r="AB277" s="45"/>
      <c r="AC277" s="144"/>
      <c r="AD277" s="144"/>
      <c r="AE277" s="45"/>
      <c r="AF277" s="45"/>
      <c r="AG277" s="144"/>
      <c r="AH277" s="144"/>
      <c r="AI277" s="144"/>
      <c r="AJ277" s="22"/>
      <c r="AK277" s="22"/>
      <c r="AL277" s="144"/>
      <c r="AM277" s="22"/>
      <c r="AN277" s="22"/>
      <c r="AO277" s="144"/>
      <c r="AP277" s="22"/>
      <c r="AQ277" s="22"/>
      <c r="AR277" s="144"/>
      <c r="AS277" s="22"/>
      <c r="AT277" s="22"/>
      <c r="AU277" s="144"/>
      <c r="AV277" s="22"/>
      <c r="AW277" s="22"/>
      <c r="AX277" s="144"/>
      <c r="AY277" s="144"/>
      <c r="AZ277" s="22"/>
      <c r="BA277" s="144"/>
      <c r="BB277" s="144"/>
      <c r="BC277" s="144"/>
      <c r="BD277" s="144"/>
      <c r="BE277" s="144"/>
      <c r="BF277" s="22"/>
      <c r="BG277" s="144"/>
      <c r="BH277" s="144"/>
      <c r="BI277" s="22"/>
      <c r="BJ277" s="144"/>
      <c r="BK277" s="22"/>
      <c r="BL277" s="144"/>
      <c r="BM277" s="144"/>
      <c r="BN277" s="22"/>
      <c r="BO277" s="144"/>
      <c r="BP277" s="144"/>
      <c r="BQ277" s="22"/>
      <c r="BR277" s="22"/>
      <c r="BS277" s="144"/>
      <c r="BT277" s="22"/>
      <c r="BU277" s="22"/>
      <c r="BV277" s="144"/>
      <c r="BW277" s="22"/>
      <c r="BX277" s="22"/>
      <c r="BY277" s="144"/>
      <c r="BZ277" s="22"/>
      <c r="CA277" s="22"/>
      <c r="CB277" s="144"/>
      <c r="CC277" s="22"/>
      <c r="CD277" s="22"/>
      <c r="CE277" s="144"/>
      <c r="CF277" s="22"/>
      <c r="CG277" s="22"/>
      <c r="CH277" s="144"/>
      <c r="CI277" s="22"/>
      <c r="CJ277" s="22"/>
      <c r="CK277" s="144"/>
    </row>
    <row r="278" spans="1:89" ht="15.75" customHeight="1" x14ac:dyDescent="0.45">
      <c r="A278" s="22"/>
      <c r="B278" s="22"/>
      <c r="C278" s="12"/>
      <c r="D278" s="12"/>
      <c r="E278" s="155"/>
      <c r="F278" s="144"/>
      <c r="G278" s="12"/>
      <c r="H278" s="22"/>
      <c r="I278" s="22"/>
      <c r="J278" s="22"/>
      <c r="K278" s="145"/>
      <c r="L278" s="144"/>
      <c r="M278" s="144"/>
      <c r="N278" s="152"/>
      <c r="O278" s="22"/>
      <c r="P278" s="152"/>
      <c r="Q278" s="22"/>
      <c r="R278" s="74"/>
      <c r="S278" s="45"/>
      <c r="T278" s="158"/>
      <c r="U278" s="45"/>
      <c r="V278" s="45"/>
      <c r="W278" s="45"/>
      <c r="X278" s="45"/>
      <c r="Y278" s="45"/>
      <c r="Z278" s="45"/>
      <c r="AA278" s="45"/>
      <c r="AB278" s="45"/>
      <c r="AC278" s="144"/>
      <c r="AD278" s="144"/>
      <c r="AE278" s="45"/>
      <c r="AF278" s="45"/>
      <c r="AG278" s="144"/>
      <c r="AH278" s="144"/>
      <c r="AI278" s="144"/>
      <c r="AJ278" s="22"/>
      <c r="AK278" s="22"/>
      <c r="AL278" s="144"/>
      <c r="AM278" s="22"/>
      <c r="AN278" s="22"/>
      <c r="AO278" s="144"/>
      <c r="AP278" s="22"/>
      <c r="AQ278" s="22"/>
      <c r="AR278" s="144"/>
      <c r="AS278" s="22"/>
      <c r="AT278" s="22"/>
      <c r="AU278" s="144"/>
      <c r="AV278" s="22"/>
      <c r="AW278" s="22"/>
      <c r="AX278" s="144"/>
      <c r="AY278" s="144"/>
      <c r="AZ278" s="22"/>
      <c r="BA278" s="144"/>
      <c r="BB278" s="144"/>
      <c r="BC278" s="144"/>
      <c r="BD278" s="144"/>
      <c r="BE278" s="144"/>
      <c r="BF278" s="22"/>
      <c r="BG278" s="144"/>
      <c r="BH278" s="144"/>
      <c r="BI278" s="22"/>
      <c r="BJ278" s="144"/>
      <c r="BK278" s="22"/>
      <c r="BL278" s="144"/>
      <c r="BM278" s="144"/>
      <c r="BN278" s="22"/>
      <c r="BO278" s="144"/>
      <c r="BP278" s="144"/>
      <c r="BQ278" s="22"/>
      <c r="BR278" s="22"/>
      <c r="BS278" s="144"/>
      <c r="BT278" s="22"/>
      <c r="BU278" s="22"/>
      <c r="BV278" s="144"/>
      <c r="BW278" s="22"/>
      <c r="BX278" s="22"/>
      <c r="BY278" s="144"/>
      <c r="BZ278" s="22"/>
      <c r="CA278" s="22"/>
      <c r="CB278" s="144"/>
      <c r="CC278" s="22"/>
      <c r="CD278" s="22"/>
      <c r="CE278" s="144"/>
      <c r="CF278" s="22"/>
      <c r="CG278" s="22"/>
      <c r="CH278" s="144"/>
      <c r="CI278" s="22"/>
      <c r="CJ278" s="22"/>
      <c r="CK278" s="144"/>
    </row>
    <row r="279" spans="1:89" ht="15.75" customHeight="1" x14ac:dyDescent="0.45">
      <c r="A279" s="22"/>
      <c r="B279" s="22"/>
      <c r="C279" s="12"/>
      <c r="D279" s="12"/>
      <c r="E279" s="155"/>
      <c r="F279" s="144"/>
      <c r="G279" s="12"/>
      <c r="H279" s="22"/>
      <c r="I279" s="22"/>
      <c r="J279" s="22"/>
      <c r="K279" s="145"/>
      <c r="L279" s="144"/>
      <c r="M279" s="144"/>
      <c r="N279" s="152"/>
      <c r="O279" s="22"/>
      <c r="P279" s="152"/>
      <c r="Q279" s="22"/>
      <c r="R279" s="74"/>
      <c r="S279" s="45"/>
      <c r="T279" s="158"/>
      <c r="U279" s="45"/>
      <c r="V279" s="45"/>
      <c r="W279" s="45"/>
      <c r="X279" s="45"/>
      <c r="Y279" s="45"/>
      <c r="Z279" s="45"/>
      <c r="AA279" s="45"/>
      <c r="AB279" s="45"/>
      <c r="AC279" s="144"/>
      <c r="AD279" s="144"/>
      <c r="AE279" s="45"/>
      <c r="AF279" s="45"/>
      <c r="AG279" s="144"/>
      <c r="AH279" s="144"/>
      <c r="AI279" s="144"/>
      <c r="AJ279" s="22"/>
      <c r="AK279" s="22"/>
      <c r="AL279" s="144"/>
      <c r="AM279" s="22"/>
      <c r="AN279" s="22"/>
      <c r="AO279" s="144"/>
      <c r="AP279" s="22"/>
      <c r="AQ279" s="22"/>
      <c r="AR279" s="144"/>
      <c r="AS279" s="22"/>
      <c r="AT279" s="22"/>
      <c r="AU279" s="144"/>
      <c r="AV279" s="22"/>
      <c r="AW279" s="22"/>
      <c r="AX279" s="144"/>
      <c r="AY279" s="144"/>
      <c r="AZ279" s="22"/>
      <c r="BA279" s="144"/>
      <c r="BB279" s="144"/>
      <c r="BC279" s="144"/>
      <c r="BD279" s="144"/>
      <c r="BE279" s="144"/>
      <c r="BF279" s="22"/>
      <c r="BG279" s="144"/>
      <c r="BH279" s="144"/>
      <c r="BI279" s="22"/>
      <c r="BJ279" s="144"/>
      <c r="BK279" s="22"/>
      <c r="BL279" s="144"/>
      <c r="BM279" s="144"/>
      <c r="BN279" s="22"/>
      <c r="BO279" s="144"/>
      <c r="BP279" s="144"/>
      <c r="BQ279" s="22"/>
      <c r="BR279" s="22"/>
      <c r="BS279" s="144"/>
      <c r="BT279" s="22"/>
      <c r="BU279" s="22"/>
      <c r="BV279" s="144"/>
      <c r="BW279" s="22"/>
      <c r="BX279" s="22"/>
      <c r="BY279" s="144"/>
      <c r="BZ279" s="22"/>
      <c r="CA279" s="22"/>
      <c r="CB279" s="144"/>
      <c r="CC279" s="22"/>
      <c r="CD279" s="22"/>
      <c r="CE279" s="144"/>
      <c r="CF279" s="22"/>
      <c r="CG279" s="22"/>
      <c r="CH279" s="144"/>
      <c r="CI279" s="22"/>
      <c r="CJ279" s="22"/>
      <c r="CK279" s="144"/>
    </row>
    <row r="280" spans="1:89" ht="15.75" customHeight="1" x14ac:dyDescent="0.45">
      <c r="A280" s="22"/>
      <c r="B280" s="22"/>
      <c r="C280" s="12"/>
      <c r="D280" s="12"/>
      <c r="E280" s="155"/>
      <c r="F280" s="22"/>
      <c r="G280" s="1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</row>
    <row r="281" spans="1:89" ht="15.75" customHeight="1" x14ac:dyDescent="0.45">
      <c r="A281" s="22"/>
      <c r="B281" s="22"/>
      <c r="C281" s="12"/>
      <c r="D281" s="12"/>
      <c r="E281" s="155"/>
      <c r="F281" s="22"/>
      <c r="G281" s="1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</row>
    <row r="282" spans="1:89" ht="15.75" customHeight="1" x14ac:dyDescent="0.45">
      <c r="A282" s="22"/>
      <c r="B282" s="22"/>
      <c r="C282" s="12"/>
      <c r="D282" s="12"/>
      <c r="E282" s="155"/>
      <c r="F282" s="22"/>
      <c r="G282" s="1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</row>
    <row r="283" spans="1:89" ht="15.75" customHeight="1" x14ac:dyDescent="0.45">
      <c r="A283" s="22"/>
      <c r="B283" s="22"/>
      <c r="C283" s="12"/>
      <c r="D283" s="12"/>
      <c r="E283" s="155"/>
      <c r="F283" s="22"/>
      <c r="G283" s="1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</row>
    <row r="284" spans="1:89" ht="15.75" customHeight="1" x14ac:dyDescent="0.45">
      <c r="A284" s="22"/>
      <c r="B284" s="22"/>
      <c r="C284" s="12"/>
      <c r="D284" s="12"/>
      <c r="E284" s="155"/>
      <c r="F284" s="22"/>
      <c r="G284" s="1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</row>
    <row r="285" spans="1:89" ht="15.75" customHeight="1" x14ac:dyDescent="0.45">
      <c r="A285" s="22"/>
      <c r="B285" s="22"/>
      <c r="C285" s="12"/>
      <c r="D285" s="12"/>
      <c r="E285" s="155"/>
      <c r="F285" s="22"/>
      <c r="G285" s="1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</row>
    <row r="286" spans="1:89" ht="15.75" customHeight="1" x14ac:dyDescent="0.45">
      <c r="A286" s="22"/>
      <c r="B286" s="22"/>
      <c r="C286" s="12"/>
      <c r="D286" s="12"/>
      <c r="E286" s="155"/>
      <c r="F286" s="22"/>
      <c r="G286" s="1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</row>
    <row r="287" spans="1:89" ht="15.75" customHeight="1" x14ac:dyDescent="0.45">
      <c r="A287" s="22"/>
      <c r="B287" s="22"/>
      <c r="C287" s="12"/>
      <c r="D287" s="12"/>
      <c r="E287" s="155"/>
      <c r="F287" s="22"/>
      <c r="G287" s="1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</row>
    <row r="288" spans="1:89" ht="15.75" customHeight="1" x14ac:dyDescent="0.45">
      <c r="A288" s="22"/>
      <c r="B288" s="22"/>
      <c r="C288" s="12"/>
      <c r="D288" s="12"/>
      <c r="E288" s="155"/>
      <c r="F288" s="22"/>
      <c r="G288" s="1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</row>
    <row r="289" spans="1:89" ht="15.75" customHeight="1" x14ac:dyDescent="0.45">
      <c r="A289" s="22"/>
      <c r="B289" s="22"/>
      <c r="C289" s="12"/>
      <c r="D289" s="12"/>
      <c r="E289" s="155"/>
      <c r="F289" s="22"/>
      <c r="G289" s="1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</row>
    <row r="290" spans="1:89" ht="15.75" customHeight="1" x14ac:dyDescent="0.45">
      <c r="A290" s="22"/>
      <c r="B290" s="22"/>
      <c r="C290" s="12"/>
      <c r="D290" s="12"/>
      <c r="E290" s="155"/>
      <c r="F290" s="22"/>
      <c r="G290" s="1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</row>
    <row r="291" spans="1:89" ht="15.75" customHeight="1" x14ac:dyDescent="0.45">
      <c r="A291" s="22"/>
      <c r="B291" s="22"/>
      <c r="C291" s="12"/>
      <c r="D291" s="12"/>
      <c r="E291" s="155"/>
      <c r="F291" s="22"/>
      <c r="G291" s="1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</row>
    <row r="292" spans="1:89" ht="15.75" customHeight="1" x14ac:dyDescent="0.45">
      <c r="A292" s="22"/>
      <c r="B292" s="22"/>
      <c r="C292" s="12"/>
      <c r="D292" s="12"/>
      <c r="E292" s="155"/>
      <c r="F292" s="22"/>
      <c r="G292" s="1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</row>
    <row r="293" spans="1:89" ht="15.75" customHeight="1" x14ac:dyDescent="0.45">
      <c r="A293" s="22"/>
      <c r="B293" s="22"/>
      <c r="C293" s="12"/>
      <c r="D293" s="12"/>
      <c r="E293" s="155"/>
      <c r="F293" s="22"/>
      <c r="G293" s="1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</row>
    <row r="294" spans="1:89" ht="15.75" customHeight="1" x14ac:dyDescent="0.45">
      <c r="A294" s="22"/>
      <c r="B294" s="22"/>
      <c r="C294" s="12"/>
      <c r="D294" s="12"/>
      <c r="E294" s="155"/>
      <c r="F294" s="22"/>
      <c r="G294" s="1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</row>
    <row r="295" spans="1:89" ht="15.75" customHeight="1" x14ac:dyDescent="0.45">
      <c r="A295" s="22"/>
      <c r="B295" s="22"/>
      <c r="C295" s="12"/>
      <c r="D295" s="12"/>
      <c r="E295" s="155"/>
      <c r="F295" s="22"/>
      <c r="G295" s="1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</row>
    <row r="296" spans="1:89" ht="15.75" customHeight="1" x14ac:dyDescent="0.45">
      <c r="A296" s="22"/>
      <c r="B296" s="22"/>
      <c r="C296" s="12"/>
      <c r="D296" s="12"/>
      <c r="E296" s="155"/>
      <c r="F296" s="22"/>
      <c r="G296" s="1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</row>
    <row r="297" spans="1:89" ht="15.75" customHeight="1" x14ac:dyDescent="0.45">
      <c r="A297" s="22"/>
      <c r="B297" s="22"/>
      <c r="C297" s="12"/>
      <c r="D297" s="12"/>
      <c r="E297" s="155"/>
      <c r="F297" s="22"/>
      <c r="G297" s="1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</row>
    <row r="298" spans="1:89" ht="15.75" customHeight="1" x14ac:dyDescent="0.45">
      <c r="A298" s="22"/>
      <c r="B298" s="22"/>
      <c r="C298" s="12"/>
      <c r="D298" s="12"/>
      <c r="E298" s="155"/>
      <c r="F298" s="22"/>
      <c r="G298" s="1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</row>
    <row r="299" spans="1:89" ht="15.75" customHeight="1" x14ac:dyDescent="0.45">
      <c r="A299" s="22"/>
      <c r="B299" s="22"/>
      <c r="C299" s="12"/>
      <c r="D299" s="12"/>
      <c r="E299" s="155"/>
      <c r="F299" s="22"/>
      <c r="G299" s="1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</row>
    <row r="300" spans="1:89" ht="15.75" customHeight="1" x14ac:dyDescent="0.45">
      <c r="A300" s="22"/>
      <c r="B300" s="22"/>
      <c r="C300" s="12"/>
      <c r="D300" s="12"/>
      <c r="E300" s="155"/>
      <c r="F300" s="22"/>
      <c r="G300" s="1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</row>
    <row r="301" spans="1:89" ht="15.75" customHeight="1" x14ac:dyDescent="0.45">
      <c r="A301" s="22"/>
      <c r="B301" s="22"/>
      <c r="C301" s="12"/>
      <c r="D301" s="12"/>
      <c r="E301" s="155"/>
      <c r="F301" s="22"/>
      <c r="G301" s="1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</row>
    <row r="302" spans="1:89" ht="15.75" customHeight="1" x14ac:dyDescent="0.45">
      <c r="A302" s="22"/>
      <c r="B302" s="22"/>
      <c r="C302" s="12"/>
      <c r="D302" s="12"/>
      <c r="E302" s="155"/>
      <c r="F302" s="22"/>
      <c r="G302" s="1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</row>
    <row r="303" spans="1:89" ht="15.75" customHeight="1" x14ac:dyDescent="0.45">
      <c r="A303" s="22"/>
      <c r="B303" s="22"/>
      <c r="C303" s="12"/>
      <c r="D303" s="12"/>
      <c r="E303" s="155"/>
      <c r="F303" s="22"/>
      <c r="G303" s="1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</row>
    <row r="304" spans="1:89" ht="15.75" customHeight="1" x14ac:dyDescent="0.45">
      <c r="A304" s="22"/>
      <c r="B304" s="22"/>
      <c r="C304" s="12"/>
      <c r="D304" s="12"/>
      <c r="E304" s="155"/>
      <c r="F304" s="22"/>
      <c r="G304" s="1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</row>
    <row r="305" spans="1:89" ht="15.75" customHeight="1" x14ac:dyDescent="0.45">
      <c r="A305" s="22"/>
      <c r="B305" s="22"/>
      <c r="C305" s="12"/>
      <c r="D305" s="12"/>
      <c r="E305" s="155"/>
      <c r="F305" s="22"/>
      <c r="G305" s="1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</row>
    <row r="306" spans="1:89" ht="15.75" customHeight="1" x14ac:dyDescent="0.45">
      <c r="A306" s="22"/>
      <c r="B306" s="22"/>
      <c r="C306" s="12"/>
      <c r="D306" s="12"/>
      <c r="E306" s="155"/>
      <c r="F306" s="22"/>
      <c r="G306" s="1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</row>
    <row r="307" spans="1:89" ht="15.75" customHeight="1" x14ac:dyDescent="0.45">
      <c r="A307" s="22"/>
      <c r="B307" s="22"/>
      <c r="C307" s="12"/>
      <c r="D307" s="12"/>
      <c r="E307" s="155"/>
      <c r="F307" s="22"/>
      <c r="G307" s="1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</row>
    <row r="308" spans="1:89" ht="15.75" customHeight="1" x14ac:dyDescent="0.45">
      <c r="A308" s="22"/>
      <c r="B308" s="22"/>
      <c r="C308" s="12"/>
      <c r="D308" s="12"/>
      <c r="E308" s="155"/>
      <c r="F308" s="22"/>
      <c r="G308" s="1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</row>
    <row r="309" spans="1:89" ht="15.75" customHeight="1" x14ac:dyDescent="0.45">
      <c r="A309" s="22"/>
      <c r="B309" s="22"/>
      <c r="C309" s="12"/>
      <c r="D309" s="12"/>
      <c r="E309" s="155"/>
      <c r="F309" s="22"/>
      <c r="G309" s="1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</row>
    <row r="310" spans="1:89" ht="15.75" customHeight="1" x14ac:dyDescent="0.45">
      <c r="A310" s="22"/>
      <c r="B310" s="22"/>
      <c r="C310" s="12"/>
      <c r="D310" s="12"/>
      <c r="E310" s="155"/>
      <c r="F310" s="22"/>
      <c r="G310" s="1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</row>
    <row r="311" spans="1:89" ht="15.75" customHeight="1" x14ac:dyDescent="0.45">
      <c r="A311" s="22"/>
      <c r="B311" s="22"/>
      <c r="C311" s="12"/>
      <c r="D311" s="12"/>
      <c r="E311" s="155"/>
      <c r="F311" s="22"/>
      <c r="G311" s="1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</row>
    <row r="312" spans="1:89" ht="15.75" customHeight="1" x14ac:dyDescent="0.45">
      <c r="A312" s="22"/>
      <c r="B312" s="22"/>
      <c r="C312" s="12"/>
      <c r="D312" s="12"/>
      <c r="E312" s="155"/>
      <c r="F312" s="22"/>
      <c r="G312" s="1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</row>
    <row r="313" spans="1:89" ht="15.75" customHeight="1" x14ac:dyDescent="0.45">
      <c r="A313" s="22"/>
      <c r="B313" s="22"/>
      <c r="C313" s="12"/>
      <c r="D313" s="12"/>
      <c r="E313" s="155"/>
      <c r="F313" s="22"/>
      <c r="G313" s="1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</row>
    <row r="314" spans="1:89" ht="15.75" customHeight="1" x14ac:dyDescent="0.45">
      <c r="A314" s="22"/>
      <c r="B314" s="22"/>
      <c r="C314" s="12"/>
      <c r="D314" s="12"/>
      <c r="E314" s="155"/>
      <c r="F314" s="22"/>
      <c r="G314" s="1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</row>
    <row r="315" spans="1:89" ht="15.75" customHeight="1" x14ac:dyDescent="0.45">
      <c r="A315" s="22"/>
      <c r="B315" s="22"/>
      <c r="C315" s="12"/>
      <c r="D315" s="12"/>
      <c r="E315" s="155"/>
      <c r="F315" s="22"/>
      <c r="G315" s="1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</row>
    <row r="316" spans="1:89" ht="15.75" customHeight="1" x14ac:dyDescent="0.45">
      <c r="A316" s="22"/>
      <c r="B316" s="22"/>
      <c r="C316" s="12"/>
      <c r="D316" s="12"/>
      <c r="E316" s="155"/>
      <c r="F316" s="22"/>
      <c r="G316" s="1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</row>
    <row r="317" spans="1:89" ht="15.75" customHeight="1" x14ac:dyDescent="0.45">
      <c r="A317" s="22"/>
      <c r="B317" s="22"/>
      <c r="C317" s="12"/>
      <c r="D317" s="12"/>
      <c r="E317" s="155"/>
      <c r="F317" s="22"/>
      <c r="G317" s="1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</row>
    <row r="318" spans="1:89" ht="15.75" customHeight="1" x14ac:dyDescent="0.45">
      <c r="A318" s="22"/>
      <c r="B318" s="22"/>
      <c r="C318" s="12"/>
      <c r="D318" s="12"/>
      <c r="E318" s="155"/>
      <c r="F318" s="22"/>
      <c r="G318" s="1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</row>
    <row r="319" spans="1:89" ht="15.75" customHeight="1" x14ac:dyDescent="0.45">
      <c r="A319" s="22"/>
      <c r="B319" s="22"/>
      <c r="C319" s="12"/>
      <c r="D319" s="12"/>
      <c r="E319" s="155"/>
      <c r="F319" s="22"/>
      <c r="G319" s="1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</row>
    <row r="320" spans="1:89" ht="15.75" customHeight="1" x14ac:dyDescent="0.45">
      <c r="A320" s="22"/>
      <c r="B320" s="22"/>
      <c r="C320" s="12"/>
      <c r="D320" s="12"/>
      <c r="E320" s="155"/>
      <c r="F320" s="22"/>
      <c r="G320" s="1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</row>
    <row r="321" spans="1:89" ht="15.75" customHeight="1" x14ac:dyDescent="0.45">
      <c r="A321" s="22"/>
      <c r="B321" s="22"/>
      <c r="C321" s="12"/>
      <c r="D321" s="12"/>
      <c r="E321" s="155"/>
      <c r="F321" s="22"/>
      <c r="G321" s="1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</row>
    <row r="322" spans="1:89" ht="15.75" customHeight="1" x14ac:dyDescent="0.45">
      <c r="A322" s="22"/>
      <c r="B322" s="22"/>
      <c r="C322" s="12"/>
      <c r="D322" s="12"/>
      <c r="E322" s="155"/>
      <c r="F322" s="22"/>
      <c r="G322" s="1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</row>
    <row r="323" spans="1:89" ht="15.75" customHeight="1" x14ac:dyDescent="0.45">
      <c r="A323" s="22"/>
      <c r="B323" s="22"/>
      <c r="C323" s="12"/>
      <c r="D323" s="12"/>
      <c r="E323" s="155"/>
      <c r="F323" s="22"/>
      <c r="G323" s="1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</row>
    <row r="324" spans="1:89" ht="15.75" customHeight="1" x14ac:dyDescent="0.45">
      <c r="A324" s="22"/>
      <c r="B324" s="22"/>
      <c r="C324" s="12"/>
      <c r="D324" s="12"/>
      <c r="E324" s="155"/>
      <c r="F324" s="22"/>
      <c r="G324" s="1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</row>
    <row r="325" spans="1:89" ht="15.75" customHeight="1" x14ac:dyDescent="0.45">
      <c r="A325" s="22"/>
      <c r="B325" s="22"/>
      <c r="C325" s="12"/>
      <c r="D325" s="12"/>
      <c r="E325" s="155"/>
      <c r="F325" s="22"/>
      <c r="G325" s="1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</row>
    <row r="326" spans="1:89" ht="15.75" customHeight="1" x14ac:dyDescent="0.45">
      <c r="A326" s="22"/>
      <c r="B326" s="22"/>
      <c r="C326" s="12"/>
      <c r="D326" s="12"/>
      <c r="E326" s="155"/>
      <c r="F326" s="22"/>
      <c r="G326" s="1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</row>
    <row r="327" spans="1:89" ht="15.75" customHeight="1" x14ac:dyDescent="0.45">
      <c r="A327" s="22"/>
      <c r="B327" s="22"/>
      <c r="C327" s="12"/>
      <c r="D327" s="12"/>
      <c r="E327" s="155"/>
      <c r="F327" s="22"/>
      <c r="G327" s="1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</row>
    <row r="328" spans="1:89" ht="15.75" customHeight="1" x14ac:dyDescent="0.45">
      <c r="A328" s="22"/>
      <c r="B328" s="22"/>
      <c r="C328" s="12"/>
      <c r="D328" s="12"/>
      <c r="E328" s="155"/>
      <c r="F328" s="22"/>
      <c r="G328" s="1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</row>
    <row r="329" spans="1:89" ht="15.75" customHeight="1" x14ac:dyDescent="0.45">
      <c r="A329" s="22"/>
      <c r="B329" s="22"/>
      <c r="C329" s="12"/>
      <c r="D329" s="12"/>
      <c r="E329" s="155"/>
      <c r="F329" s="22"/>
      <c r="G329" s="1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</row>
    <row r="330" spans="1:89" ht="15.75" customHeight="1" x14ac:dyDescent="0.45">
      <c r="A330" s="22"/>
      <c r="B330" s="22"/>
      <c r="C330" s="12"/>
      <c r="D330" s="12"/>
      <c r="E330" s="155"/>
      <c r="F330" s="22"/>
      <c r="G330" s="1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</row>
    <row r="331" spans="1:89" ht="15.75" customHeight="1" x14ac:dyDescent="0.45">
      <c r="A331" s="22"/>
      <c r="B331" s="22"/>
      <c r="C331" s="12"/>
      <c r="D331" s="12"/>
      <c r="E331" s="155"/>
      <c r="F331" s="22"/>
      <c r="G331" s="1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</row>
    <row r="332" spans="1:89" ht="15.75" customHeight="1" x14ac:dyDescent="0.45">
      <c r="A332" s="22"/>
      <c r="B332" s="22"/>
      <c r="C332" s="12"/>
      <c r="D332" s="12"/>
      <c r="E332" s="155"/>
      <c r="F332" s="22"/>
      <c r="G332" s="1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</row>
    <row r="333" spans="1:89" ht="15.75" customHeight="1" x14ac:dyDescent="0.45">
      <c r="A333" s="22"/>
      <c r="B333" s="22"/>
      <c r="C333" s="12"/>
      <c r="D333" s="12"/>
      <c r="E333" s="155"/>
      <c r="F333" s="22"/>
      <c r="G333" s="1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</row>
    <row r="334" spans="1:89" ht="15.75" customHeight="1" x14ac:dyDescent="0.45">
      <c r="A334" s="22"/>
      <c r="B334" s="22"/>
      <c r="C334" s="12"/>
      <c r="D334" s="12"/>
      <c r="E334" s="155"/>
      <c r="F334" s="22"/>
      <c r="G334" s="1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</row>
    <row r="335" spans="1:89" ht="15.75" customHeight="1" x14ac:dyDescent="0.45">
      <c r="A335" s="22"/>
      <c r="B335" s="22"/>
      <c r="C335" s="12"/>
      <c r="D335" s="12"/>
      <c r="E335" s="155"/>
      <c r="F335" s="22"/>
      <c r="G335" s="1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</row>
    <row r="336" spans="1:89" ht="15.75" customHeight="1" x14ac:dyDescent="0.45">
      <c r="A336" s="22"/>
      <c r="B336" s="22"/>
      <c r="C336" s="12"/>
      <c r="D336" s="12"/>
      <c r="E336" s="155"/>
      <c r="F336" s="22"/>
      <c r="G336" s="1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</row>
    <row r="337" spans="1:89" ht="15.75" customHeight="1" x14ac:dyDescent="0.45">
      <c r="A337" s="22"/>
      <c r="B337" s="22"/>
      <c r="C337" s="12"/>
      <c r="D337" s="12"/>
      <c r="E337" s="155"/>
      <c r="F337" s="22"/>
      <c r="G337" s="1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</row>
    <row r="338" spans="1:89" ht="15.75" customHeight="1" x14ac:dyDescent="0.45">
      <c r="A338" s="22"/>
      <c r="B338" s="22"/>
      <c r="C338" s="12"/>
      <c r="D338" s="12"/>
      <c r="E338" s="155"/>
      <c r="F338" s="22"/>
      <c r="G338" s="1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</row>
    <row r="339" spans="1:89" ht="15.75" customHeight="1" x14ac:dyDescent="0.45">
      <c r="A339" s="22"/>
      <c r="B339" s="22"/>
      <c r="C339" s="12"/>
      <c r="D339" s="12"/>
      <c r="E339" s="155"/>
      <c r="F339" s="22"/>
      <c r="G339" s="1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</row>
    <row r="340" spans="1:89" ht="15.75" customHeight="1" x14ac:dyDescent="0.45">
      <c r="A340" s="22"/>
      <c r="B340" s="22"/>
      <c r="C340" s="12"/>
      <c r="D340" s="12"/>
      <c r="E340" s="155"/>
      <c r="F340" s="22"/>
      <c r="G340" s="1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</row>
    <row r="341" spans="1:89" ht="15.75" customHeight="1" x14ac:dyDescent="0.45">
      <c r="A341" s="22"/>
      <c r="B341" s="22"/>
      <c r="C341" s="12"/>
      <c r="D341" s="12"/>
      <c r="E341" s="155"/>
      <c r="F341" s="22"/>
      <c r="G341" s="1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</row>
    <row r="342" spans="1:89" ht="15.75" customHeight="1" x14ac:dyDescent="0.45">
      <c r="A342" s="22"/>
      <c r="B342" s="22"/>
      <c r="C342" s="12"/>
      <c r="D342" s="12"/>
      <c r="E342" s="155"/>
      <c r="F342" s="22"/>
      <c r="G342" s="1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</row>
    <row r="343" spans="1:89" ht="15.75" customHeight="1" x14ac:dyDescent="0.45">
      <c r="A343" s="22"/>
      <c r="B343" s="22"/>
      <c r="C343" s="12"/>
      <c r="D343" s="12"/>
      <c r="E343" s="155"/>
      <c r="F343" s="22"/>
      <c r="G343" s="1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</row>
    <row r="344" spans="1:89" ht="15.75" customHeight="1" x14ac:dyDescent="0.45">
      <c r="A344" s="22"/>
      <c r="B344" s="22"/>
      <c r="C344" s="12"/>
      <c r="D344" s="12"/>
      <c r="E344" s="155"/>
      <c r="F344" s="22"/>
      <c r="G344" s="1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</row>
    <row r="345" spans="1:89" ht="15.75" customHeight="1" x14ac:dyDescent="0.45">
      <c r="A345" s="22"/>
      <c r="B345" s="22"/>
      <c r="C345" s="12"/>
      <c r="D345" s="12"/>
      <c r="E345" s="155"/>
      <c r="F345" s="22"/>
      <c r="G345" s="1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</row>
    <row r="346" spans="1:89" ht="15.75" customHeight="1" x14ac:dyDescent="0.45">
      <c r="A346" s="22"/>
      <c r="B346" s="22"/>
      <c r="C346" s="12"/>
      <c r="D346" s="12"/>
      <c r="E346" s="155"/>
      <c r="F346" s="22"/>
      <c r="G346" s="1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</row>
    <row r="347" spans="1:89" ht="15.75" customHeight="1" x14ac:dyDescent="0.45">
      <c r="A347" s="22"/>
      <c r="B347" s="22"/>
      <c r="C347" s="12"/>
      <c r="D347" s="12"/>
      <c r="E347" s="155"/>
      <c r="F347" s="22"/>
      <c r="G347" s="1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</row>
    <row r="348" spans="1:89" ht="15.75" customHeight="1" x14ac:dyDescent="0.45">
      <c r="A348" s="22"/>
      <c r="B348" s="22"/>
      <c r="C348" s="12"/>
      <c r="D348" s="12"/>
      <c r="E348" s="155"/>
      <c r="F348" s="22"/>
      <c r="G348" s="1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</row>
    <row r="349" spans="1:89" ht="15.75" customHeight="1" x14ac:dyDescent="0.45">
      <c r="A349" s="22"/>
      <c r="B349" s="22"/>
      <c r="C349" s="12"/>
      <c r="D349" s="12"/>
      <c r="E349" s="155"/>
      <c r="F349" s="22"/>
      <c r="G349" s="1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</row>
    <row r="350" spans="1:89" ht="15.75" customHeight="1" x14ac:dyDescent="0.45">
      <c r="A350" s="22"/>
      <c r="B350" s="22"/>
      <c r="C350" s="12"/>
      <c r="D350" s="12"/>
      <c r="E350" s="155"/>
      <c r="F350" s="22"/>
      <c r="G350" s="1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</row>
    <row r="351" spans="1:89" ht="15.75" customHeight="1" x14ac:dyDescent="0.45">
      <c r="A351" s="22"/>
      <c r="B351" s="22"/>
      <c r="C351" s="12"/>
      <c r="D351" s="12"/>
      <c r="E351" s="155"/>
      <c r="F351" s="22"/>
      <c r="G351" s="1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</row>
    <row r="352" spans="1:89" ht="15.75" customHeight="1" x14ac:dyDescent="0.45">
      <c r="A352" s="22"/>
      <c r="B352" s="22"/>
      <c r="C352" s="12"/>
      <c r="D352" s="12"/>
      <c r="E352" s="155"/>
      <c r="F352" s="22"/>
      <c r="G352" s="1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</row>
    <row r="353" spans="1:89" ht="15.75" customHeight="1" x14ac:dyDescent="0.45">
      <c r="A353" s="22"/>
      <c r="B353" s="22"/>
      <c r="C353" s="12"/>
      <c r="D353" s="12"/>
      <c r="E353" s="155"/>
      <c r="F353" s="22"/>
      <c r="G353" s="1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</row>
    <row r="354" spans="1:89" ht="15.75" customHeight="1" x14ac:dyDescent="0.45">
      <c r="A354" s="22"/>
      <c r="B354" s="22"/>
      <c r="C354" s="12"/>
      <c r="D354" s="12"/>
      <c r="E354" s="155"/>
      <c r="F354" s="22"/>
      <c r="G354" s="1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</row>
    <row r="355" spans="1:89" ht="15.75" customHeight="1" x14ac:dyDescent="0.45">
      <c r="A355" s="22"/>
      <c r="B355" s="22"/>
      <c r="C355" s="12"/>
      <c r="D355" s="12"/>
      <c r="E355" s="155"/>
      <c r="F355" s="22"/>
      <c r="G355" s="1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</row>
    <row r="356" spans="1:89" ht="15.75" customHeight="1" x14ac:dyDescent="0.45">
      <c r="A356" s="22"/>
      <c r="B356" s="22"/>
      <c r="C356" s="12"/>
      <c r="D356" s="12"/>
      <c r="E356" s="155"/>
      <c r="F356" s="22"/>
      <c r="G356" s="1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</row>
    <row r="357" spans="1:89" ht="15.75" customHeight="1" x14ac:dyDescent="0.45">
      <c r="A357" s="22"/>
      <c r="B357" s="22"/>
      <c r="C357" s="12"/>
      <c r="D357" s="12"/>
      <c r="E357" s="155"/>
      <c r="F357" s="22"/>
      <c r="G357" s="1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</row>
    <row r="358" spans="1:89" ht="15.75" customHeight="1" x14ac:dyDescent="0.45">
      <c r="A358" s="22"/>
      <c r="B358" s="22"/>
      <c r="C358" s="12"/>
      <c r="D358" s="12"/>
      <c r="E358" s="155"/>
      <c r="F358" s="22"/>
      <c r="G358" s="1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</row>
    <row r="359" spans="1:89" ht="15.75" customHeight="1" x14ac:dyDescent="0.45">
      <c r="A359" s="22"/>
      <c r="B359" s="22"/>
      <c r="C359" s="12"/>
      <c r="D359" s="12"/>
      <c r="E359" s="155"/>
      <c r="F359" s="22"/>
      <c r="G359" s="1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</row>
    <row r="360" spans="1:89" ht="15.75" customHeight="1" x14ac:dyDescent="0.45">
      <c r="A360" s="22"/>
      <c r="B360" s="22"/>
      <c r="C360" s="12"/>
      <c r="D360" s="12"/>
      <c r="E360" s="155"/>
      <c r="F360" s="22"/>
      <c r="G360" s="1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</row>
    <row r="361" spans="1:89" ht="15.75" customHeight="1" x14ac:dyDescent="0.45">
      <c r="A361" s="22"/>
      <c r="B361" s="22"/>
      <c r="C361" s="12"/>
      <c r="D361" s="12"/>
      <c r="E361" s="155"/>
      <c r="F361" s="22"/>
      <c r="G361" s="1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</row>
    <row r="362" spans="1:89" ht="15.75" customHeight="1" x14ac:dyDescent="0.45">
      <c r="A362" s="22"/>
      <c r="B362" s="22"/>
      <c r="C362" s="12"/>
      <c r="D362" s="12"/>
      <c r="E362" s="155"/>
      <c r="F362" s="22"/>
      <c r="G362" s="1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</row>
    <row r="363" spans="1:89" ht="15.75" customHeight="1" x14ac:dyDescent="0.45">
      <c r="A363" s="22"/>
      <c r="B363" s="22"/>
      <c r="C363" s="12"/>
      <c r="D363" s="12"/>
      <c r="E363" s="155"/>
      <c r="F363" s="22"/>
      <c r="G363" s="1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</row>
    <row r="364" spans="1:89" ht="15.75" customHeight="1" x14ac:dyDescent="0.45">
      <c r="A364" s="22"/>
      <c r="B364" s="22"/>
      <c r="C364" s="12"/>
      <c r="D364" s="12"/>
      <c r="E364" s="155"/>
      <c r="F364" s="22"/>
      <c r="G364" s="1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</row>
    <row r="365" spans="1:89" ht="15.75" customHeight="1" x14ac:dyDescent="0.45">
      <c r="A365" s="22"/>
      <c r="B365" s="22"/>
      <c r="C365" s="12"/>
      <c r="D365" s="12"/>
      <c r="E365" s="155"/>
      <c r="F365" s="22"/>
      <c r="G365" s="1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</row>
    <row r="366" spans="1:89" ht="15.75" customHeight="1" x14ac:dyDescent="0.45">
      <c r="A366" s="22"/>
      <c r="B366" s="22"/>
      <c r="C366" s="12"/>
      <c r="D366" s="12"/>
      <c r="E366" s="155"/>
      <c r="F366" s="22"/>
      <c r="G366" s="1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</row>
    <row r="367" spans="1:89" ht="15.75" customHeight="1" x14ac:dyDescent="0.45">
      <c r="A367" s="22"/>
      <c r="B367" s="22"/>
      <c r="C367" s="12"/>
      <c r="D367" s="12"/>
      <c r="E367" s="155"/>
      <c r="F367" s="22"/>
      <c r="G367" s="1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</row>
    <row r="368" spans="1:89" ht="15.75" customHeight="1" x14ac:dyDescent="0.45">
      <c r="A368" s="22"/>
      <c r="B368" s="22"/>
      <c r="C368" s="12"/>
      <c r="D368" s="12"/>
      <c r="E368" s="155"/>
      <c r="F368" s="22"/>
      <c r="G368" s="1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</row>
    <row r="369" spans="1:89" ht="15.75" customHeight="1" x14ac:dyDescent="0.45">
      <c r="A369" s="22"/>
      <c r="B369" s="22"/>
      <c r="C369" s="12"/>
      <c r="D369" s="12"/>
      <c r="E369" s="155"/>
      <c r="F369" s="22"/>
      <c r="G369" s="1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</row>
    <row r="370" spans="1:89" ht="15.75" customHeight="1" x14ac:dyDescent="0.45">
      <c r="A370" s="22"/>
      <c r="B370" s="22"/>
      <c r="C370" s="12"/>
      <c r="D370" s="12"/>
      <c r="E370" s="155"/>
      <c r="F370" s="22"/>
      <c r="G370" s="1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</row>
    <row r="371" spans="1:89" ht="15.75" customHeight="1" x14ac:dyDescent="0.45">
      <c r="A371" s="22"/>
      <c r="B371" s="22"/>
      <c r="C371" s="12"/>
      <c r="D371" s="12"/>
      <c r="E371" s="155"/>
      <c r="F371" s="22"/>
      <c r="G371" s="1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</row>
    <row r="372" spans="1:89" ht="15.75" customHeight="1" x14ac:dyDescent="0.45">
      <c r="A372" s="22"/>
      <c r="B372" s="22"/>
      <c r="C372" s="12"/>
      <c r="D372" s="12"/>
      <c r="E372" s="155"/>
      <c r="F372" s="22"/>
      <c r="G372" s="1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</row>
    <row r="373" spans="1:89" ht="15.75" customHeight="1" x14ac:dyDescent="0.45">
      <c r="A373" s="22"/>
      <c r="B373" s="22"/>
      <c r="C373" s="12"/>
      <c r="D373" s="12"/>
      <c r="E373" s="155"/>
      <c r="F373" s="22"/>
      <c r="G373" s="1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</row>
    <row r="374" spans="1:89" ht="15.75" customHeight="1" x14ac:dyDescent="0.45">
      <c r="A374" s="22"/>
      <c r="B374" s="22"/>
      <c r="C374" s="12"/>
      <c r="D374" s="12"/>
      <c r="E374" s="155"/>
      <c r="F374" s="22"/>
      <c r="G374" s="1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</row>
    <row r="375" spans="1:89" ht="15.75" customHeight="1" x14ac:dyDescent="0.45">
      <c r="A375" s="22"/>
      <c r="B375" s="22"/>
      <c r="C375" s="12"/>
      <c r="D375" s="12"/>
      <c r="E375" s="155"/>
      <c r="F375" s="22"/>
      <c r="G375" s="1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</row>
    <row r="376" spans="1:89" ht="15.75" customHeight="1" x14ac:dyDescent="0.45">
      <c r="A376" s="22"/>
      <c r="B376" s="22"/>
      <c r="C376" s="12"/>
      <c r="D376" s="12"/>
      <c r="E376" s="155"/>
      <c r="F376" s="22"/>
      <c r="G376" s="1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</row>
    <row r="377" spans="1:89" ht="15.75" customHeight="1" x14ac:dyDescent="0.45">
      <c r="A377" s="22"/>
      <c r="B377" s="22"/>
      <c r="C377" s="12"/>
      <c r="D377" s="12"/>
      <c r="E377" s="155"/>
      <c r="F377" s="22"/>
      <c r="G377" s="1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</row>
    <row r="378" spans="1:89" ht="15.75" customHeight="1" x14ac:dyDescent="0.45">
      <c r="A378" s="22"/>
      <c r="B378" s="22"/>
      <c r="C378" s="12"/>
      <c r="D378" s="12"/>
      <c r="E378" s="155"/>
      <c r="F378" s="22"/>
      <c r="G378" s="1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</row>
    <row r="379" spans="1:89" ht="15.75" customHeight="1" x14ac:dyDescent="0.45">
      <c r="A379" s="22"/>
      <c r="B379" s="22"/>
      <c r="C379" s="12"/>
      <c r="D379" s="12"/>
      <c r="E379" s="155"/>
      <c r="F379" s="22"/>
      <c r="G379" s="1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</row>
    <row r="380" spans="1:89" ht="15.75" customHeight="1" x14ac:dyDescent="0.45">
      <c r="A380" s="22"/>
      <c r="B380" s="22"/>
      <c r="C380" s="12"/>
      <c r="D380" s="12"/>
      <c r="E380" s="155"/>
      <c r="F380" s="22"/>
      <c r="G380" s="1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</row>
    <row r="381" spans="1:89" ht="15.75" customHeight="1" x14ac:dyDescent="0.45">
      <c r="A381" s="22"/>
      <c r="B381" s="22"/>
      <c r="C381" s="12"/>
      <c r="D381" s="12"/>
      <c r="E381" s="155"/>
      <c r="F381" s="22"/>
      <c r="G381" s="1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</row>
    <row r="382" spans="1:89" ht="15.75" customHeight="1" x14ac:dyDescent="0.45">
      <c r="A382" s="22"/>
      <c r="B382" s="22"/>
      <c r="C382" s="12"/>
      <c r="D382" s="12"/>
      <c r="E382" s="155"/>
      <c r="F382" s="22"/>
      <c r="G382" s="1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</row>
    <row r="383" spans="1:89" ht="15.75" customHeight="1" x14ac:dyDescent="0.45">
      <c r="A383" s="22"/>
      <c r="B383" s="22"/>
      <c r="C383" s="12"/>
      <c r="D383" s="12"/>
      <c r="E383" s="155"/>
      <c r="F383" s="22"/>
      <c r="G383" s="1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</row>
    <row r="384" spans="1:89" ht="15.75" customHeight="1" x14ac:dyDescent="0.45">
      <c r="A384" s="22"/>
      <c r="B384" s="22"/>
      <c r="C384" s="12"/>
      <c r="D384" s="12"/>
      <c r="E384" s="155"/>
      <c r="F384" s="22"/>
      <c r="G384" s="1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</row>
    <row r="385" spans="1:89" ht="15.75" customHeight="1" x14ac:dyDescent="0.45">
      <c r="A385" s="22"/>
      <c r="B385" s="22"/>
      <c r="C385" s="12"/>
      <c r="D385" s="12"/>
      <c r="E385" s="155"/>
      <c r="F385" s="22"/>
      <c r="G385" s="1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</row>
    <row r="386" spans="1:89" ht="15.75" customHeight="1" x14ac:dyDescent="0.45">
      <c r="A386" s="22"/>
      <c r="B386" s="22"/>
      <c r="C386" s="12"/>
      <c r="D386" s="12"/>
      <c r="E386" s="155"/>
      <c r="F386" s="22"/>
      <c r="G386" s="1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</row>
    <row r="387" spans="1:89" ht="15.75" customHeight="1" x14ac:dyDescent="0.45">
      <c r="A387" s="22"/>
      <c r="B387" s="22"/>
      <c r="C387" s="12"/>
      <c r="D387" s="12"/>
      <c r="E387" s="155"/>
      <c r="F387" s="22"/>
      <c r="G387" s="1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</row>
    <row r="388" spans="1:89" ht="15.75" customHeight="1" x14ac:dyDescent="0.45">
      <c r="A388" s="22"/>
      <c r="B388" s="22"/>
      <c r="C388" s="12"/>
      <c r="D388" s="12"/>
      <c r="E388" s="155"/>
      <c r="F388" s="22"/>
      <c r="G388" s="1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</row>
    <row r="389" spans="1:89" ht="15.75" customHeight="1" x14ac:dyDescent="0.45">
      <c r="A389" s="22"/>
      <c r="B389" s="22"/>
      <c r="C389" s="12"/>
      <c r="D389" s="12"/>
      <c r="E389" s="155"/>
      <c r="F389" s="22"/>
      <c r="G389" s="1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</row>
    <row r="390" spans="1:89" ht="15.75" customHeight="1" x14ac:dyDescent="0.45">
      <c r="A390" s="22"/>
      <c r="B390" s="22"/>
      <c r="C390" s="12"/>
      <c r="D390" s="12"/>
      <c r="E390" s="155"/>
      <c r="F390" s="22"/>
      <c r="G390" s="1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</row>
    <row r="391" spans="1:89" ht="15.75" customHeight="1" x14ac:dyDescent="0.45">
      <c r="A391" s="22"/>
      <c r="B391" s="22"/>
      <c r="C391" s="12"/>
      <c r="D391" s="12"/>
      <c r="E391" s="155"/>
      <c r="F391" s="22"/>
      <c r="G391" s="1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</row>
    <row r="392" spans="1:89" ht="15.75" customHeight="1" x14ac:dyDescent="0.45">
      <c r="A392" s="22"/>
      <c r="B392" s="22"/>
      <c r="C392" s="12"/>
      <c r="D392" s="12"/>
      <c r="E392" s="155"/>
      <c r="F392" s="22"/>
      <c r="G392" s="1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</row>
    <row r="393" spans="1:89" ht="15.75" customHeight="1" x14ac:dyDescent="0.45">
      <c r="A393" s="22"/>
      <c r="B393" s="22"/>
      <c r="C393" s="12"/>
      <c r="D393" s="12"/>
      <c r="E393" s="155"/>
      <c r="F393" s="22"/>
      <c r="G393" s="1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</row>
    <row r="394" spans="1:89" ht="15.75" customHeight="1" x14ac:dyDescent="0.45">
      <c r="A394" s="22"/>
      <c r="B394" s="22"/>
      <c r="C394" s="12"/>
      <c r="D394" s="12"/>
      <c r="E394" s="155"/>
      <c r="F394" s="22"/>
      <c r="G394" s="1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</row>
    <row r="395" spans="1:89" ht="15.75" customHeight="1" x14ac:dyDescent="0.45">
      <c r="A395" s="22"/>
      <c r="B395" s="22"/>
      <c r="C395" s="12"/>
      <c r="D395" s="12"/>
      <c r="E395" s="155"/>
      <c r="F395" s="22"/>
      <c r="G395" s="1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</row>
    <row r="396" spans="1:89" ht="15.75" customHeight="1" x14ac:dyDescent="0.45">
      <c r="A396" s="22"/>
      <c r="B396" s="22"/>
      <c r="C396" s="12"/>
      <c r="D396" s="12"/>
      <c r="E396" s="155"/>
      <c r="F396" s="22"/>
      <c r="G396" s="1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</row>
    <row r="397" spans="1:89" ht="15.75" customHeight="1" x14ac:dyDescent="0.45">
      <c r="A397" s="22"/>
      <c r="B397" s="22"/>
      <c r="C397" s="12"/>
      <c r="D397" s="12"/>
      <c r="E397" s="155"/>
      <c r="F397" s="22"/>
      <c r="G397" s="1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</row>
    <row r="398" spans="1:89" ht="15.75" customHeight="1" x14ac:dyDescent="0.45">
      <c r="A398" s="22"/>
      <c r="B398" s="22"/>
      <c r="C398" s="12"/>
      <c r="D398" s="12"/>
      <c r="E398" s="155"/>
      <c r="F398" s="22"/>
      <c r="G398" s="1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</row>
    <row r="399" spans="1:89" ht="15.75" customHeight="1" x14ac:dyDescent="0.45">
      <c r="A399" s="22"/>
      <c r="B399" s="22"/>
      <c r="C399" s="12"/>
      <c r="D399" s="12"/>
      <c r="E399" s="155"/>
      <c r="F399" s="22"/>
      <c r="G399" s="1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</row>
    <row r="400" spans="1:89" ht="15.75" customHeight="1" x14ac:dyDescent="0.45">
      <c r="A400" s="22"/>
      <c r="B400" s="22"/>
      <c r="C400" s="12"/>
      <c r="D400" s="12"/>
      <c r="E400" s="155"/>
      <c r="F400" s="22"/>
      <c r="G400" s="1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</row>
    <row r="401" spans="1:89" ht="15.75" customHeight="1" x14ac:dyDescent="0.45">
      <c r="A401" s="22"/>
      <c r="B401" s="22"/>
      <c r="C401" s="12"/>
      <c r="D401" s="12"/>
      <c r="E401" s="155"/>
      <c r="F401" s="22"/>
      <c r="G401" s="1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</row>
    <row r="402" spans="1:89" ht="15.75" customHeight="1" x14ac:dyDescent="0.45">
      <c r="A402" s="22"/>
      <c r="B402" s="22"/>
      <c r="C402" s="12"/>
      <c r="D402" s="12"/>
      <c r="E402" s="155"/>
      <c r="F402" s="22"/>
      <c r="G402" s="1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</row>
    <row r="403" spans="1:89" ht="15.75" customHeight="1" x14ac:dyDescent="0.45">
      <c r="A403" s="22"/>
      <c r="B403" s="22"/>
      <c r="C403" s="12"/>
      <c r="D403" s="12"/>
      <c r="E403" s="155"/>
      <c r="F403" s="22"/>
      <c r="G403" s="1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</row>
    <row r="404" spans="1:89" ht="15.75" customHeight="1" x14ac:dyDescent="0.45">
      <c r="A404" s="22"/>
      <c r="B404" s="22"/>
      <c r="C404" s="12"/>
      <c r="D404" s="12"/>
      <c r="E404" s="155"/>
      <c r="F404" s="22"/>
      <c r="G404" s="1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</row>
    <row r="405" spans="1:89" ht="15.75" customHeight="1" x14ac:dyDescent="0.45">
      <c r="A405" s="22"/>
      <c r="B405" s="22"/>
      <c r="C405" s="12"/>
      <c r="D405" s="12"/>
      <c r="E405" s="155"/>
      <c r="F405" s="22"/>
      <c r="G405" s="1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</row>
    <row r="406" spans="1:89" ht="15.75" customHeight="1" x14ac:dyDescent="0.45">
      <c r="A406" s="22"/>
      <c r="B406" s="22"/>
      <c r="C406" s="12"/>
      <c r="D406" s="12"/>
      <c r="E406" s="155"/>
      <c r="F406" s="22"/>
      <c r="G406" s="1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</row>
    <row r="407" spans="1:89" ht="15.75" customHeight="1" x14ac:dyDescent="0.45">
      <c r="A407" s="22"/>
      <c r="B407" s="22"/>
      <c r="C407" s="12"/>
      <c r="D407" s="12"/>
      <c r="E407" s="155"/>
      <c r="F407" s="22"/>
      <c r="G407" s="1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</row>
    <row r="408" spans="1:89" ht="15.75" customHeight="1" x14ac:dyDescent="0.45">
      <c r="A408" s="22"/>
      <c r="B408" s="22"/>
      <c r="C408" s="12"/>
      <c r="D408" s="12"/>
      <c r="E408" s="155"/>
      <c r="F408" s="22"/>
      <c r="G408" s="1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</row>
    <row r="409" spans="1:89" ht="15.75" customHeight="1" x14ac:dyDescent="0.45">
      <c r="A409" s="22"/>
      <c r="B409" s="22"/>
      <c r="C409" s="12"/>
      <c r="D409" s="12"/>
      <c r="E409" s="155"/>
      <c r="F409" s="22"/>
      <c r="G409" s="1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</row>
    <row r="410" spans="1:89" ht="15.75" customHeight="1" x14ac:dyDescent="0.45">
      <c r="A410" s="22"/>
      <c r="B410" s="22"/>
      <c r="C410" s="12"/>
      <c r="D410" s="12"/>
      <c r="E410" s="155"/>
      <c r="F410" s="22"/>
      <c r="G410" s="1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</row>
    <row r="411" spans="1:89" ht="15.75" customHeight="1" x14ac:dyDescent="0.45">
      <c r="A411" s="22"/>
      <c r="B411" s="22"/>
      <c r="C411" s="12"/>
      <c r="D411" s="12"/>
      <c r="E411" s="155"/>
      <c r="F411" s="22"/>
      <c r="G411" s="1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</row>
    <row r="412" spans="1:89" ht="15.75" customHeight="1" x14ac:dyDescent="0.45">
      <c r="A412" s="22"/>
      <c r="B412" s="22"/>
      <c r="C412" s="12"/>
      <c r="D412" s="12"/>
      <c r="E412" s="155"/>
      <c r="F412" s="22"/>
      <c r="G412" s="1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</row>
    <row r="413" spans="1:89" ht="15.75" customHeight="1" x14ac:dyDescent="0.45">
      <c r="A413" s="22"/>
      <c r="B413" s="22"/>
      <c r="C413" s="12"/>
      <c r="D413" s="12"/>
      <c r="E413" s="155"/>
      <c r="F413" s="22"/>
      <c r="G413" s="1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</row>
    <row r="414" spans="1:89" ht="15.75" customHeight="1" x14ac:dyDescent="0.45">
      <c r="A414" s="22"/>
      <c r="B414" s="22"/>
      <c r="C414" s="12"/>
      <c r="D414" s="12"/>
      <c r="E414" s="155"/>
      <c r="F414" s="22"/>
      <c r="G414" s="1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</row>
    <row r="415" spans="1:89" ht="15.75" customHeight="1" x14ac:dyDescent="0.45">
      <c r="A415" s="22"/>
      <c r="B415" s="22"/>
      <c r="C415" s="12"/>
      <c r="D415" s="12"/>
      <c r="E415" s="155"/>
      <c r="F415" s="22"/>
      <c r="G415" s="1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</row>
    <row r="416" spans="1:89" ht="15.75" customHeight="1" x14ac:dyDescent="0.45">
      <c r="A416" s="22"/>
      <c r="B416" s="22"/>
      <c r="C416" s="12"/>
      <c r="D416" s="12"/>
      <c r="E416" s="155"/>
      <c r="F416" s="22"/>
      <c r="G416" s="1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</row>
    <row r="417" spans="1:89" ht="15.75" customHeight="1" x14ac:dyDescent="0.45">
      <c r="A417" s="22"/>
      <c r="B417" s="22"/>
      <c r="C417" s="12"/>
      <c r="D417" s="12"/>
      <c r="E417" s="155"/>
      <c r="F417" s="22"/>
      <c r="G417" s="1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</row>
    <row r="418" spans="1:89" ht="15.75" customHeight="1" x14ac:dyDescent="0.45">
      <c r="A418" s="22"/>
      <c r="B418" s="22"/>
      <c r="C418" s="12"/>
      <c r="D418" s="12"/>
      <c r="E418" s="155"/>
      <c r="F418" s="22"/>
      <c r="G418" s="1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</row>
    <row r="419" spans="1:89" ht="15.75" customHeight="1" x14ac:dyDescent="0.45">
      <c r="A419" s="22"/>
      <c r="B419" s="22"/>
      <c r="C419" s="12"/>
      <c r="D419" s="12"/>
      <c r="E419" s="155"/>
      <c r="F419" s="22"/>
      <c r="G419" s="1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</row>
    <row r="420" spans="1:89" ht="15.75" customHeight="1" x14ac:dyDescent="0.45">
      <c r="A420" s="22"/>
      <c r="B420" s="22"/>
      <c r="C420" s="12"/>
      <c r="D420" s="12"/>
      <c r="E420" s="155"/>
      <c r="F420" s="22"/>
      <c r="G420" s="1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</row>
    <row r="421" spans="1:89" ht="15.75" customHeight="1" x14ac:dyDescent="0.45">
      <c r="A421" s="22"/>
      <c r="B421" s="22"/>
      <c r="C421" s="12"/>
      <c r="D421" s="12"/>
      <c r="E421" s="155"/>
      <c r="F421" s="22"/>
      <c r="G421" s="1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</row>
    <row r="422" spans="1:89" ht="15.75" customHeight="1" x14ac:dyDescent="0.45">
      <c r="A422" s="22"/>
      <c r="B422" s="22"/>
      <c r="C422" s="12"/>
      <c r="D422" s="12"/>
      <c r="E422" s="155"/>
      <c r="F422" s="22"/>
      <c r="G422" s="1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</row>
    <row r="423" spans="1:89" ht="15.75" customHeight="1" x14ac:dyDescent="0.45">
      <c r="A423" s="22"/>
      <c r="B423" s="22"/>
      <c r="C423" s="12"/>
      <c r="D423" s="12"/>
      <c r="E423" s="155"/>
      <c r="F423" s="22"/>
      <c r="G423" s="1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</row>
    <row r="424" spans="1:89" ht="15.75" customHeight="1" x14ac:dyDescent="0.45">
      <c r="A424" s="22"/>
      <c r="B424" s="22"/>
      <c r="C424" s="12"/>
      <c r="D424" s="12"/>
      <c r="E424" s="155"/>
      <c r="F424" s="22"/>
      <c r="G424" s="1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</row>
    <row r="425" spans="1:89" ht="15.75" customHeight="1" x14ac:dyDescent="0.45">
      <c r="A425" s="22"/>
      <c r="B425" s="22"/>
      <c r="C425" s="12"/>
      <c r="D425" s="12"/>
      <c r="E425" s="155"/>
      <c r="F425" s="22"/>
      <c r="G425" s="1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</row>
    <row r="426" spans="1:89" ht="15.75" customHeight="1" x14ac:dyDescent="0.45">
      <c r="A426" s="22"/>
      <c r="B426" s="22"/>
      <c r="C426" s="12"/>
      <c r="D426" s="12"/>
      <c r="E426" s="155"/>
      <c r="F426" s="22"/>
      <c r="G426" s="1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</row>
    <row r="427" spans="1:89" ht="15.75" customHeight="1" x14ac:dyDescent="0.45">
      <c r="A427" s="22"/>
      <c r="B427" s="22"/>
      <c r="C427" s="12"/>
      <c r="D427" s="12"/>
      <c r="E427" s="155"/>
      <c r="F427" s="22"/>
      <c r="G427" s="1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</row>
    <row r="428" spans="1:89" ht="15.75" customHeight="1" x14ac:dyDescent="0.45">
      <c r="A428" s="22"/>
      <c r="B428" s="22"/>
      <c r="C428" s="12"/>
      <c r="D428" s="12"/>
      <c r="E428" s="155"/>
      <c r="F428" s="22"/>
      <c r="G428" s="1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</row>
    <row r="429" spans="1:89" ht="15.75" customHeight="1" x14ac:dyDescent="0.45">
      <c r="A429" s="22"/>
      <c r="B429" s="22"/>
      <c r="C429" s="12"/>
      <c r="D429" s="12"/>
      <c r="E429" s="155"/>
      <c r="F429" s="22"/>
      <c r="G429" s="1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</row>
    <row r="430" spans="1:89" ht="15.75" customHeight="1" x14ac:dyDescent="0.45">
      <c r="A430" s="22"/>
      <c r="B430" s="22"/>
      <c r="C430" s="12"/>
      <c r="D430" s="12"/>
      <c r="E430" s="155"/>
      <c r="F430" s="22"/>
      <c r="G430" s="1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</row>
    <row r="431" spans="1:89" ht="15.75" customHeight="1" x14ac:dyDescent="0.45">
      <c r="A431" s="22"/>
      <c r="B431" s="22"/>
      <c r="C431" s="12"/>
      <c r="D431" s="12"/>
      <c r="E431" s="155"/>
      <c r="F431" s="22"/>
      <c r="G431" s="1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</row>
    <row r="432" spans="1:89" ht="15.75" customHeight="1" x14ac:dyDescent="0.45">
      <c r="A432" s="22"/>
      <c r="B432" s="22"/>
      <c r="C432" s="12"/>
      <c r="D432" s="12"/>
      <c r="E432" s="155"/>
      <c r="F432" s="22"/>
      <c r="G432" s="1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</row>
    <row r="433" spans="1:89" ht="15.75" customHeight="1" x14ac:dyDescent="0.45">
      <c r="A433" s="22"/>
      <c r="B433" s="22"/>
      <c r="C433" s="12"/>
      <c r="D433" s="12"/>
      <c r="E433" s="155"/>
      <c r="F433" s="22"/>
      <c r="G433" s="1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</row>
    <row r="434" spans="1:89" ht="15.75" customHeight="1" x14ac:dyDescent="0.45">
      <c r="A434" s="22"/>
      <c r="B434" s="22"/>
      <c r="C434" s="12"/>
      <c r="D434" s="12"/>
      <c r="E434" s="155"/>
      <c r="F434" s="22"/>
      <c r="G434" s="1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</row>
    <row r="435" spans="1:89" ht="15.75" customHeight="1" x14ac:dyDescent="0.45">
      <c r="A435" s="22"/>
      <c r="B435" s="22"/>
      <c r="C435" s="12"/>
      <c r="D435" s="12"/>
      <c r="E435" s="155"/>
      <c r="F435" s="22"/>
      <c r="G435" s="1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</row>
    <row r="436" spans="1:89" ht="15.75" customHeight="1" x14ac:dyDescent="0.45">
      <c r="A436" s="22"/>
      <c r="B436" s="22"/>
      <c r="C436" s="12"/>
      <c r="D436" s="12"/>
      <c r="E436" s="155"/>
      <c r="F436" s="22"/>
      <c r="G436" s="1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</row>
    <row r="437" spans="1:89" ht="15.75" customHeight="1" x14ac:dyDescent="0.45">
      <c r="A437" s="22"/>
      <c r="B437" s="22"/>
      <c r="C437" s="12"/>
      <c r="D437" s="12"/>
      <c r="E437" s="155"/>
      <c r="F437" s="22"/>
      <c r="G437" s="1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</row>
    <row r="438" spans="1:89" ht="15.75" customHeight="1" x14ac:dyDescent="0.45">
      <c r="A438" s="22"/>
      <c r="B438" s="22"/>
      <c r="C438" s="12"/>
      <c r="D438" s="12"/>
      <c r="E438" s="155"/>
      <c r="F438" s="22"/>
      <c r="G438" s="1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</row>
    <row r="439" spans="1:89" ht="15.75" customHeight="1" x14ac:dyDescent="0.45">
      <c r="A439" s="22"/>
      <c r="B439" s="22"/>
      <c r="C439" s="12"/>
      <c r="D439" s="12"/>
      <c r="E439" s="155"/>
      <c r="F439" s="22"/>
      <c r="G439" s="1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</row>
    <row r="440" spans="1:89" ht="15.75" customHeight="1" x14ac:dyDescent="0.45">
      <c r="A440" s="22"/>
      <c r="B440" s="22"/>
      <c r="C440" s="12"/>
      <c r="D440" s="12"/>
      <c r="E440" s="155"/>
      <c r="F440" s="22"/>
      <c r="G440" s="1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</row>
    <row r="441" spans="1:89" ht="15.75" customHeight="1" x14ac:dyDescent="0.45">
      <c r="A441" s="22"/>
      <c r="B441" s="22"/>
      <c r="C441" s="12"/>
      <c r="D441" s="12"/>
      <c r="E441" s="155"/>
      <c r="F441" s="22"/>
      <c r="G441" s="1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</row>
    <row r="442" spans="1:89" ht="15.75" customHeight="1" x14ac:dyDescent="0.45">
      <c r="A442" s="22"/>
      <c r="B442" s="22"/>
      <c r="C442" s="12"/>
      <c r="D442" s="12"/>
      <c r="E442" s="155"/>
      <c r="F442" s="22"/>
      <c r="G442" s="1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</row>
    <row r="443" spans="1:89" ht="15.75" customHeight="1" x14ac:dyDescent="0.45">
      <c r="A443" s="22"/>
      <c r="B443" s="22"/>
      <c r="C443" s="12"/>
      <c r="D443" s="12"/>
      <c r="E443" s="155"/>
      <c r="F443" s="22"/>
      <c r="G443" s="1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</row>
    <row r="444" spans="1:89" ht="15.75" customHeight="1" x14ac:dyDescent="0.45">
      <c r="A444" s="22"/>
      <c r="B444" s="22"/>
      <c r="C444" s="12"/>
      <c r="D444" s="12"/>
      <c r="E444" s="155"/>
      <c r="F444" s="22"/>
      <c r="G444" s="1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</row>
    <row r="445" spans="1:89" ht="15.75" customHeight="1" x14ac:dyDescent="0.45">
      <c r="A445" s="22"/>
      <c r="B445" s="22"/>
      <c r="C445" s="12"/>
      <c r="D445" s="12"/>
      <c r="E445" s="155"/>
      <c r="F445" s="22"/>
      <c r="G445" s="1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</row>
    <row r="446" spans="1:89" ht="15.75" customHeight="1" x14ac:dyDescent="0.45">
      <c r="A446" s="22"/>
      <c r="B446" s="22"/>
      <c r="C446" s="12"/>
      <c r="D446" s="12"/>
      <c r="E446" s="155"/>
      <c r="F446" s="22"/>
      <c r="G446" s="1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</row>
    <row r="447" spans="1:89" ht="15.75" customHeight="1" x14ac:dyDescent="0.45">
      <c r="A447" s="22"/>
      <c r="B447" s="22"/>
      <c r="C447" s="12"/>
      <c r="D447" s="12"/>
      <c r="E447" s="155"/>
      <c r="F447" s="22"/>
      <c r="G447" s="1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</row>
    <row r="448" spans="1:89" ht="15.75" customHeight="1" x14ac:dyDescent="0.45">
      <c r="A448" s="22"/>
      <c r="B448" s="22"/>
      <c r="C448" s="12"/>
      <c r="D448" s="12"/>
      <c r="E448" s="155"/>
      <c r="F448" s="22"/>
      <c r="G448" s="1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</row>
    <row r="449" spans="1:89" ht="15.75" customHeight="1" x14ac:dyDescent="0.45">
      <c r="A449" s="22"/>
      <c r="B449" s="22"/>
      <c r="C449" s="12"/>
      <c r="D449" s="12"/>
      <c r="E449" s="155"/>
      <c r="F449" s="22"/>
      <c r="G449" s="1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</row>
    <row r="450" spans="1:89" ht="15.75" customHeight="1" x14ac:dyDescent="0.45">
      <c r="A450" s="22"/>
      <c r="B450" s="22"/>
      <c r="C450" s="12"/>
      <c r="D450" s="12"/>
      <c r="E450" s="155"/>
      <c r="F450" s="22"/>
      <c r="G450" s="1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</row>
    <row r="451" spans="1:89" ht="15.75" customHeight="1" x14ac:dyDescent="0.45">
      <c r="A451" s="22"/>
      <c r="B451" s="22"/>
      <c r="C451" s="12"/>
      <c r="D451" s="12"/>
      <c r="E451" s="155"/>
      <c r="F451" s="22"/>
      <c r="G451" s="1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</row>
    <row r="452" spans="1:89" ht="15.75" customHeight="1" x14ac:dyDescent="0.45">
      <c r="A452" s="22"/>
      <c r="B452" s="22"/>
      <c r="C452" s="12"/>
      <c r="D452" s="12"/>
      <c r="E452" s="155"/>
      <c r="F452" s="22"/>
      <c r="G452" s="1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</row>
    <row r="453" spans="1:89" ht="15.75" customHeight="1" x14ac:dyDescent="0.45">
      <c r="A453" s="22"/>
      <c r="B453" s="22"/>
      <c r="C453" s="12"/>
      <c r="D453" s="12"/>
      <c r="E453" s="155"/>
      <c r="F453" s="22"/>
      <c r="G453" s="1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</row>
    <row r="454" spans="1:89" ht="15.75" customHeight="1" x14ac:dyDescent="0.45">
      <c r="A454" s="22"/>
      <c r="B454" s="22"/>
      <c r="C454" s="12"/>
      <c r="D454" s="12"/>
      <c r="E454" s="155"/>
      <c r="F454" s="22"/>
      <c r="G454" s="1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</row>
    <row r="455" spans="1:89" ht="15.75" customHeight="1" x14ac:dyDescent="0.45">
      <c r="A455" s="22"/>
      <c r="B455" s="22"/>
      <c r="C455" s="12"/>
      <c r="D455" s="12"/>
      <c r="E455" s="155"/>
      <c r="F455" s="22"/>
      <c r="G455" s="1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</row>
    <row r="456" spans="1:89" ht="15.75" customHeight="1" x14ac:dyDescent="0.45">
      <c r="A456" s="22"/>
      <c r="B456" s="22"/>
      <c r="C456" s="12"/>
      <c r="D456" s="12"/>
      <c r="E456" s="155"/>
      <c r="F456" s="22"/>
      <c r="G456" s="1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</row>
    <row r="457" spans="1:89" ht="15.75" customHeight="1" x14ac:dyDescent="0.45">
      <c r="A457" s="22"/>
      <c r="B457" s="22"/>
      <c r="C457" s="12"/>
      <c r="D457" s="12"/>
      <c r="E457" s="155"/>
      <c r="F457" s="22"/>
      <c r="G457" s="1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</row>
    <row r="458" spans="1:89" ht="15.75" customHeight="1" x14ac:dyDescent="0.45">
      <c r="A458" s="22"/>
      <c r="B458" s="22"/>
      <c r="C458" s="12"/>
      <c r="D458" s="12"/>
      <c r="E458" s="155"/>
      <c r="F458" s="22"/>
      <c r="G458" s="1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</row>
    <row r="459" spans="1:89" ht="15.75" customHeight="1" x14ac:dyDescent="0.45">
      <c r="A459" s="22"/>
      <c r="B459" s="22"/>
      <c r="C459" s="12"/>
      <c r="D459" s="12"/>
      <c r="E459" s="155"/>
      <c r="F459" s="22"/>
      <c r="G459" s="1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</row>
    <row r="460" spans="1:89" ht="15.75" customHeight="1" x14ac:dyDescent="0.45">
      <c r="A460" s="22"/>
      <c r="B460" s="22"/>
      <c r="C460" s="12"/>
      <c r="D460" s="12"/>
      <c r="E460" s="155"/>
      <c r="F460" s="22"/>
      <c r="G460" s="1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</row>
    <row r="461" spans="1:89" ht="15.75" customHeight="1" x14ac:dyDescent="0.45">
      <c r="A461" s="22"/>
      <c r="B461" s="22"/>
      <c r="C461" s="12"/>
      <c r="D461" s="12"/>
      <c r="E461" s="155"/>
      <c r="F461" s="22"/>
      <c r="G461" s="1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</row>
    <row r="462" spans="1:89" ht="15.75" customHeight="1" x14ac:dyDescent="0.45">
      <c r="A462" s="22"/>
      <c r="B462" s="22"/>
      <c r="C462" s="12"/>
      <c r="D462" s="12"/>
      <c r="E462" s="155"/>
      <c r="F462" s="22"/>
      <c r="G462" s="1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</row>
    <row r="463" spans="1:89" ht="15.75" customHeight="1" x14ac:dyDescent="0.45">
      <c r="A463" s="22"/>
      <c r="B463" s="22"/>
      <c r="C463" s="12"/>
      <c r="D463" s="12"/>
      <c r="E463" s="155"/>
      <c r="F463" s="22"/>
      <c r="G463" s="1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</row>
    <row r="464" spans="1:89" ht="15.75" customHeight="1" x14ac:dyDescent="0.45">
      <c r="A464" s="22"/>
      <c r="B464" s="22"/>
      <c r="C464" s="12"/>
      <c r="D464" s="12"/>
      <c r="E464" s="155"/>
      <c r="F464" s="22"/>
      <c r="G464" s="1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</row>
    <row r="465" spans="1:89" ht="15.75" customHeight="1" x14ac:dyDescent="0.45">
      <c r="A465" s="22"/>
      <c r="B465" s="22"/>
      <c r="C465" s="12"/>
      <c r="D465" s="12"/>
      <c r="E465" s="155"/>
      <c r="F465" s="22"/>
      <c r="G465" s="1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</row>
    <row r="466" spans="1:89" ht="15.75" customHeight="1" x14ac:dyDescent="0.45">
      <c r="A466" s="22"/>
      <c r="B466" s="22"/>
      <c r="C466" s="12"/>
      <c r="D466" s="12"/>
      <c r="E466" s="155"/>
      <c r="F466" s="22"/>
      <c r="G466" s="1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</row>
    <row r="467" spans="1:89" ht="15.75" customHeight="1" x14ac:dyDescent="0.45">
      <c r="A467" s="22"/>
      <c r="B467" s="22"/>
      <c r="C467" s="12"/>
      <c r="D467" s="12"/>
      <c r="E467" s="155"/>
      <c r="F467" s="22"/>
      <c r="G467" s="1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</row>
    <row r="468" spans="1:89" ht="15.75" customHeight="1" x14ac:dyDescent="0.45">
      <c r="A468" s="22"/>
      <c r="B468" s="22"/>
      <c r="C468" s="12"/>
      <c r="D468" s="12"/>
      <c r="E468" s="155"/>
      <c r="F468" s="22"/>
      <c r="G468" s="1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</row>
    <row r="469" spans="1:89" ht="15.75" customHeight="1" x14ac:dyDescent="0.45">
      <c r="A469" s="22"/>
      <c r="B469" s="22"/>
      <c r="C469" s="12"/>
      <c r="D469" s="12"/>
      <c r="E469" s="155"/>
      <c r="F469" s="22"/>
      <c r="G469" s="1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</row>
    <row r="470" spans="1:89" ht="15.75" customHeight="1" x14ac:dyDescent="0.45">
      <c r="A470" s="22"/>
      <c r="B470" s="22"/>
      <c r="C470" s="12"/>
      <c r="D470" s="12"/>
      <c r="E470" s="155"/>
      <c r="F470" s="22"/>
      <c r="G470" s="1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</row>
    <row r="471" spans="1:89" ht="15.75" customHeight="1" x14ac:dyDescent="0.45">
      <c r="A471" s="22"/>
      <c r="B471" s="22"/>
      <c r="C471" s="12"/>
      <c r="D471" s="12"/>
      <c r="E471" s="155"/>
      <c r="F471" s="22"/>
      <c r="G471" s="1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</row>
    <row r="472" spans="1:89" ht="15.75" customHeight="1" x14ac:dyDescent="0.45">
      <c r="A472" s="22"/>
      <c r="B472" s="22"/>
      <c r="C472" s="12"/>
      <c r="D472" s="12"/>
      <c r="E472" s="155"/>
      <c r="F472" s="22"/>
      <c r="G472" s="1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</row>
    <row r="473" spans="1:89" ht="15.75" customHeight="1" x14ac:dyDescent="0.45">
      <c r="A473" s="22"/>
      <c r="B473" s="22"/>
      <c r="C473" s="12"/>
      <c r="D473" s="12"/>
      <c r="E473" s="155"/>
      <c r="F473" s="22"/>
      <c r="G473" s="1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</row>
    <row r="474" spans="1:89" ht="15.75" customHeight="1" x14ac:dyDescent="0.45">
      <c r="A474" s="22"/>
      <c r="B474" s="22"/>
      <c r="C474" s="12"/>
      <c r="D474" s="12"/>
      <c r="E474" s="155"/>
      <c r="F474" s="22"/>
      <c r="G474" s="1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</row>
    <row r="475" spans="1:89" ht="15.75" customHeight="1" x14ac:dyDescent="0.45">
      <c r="A475" s="22"/>
      <c r="B475" s="22"/>
      <c r="C475" s="12"/>
      <c r="D475" s="12"/>
      <c r="E475" s="155"/>
      <c r="F475" s="22"/>
      <c r="G475" s="1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</row>
    <row r="476" spans="1:89" ht="15.75" customHeight="1" x14ac:dyDescent="0.45">
      <c r="A476" s="22"/>
      <c r="B476" s="22"/>
      <c r="C476" s="12"/>
      <c r="D476" s="12"/>
      <c r="E476" s="155"/>
      <c r="F476" s="22"/>
      <c r="G476" s="1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</row>
    <row r="477" spans="1:89" ht="15.75" customHeight="1" x14ac:dyDescent="0.45">
      <c r="A477" s="22"/>
      <c r="B477" s="22"/>
      <c r="C477" s="12"/>
      <c r="D477" s="12"/>
      <c r="E477" s="155"/>
      <c r="F477" s="22"/>
      <c r="G477" s="1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</row>
    <row r="478" spans="1:89" ht="15.75" customHeight="1" x14ac:dyDescent="0.45">
      <c r="A478" s="22"/>
      <c r="B478" s="22"/>
      <c r="C478" s="12"/>
      <c r="D478" s="12"/>
      <c r="E478" s="155"/>
      <c r="F478" s="22"/>
      <c r="G478" s="1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</row>
    <row r="479" spans="1:89" ht="15.75" customHeight="1" x14ac:dyDescent="0.45">
      <c r="A479" s="22"/>
      <c r="B479" s="22"/>
      <c r="C479" s="12"/>
      <c r="D479" s="12"/>
      <c r="E479" s="155"/>
      <c r="F479" s="22"/>
      <c r="G479" s="1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</row>
    <row r="480" spans="1:89" ht="15.75" customHeight="1" x14ac:dyDescent="0.45">
      <c r="A480" s="22"/>
      <c r="B480" s="22"/>
      <c r="C480" s="12"/>
      <c r="D480" s="12"/>
      <c r="E480" s="155"/>
      <c r="F480" s="22"/>
      <c r="G480" s="1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</row>
    <row r="481" spans="1:89" ht="15.75" customHeight="1" x14ac:dyDescent="0.45">
      <c r="A481" s="22"/>
      <c r="B481" s="22"/>
      <c r="C481" s="12"/>
      <c r="D481" s="12"/>
      <c r="E481" s="155"/>
      <c r="F481" s="22"/>
      <c r="G481" s="1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</row>
    <row r="482" spans="1:89" ht="15.75" customHeight="1" x14ac:dyDescent="0.45">
      <c r="A482" s="22"/>
      <c r="B482" s="22"/>
      <c r="C482" s="12"/>
      <c r="D482" s="12"/>
      <c r="E482" s="155"/>
      <c r="F482" s="22"/>
      <c r="G482" s="1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</row>
    <row r="483" spans="1:89" ht="15.75" customHeight="1" x14ac:dyDescent="0.45">
      <c r="A483" s="22"/>
      <c r="B483" s="22"/>
      <c r="C483" s="12"/>
      <c r="D483" s="12"/>
      <c r="E483" s="155"/>
      <c r="F483" s="22"/>
      <c r="G483" s="1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</row>
    <row r="484" spans="1:89" ht="15.75" customHeight="1" x14ac:dyDescent="0.45">
      <c r="A484" s="22"/>
      <c r="B484" s="22"/>
      <c r="C484" s="12"/>
      <c r="D484" s="12"/>
      <c r="E484" s="155"/>
      <c r="F484" s="22"/>
      <c r="G484" s="1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</row>
    <row r="485" spans="1:89" ht="15.75" customHeight="1" x14ac:dyDescent="0.45">
      <c r="A485" s="22"/>
      <c r="B485" s="22"/>
      <c r="C485" s="12"/>
      <c r="D485" s="12"/>
      <c r="E485" s="155"/>
      <c r="F485" s="22"/>
      <c r="G485" s="1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</row>
    <row r="486" spans="1:89" ht="15.75" customHeight="1" x14ac:dyDescent="0.45">
      <c r="A486" s="22"/>
      <c r="B486" s="22"/>
      <c r="C486" s="12"/>
      <c r="D486" s="12"/>
      <c r="E486" s="155"/>
      <c r="F486" s="22"/>
      <c r="G486" s="1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</row>
    <row r="487" spans="1:89" ht="15.75" customHeight="1" x14ac:dyDescent="0.45">
      <c r="A487" s="22"/>
      <c r="B487" s="22"/>
      <c r="C487" s="12"/>
      <c r="D487" s="12"/>
      <c r="E487" s="155"/>
      <c r="F487" s="22"/>
      <c r="G487" s="1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</row>
    <row r="488" spans="1:89" ht="15.75" customHeight="1" x14ac:dyDescent="0.45">
      <c r="A488" s="22"/>
      <c r="B488" s="22"/>
      <c r="C488" s="12"/>
      <c r="D488" s="12"/>
      <c r="E488" s="155"/>
      <c r="F488" s="22"/>
      <c r="G488" s="1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</row>
    <row r="489" spans="1:89" ht="15.75" customHeight="1" x14ac:dyDescent="0.45">
      <c r="A489" s="22"/>
      <c r="B489" s="22"/>
      <c r="C489" s="12"/>
      <c r="D489" s="12"/>
      <c r="E489" s="155"/>
      <c r="F489" s="22"/>
      <c r="G489" s="1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</row>
    <row r="490" spans="1:89" ht="15.75" customHeight="1" x14ac:dyDescent="0.45">
      <c r="A490" s="22"/>
      <c r="B490" s="22"/>
      <c r="C490" s="12"/>
      <c r="D490" s="12"/>
      <c r="E490" s="155"/>
      <c r="F490" s="22"/>
      <c r="G490" s="1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</row>
    <row r="491" spans="1:89" ht="15.75" customHeight="1" x14ac:dyDescent="0.45">
      <c r="A491" s="22"/>
      <c r="B491" s="22"/>
      <c r="C491" s="12"/>
      <c r="D491" s="12"/>
      <c r="E491" s="155"/>
      <c r="F491" s="22"/>
      <c r="G491" s="1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</row>
    <row r="492" spans="1:89" ht="15.75" customHeight="1" x14ac:dyDescent="0.45">
      <c r="A492" s="22"/>
      <c r="B492" s="22"/>
      <c r="C492" s="12"/>
      <c r="D492" s="12"/>
      <c r="E492" s="155"/>
      <c r="F492" s="22"/>
      <c r="G492" s="1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</row>
    <row r="493" spans="1:89" ht="15.75" customHeight="1" x14ac:dyDescent="0.45">
      <c r="A493" s="22"/>
      <c r="B493" s="22"/>
      <c r="C493" s="12"/>
      <c r="D493" s="12"/>
      <c r="E493" s="155"/>
      <c r="F493" s="22"/>
      <c r="G493" s="1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</row>
    <row r="494" spans="1:89" ht="15.75" customHeight="1" x14ac:dyDescent="0.45">
      <c r="A494" s="22"/>
      <c r="B494" s="22"/>
      <c r="C494" s="12"/>
      <c r="D494" s="12"/>
      <c r="E494" s="155"/>
      <c r="F494" s="22"/>
      <c r="G494" s="1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</row>
    <row r="495" spans="1:89" ht="15.75" customHeight="1" x14ac:dyDescent="0.45">
      <c r="A495" s="22"/>
      <c r="B495" s="22"/>
      <c r="C495" s="12"/>
      <c r="D495" s="12"/>
      <c r="E495" s="155"/>
      <c r="F495" s="22"/>
      <c r="G495" s="1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</row>
    <row r="496" spans="1:89" ht="15.75" customHeight="1" x14ac:dyDescent="0.45">
      <c r="A496" s="22"/>
      <c r="B496" s="22"/>
      <c r="C496" s="12"/>
      <c r="D496" s="12"/>
      <c r="E496" s="155"/>
      <c r="F496" s="22"/>
      <c r="G496" s="1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</row>
    <row r="497" spans="1:89" ht="15.75" customHeight="1" x14ac:dyDescent="0.45">
      <c r="A497" s="22"/>
      <c r="B497" s="22"/>
      <c r="C497" s="12"/>
      <c r="D497" s="12"/>
      <c r="E497" s="155"/>
      <c r="F497" s="22"/>
      <c r="G497" s="1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</row>
    <row r="498" spans="1:89" ht="15.75" customHeight="1" x14ac:dyDescent="0.45">
      <c r="A498" s="22"/>
      <c r="B498" s="22"/>
      <c r="C498" s="12"/>
      <c r="D498" s="12"/>
      <c r="E498" s="155"/>
      <c r="F498" s="22"/>
      <c r="G498" s="1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</row>
    <row r="499" spans="1:89" ht="15.75" customHeight="1" x14ac:dyDescent="0.45">
      <c r="A499" s="22"/>
      <c r="B499" s="22"/>
      <c r="C499" s="12"/>
      <c r="D499" s="12"/>
      <c r="E499" s="155"/>
      <c r="F499" s="22"/>
      <c r="G499" s="1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</row>
    <row r="500" spans="1:89" ht="15.75" customHeight="1" x14ac:dyDescent="0.45">
      <c r="A500" s="22"/>
      <c r="B500" s="22"/>
      <c r="C500" s="12"/>
      <c r="D500" s="12"/>
      <c r="E500" s="155"/>
      <c r="F500" s="22"/>
      <c r="G500" s="1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</row>
    <row r="501" spans="1:89" ht="15.75" customHeight="1" x14ac:dyDescent="0.45">
      <c r="A501" s="22"/>
      <c r="B501" s="22"/>
      <c r="C501" s="12"/>
      <c r="D501" s="12"/>
      <c r="E501" s="155"/>
      <c r="F501" s="22"/>
      <c r="G501" s="1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</row>
    <row r="502" spans="1:89" ht="15.75" customHeight="1" x14ac:dyDescent="0.45">
      <c r="A502" s="22"/>
      <c r="B502" s="22"/>
      <c r="C502" s="12"/>
      <c r="D502" s="12"/>
      <c r="E502" s="155"/>
      <c r="F502" s="22"/>
      <c r="G502" s="1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</row>
    <row r="503" spans="1:89" ht="15.75" customHeight="1" x14ac:dyDescent="0.45">
      <c r="A503" s="22"/>
      <c r="B503" s="22"/>
      <c r="C503" s="12"/>
      <c r="D503" s="12"/>
      <c r="E503" s="155"/>
      <c r="F503" s="22"/>
      <c r="G503" s="1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</row>
    <row r="504" spans="1:89" ht="15.75" customHeight="1" x14ac:dyDescent="0.45">
      <c r="A504" s="22"/>
      <c r="B504" s="22"/>
      <c r="C504" s="12"/>
      <c r="D504" s="12"/>
      <c r="E504" s="155"/>
      <c r="F504" s="22"/>
      <c r="G504" s="1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</row>
    <row r="505" spans="1:89" ht="15.75" customHeight="1" x14ac:dyDescent="0.45">
      <c r="A505" s="22"/>
      <c r="B505" s="22"/>
      <c r="C505" s="12"/>
      <c r="D505" s="12"/>
      <c r="E505" s="155"/>
      <c r="F505" s="22"/>
      <c r="G505" s="1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</row>
    <row r="506" spans="1:89" ht="15.75" customHeight="1" x14ac:dyDescent="0.45">
      <c r="A506" s="22"/>
      <c r="B506" s="22"/>
      <c r="C506" s="12"/>
      <c r="D506" s="12"/>
      <c r="E506" s="155"/>
      <c r="F506" s="22"/>
      <c r="G506" s="1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</row>
    <row r="507" spans="1:89" ht="15.75" customHeight="1" x14ac:dyDescent="0.45">
      <c r="A507" s="22"/>
      <c r="B507" s="22"/>
      <c r="C507" s="12"/>
      <c r="D507" s="12"/>
      <c r="E507" s="155"/>
      <c r="F507" s="22"/>
      <c r="G507" s="1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</row>
    <row r="508" spans="1:89" ht="15.75" customHeight="1" x14ac:dyDescent="0.45">
      <c r="A508" s="22"/>
      <c r="B508" s="22"/>
      <c r="C508" s="12"/>
      <c r="D508" s="12"/>
      <c r="E508" s="155"/>
      <c r="F508" s="22"/>
      <c r="G508" s="1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</row>
    <row r="509" spans="1:89" ht="15.75" customHeight="1" x14ac:dyDescent="0.45">
      <c r="A509" s="22"/>
      <c r="B509" s="22"/>
      <c r="C509" s="12"/>
      <c r="D509" s="12"/>
      <c r="E509" s="155"/>
      <c r="F509" s="22"/>
      <c r="G509" s="1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</row>
    <row r="510" spans="1:89" ht="15.75" customHeight="1" x14ac:dyDescent="0.45">
      <c r="A510" s="22"/>
      <c r="B510" s="22"/>
      <c r="C510" s="12"/>
      <c r="D510" s="12"/>
      <c r="E510" s="155"/>
      <c r="F510" s="22"/>
      <c r="G510" s="1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</row>
    <row r="511" spans="1:89" ht="15.75" customHeight="1" x14ac:dyDescent="0.45">
      <c r="A511" s="22"/>
      <c r="B511" s="22"/>
      <c r="C511" s="12"/>
      <c r="D511" s="12"/>
      <c r="E511" s="155"/>
      <c r="F511" s="22"/>
      <c r="G511" s="1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</row>
    <row r="512" spans="1:89" ht="15.75" customHeight="1" x14ac:dyDescent="0.45">
      <c r="A512" s="22"/>
      <c r="B512" s="22"/>
      <c r="C512" s="12"/>
      <c r="D512" s="12"/>
      <c r="E512" s="155"/>
      <c r="F512" s="22"/>
      <c r="G512" s="1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</row>
    <row r="513" spans="1:89" ht="15.75" customHeight="1" x14ac:dyDescent="0.45">
      <c r="A513" s="22"/>
      <c r="B513" s="22"/>
      <c r="C513" s="12"/>
      <c r="D513" s="12"/>
      <c r="E513" s="155"/>
      <c r="F513" s="22"/>
      <c r="G513" s="1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</row>
    <row r="514" spans="1:89" ht="15.75" customHeight="1" x14ac:dyDescent="0.45">
      <c r="A514" s="22"/>
      <c r="B514" s="22"/>
      <c r="C514" s="12"/>
      <c r="D514" s="12"/>
      <c r="E514" s="155"/>
      <c r="F514" s="22"/>
      <c r="G514" s="1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</row>
    <row r="515" spans="1:89" ht="15.75" customHeight="1" x14ac:dyDescent="0.45">
      <c r="A515" s="22"/>
      <c r="B515" s="22"/>
      <c r="C515" s="12"/>
      <c r="D515" s="12"/>
      <c r="E515" s="155"/>
      <c r="F515" s="22"/>
      <c r="G515" s="1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</row>
    <row r="516" spans="1:89" ht="15.75" customHeight="1" x14ac:dyDescent="0.45">
      <c r="A516" s="22"/>
      <c r="B516" s="22"/>
      <c r="C516" s="12"/>
      <c r="D516" s="12"/>
      <c r="E516" s="155"/>
      <c r="F516" s="22"/>
      <c r="G516" s="1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</row>
    <row r="517" spans="1:89" ht="15.75" customHeight="1" x14ac:dyDescent="0.45">
      <c r="A517" s="22"/>
      <c r="B517" s="22"/>
      <c r="C517" s="12"/>
      <c r="D517" s="12"/>
      <c r="E517" s="155"/>
      <c r="F517" s="22"/>
      <c r="G517" s="1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</row>
    <row r="518" spans="1:89" ht="15.75" customHeight="1" x14ac:dyDescent="0.45">
      <c r="A518" s="22"/>
      <c r="B518" s="22"/>
      <c r="C518" s="12"/>
      <c r="D518" s="12"/>
      <c r="E518" s="155"/>
      <c r="F518" s="22"/>
      <c r="G518" s="1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</row>
    <row r="519" spans="1:89" ht="15.75" customHeight="1" x14ac:dyDescent="0.45">
      <c r="A519" s="22"/>
      <c r="B519" s="22"/>
      <c r="C519" s="12"/>
      <c r="D519" s="12"/>
      <c r="E519" s="155"/>
      <c r="F519" s="22"/>
      <c r="G519" s="1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</row>
    <row r="520" spans="1:89" ht="15.75" customHeight="1" x14ac:dyDescent="0.45">
      <c r="A520" s="22"/>
      <c r="B520" s="22"/>
      <c r="C520" s="12"/>
      <c r="D520" s="12"/>
      <c r="E520" s="155"/>
      <c r="F520" s="22"/>
      <c r="G520" s="1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</row>
    <row r="521" spans="1:89" ht="15.75" customHeight="1" x14ac:dyDescent="0.45">
      <c r="A521" s="22"/>
      <c r="B521" s="22"/>
      <c r="C521" s="12"/>
      <c r="D521" s="12"/>
      <c r="E521" s="155"/>
      <c r="F521" s="22"/>
      <c r="G521" s="1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</row>
    <row r="522" spans="1:89" ht="15.75" customHeight="1" x14ac:dyDescent="0.45">
      <c r="A522" s="22"/>
      <c r="B522" s="22"/>
      <c r="C522" s="12"/>
      <c r="D522" s="12"/>
      <c r="E522" s="155"/>
      <c r="F522" s="22"/>
      <c r="G522" s="1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</row>
    <row r="523" spans="1:89" ht="15.75" customHeight="1" x14ac:dyDescent="0.45">
      <c r="A523" s="22"/>
      <c r="B523" s="22"/>
      <c r="C523" s="12"/>
      <c r="D523" s="12"/>
      <c r="E523" s="155"/>
      <c r="F523" s="22"/>
      <c r="G523" s="1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</row>
    <row r="524" spans="1:89" ht="15.75" customHeight="1" x14ac:dyDescent="0.45">
      <c r="A524" s="22"/>
      <c r="B524" s="22"/>
      <c r="C524" s="12"/>
      <c r="D524" s="12"/>
      <c r="E524" s="155"/>
      <c r="F524" s="22"/>
      <c r="G524" s="1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</row>
    <row r="525" spans="1:89" ht="15.75" customHeight="1" x14ac:dyDescent="0.45">
      <c r="A525" s="22"/>
      <c r="B525" s="22"/>
      <c r="C525" s="12"/>
      <c r="D525" s="12"/>
      <c r="E525" s="155"/>
      <c r="F525" s="22"/>
      <c r="G525" s="1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</row>
    <row r="526" spans="1:89" ht="15.75" customHeight="1" x14ac:dyDescent="0.45">
      <c r="A526" s="22"/>
      <c r="B526" s="22"/>
      <c r="C526" s="12"/>
      <c r="D526" s="12"/>
      <c r="E526" s="155"/>
      <c r="F526" s="22"/>
      <c r="G526" s="1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</row>
    <row r="527" spans="1:89" ht="15.75" customHeight="1" x14ac:dyDescent="0.45">
      <c r="A527" s="22"/>
      <c r="B527" s="22"/>
      <c r="C527" s="12"/>
      <c r="D527" s="12"/>
      <c r="E527" s="155"/>
      <c r="F527" s="22"/>
      <c r="G527" s="1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</row>
    <row r="528" spans="1:89" ht="15.75" customHeight="1" x14ac:dyDescent="0.45">
      <c r="A528" s="22"/>
      <c r="B528" s="22"/>
      <c r="C528" s="12"/>
      <c r="D528" s="12"/>
      <c r="E528" s="155"/>
      <c r="F528" s="22"/>
      <c r="G528" s="1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</row>
    <row r="529" spans="1:89" ht="15.75" customHeight="1" x14ac:dyDescent="0.45">
      <c r="A529" s="22"/>
      <c r="B529" s="22"/>
      <c r="C529" s="12"/>
      <c r="D529" s="12"/>
      <c r="E529" s="155"/>
      <c r="F529" s="22"/>
      <c r="G529" s="1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</row>
    <row r="530" spans="1:89" ht="15.75" customHeight="1" x14ac:dyDescent="0.45">
      <c r="A530" s="22"/>
      <c r="B530" s="22"/>
      <c r="C530" s="12"/>
      <c r="D530" s="12"/>
      <c r="E530" s="155"/>
      <c r="F530" s="22"/>
      <c r="G530" s="1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</row>
    <row r="531" spans="1:89" ht="15.75" customHeight="1" x14ac:dyDescent="0.45">
      <c r="A531" s="22"/>
      <c r="B531" s="22"/>
      <c r="C531" s="12"/>
      <c r="D531" s="12"/>
      <c r="E531" s="155"/>
      <c r="F531" s="22"/>
      <c r="G531" s="1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</row>
    <row r="532" spans="1:89" ht="15.75" customHeight="1" x14ac:dyDescent="0.45">
      <c r="A532" s="22"/>
      <c r="B532" s="22"/>
      <c r="C532" s="12"/>
      <c r="D532" s="12"/>
      <c r="E532" s="155"/>
      <c r="F532" s="22"/>
      <c r="G532" s="1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</row>
    <row r="533" spans="1:89" ht="15.75" customHeight="1" x14ac:dyDescent="0.45">
      <c r="A533" s="22"/>
      <c r="B533" s="22"/>
      <c r="C533" s="12"/>
      <c r="D533" s="12"/>
      <c r="E533" s="155"/>
      <c r="F533" s="22"/>
      <c r="G533" s="1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</row>
    <row r="534" spans="1:89" ht="15.75" customHeight="1" x14ac:dyDescent="0.45">
      <c r="A534" s="22"/>
      <c r="B534" s="22"/>
      <c r="C534" s="12"/>
      <c r="D534" s="12"/>
      <c r="E534" s="155"/>
      <c r="F534" s="22"/>
      <c r="G534" s="1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</row>
    <row r="535" spans="1:89" ht="15.75" customHeight="1" x14ac:dyDescent="0.45">
      <c r="A535" s="22"/>
      <c r="B535" s="22"/>
      <c r="C535" s="12"/>
      <c r="D535" s="12"/>
      <c r="E535" s="155"/>
      <c r="F535" s="22"/>
      <c r="G535" s="1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</row>
    <row r="536" spans="1:89" ht="15.75" customHeight="1" x14ac:dyDescent="0.45">
      <c r="A536" s="22"/>
      <c r="B536" s="22"/>
      <c r="C536" s="12"/>
      <c r="D536" s="12"/>
      <c r="E536" s="155"/>
      <c r="F536" s="22"/>
      <c r="G536" s="1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</row>
    <row r="537" spans="1:89" ht="15.75" customHeight="1" x14ac:dyDescent="0.45">
      <c r="A537" s="22"/>
      <c r="B537" s="22"/>
      <c r="C537" s="12"/>
      <c r="D537" s="12"/>
      <c r="E537" s="155"/>
      <c r="F537" s="22"/>
      <c r="G537" s="1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</row>
    <row r="538" spans="1:89" ht="15.75" customHeight="1" x14ac:dyDescent="0.45">
      <c r="A538" s="22"/>
      <c r="B538" s="22"/>
      <c r="C538" s="12"/>
      <c r="D538" s="12"/>
      <c r="E538" s="155"/>
      <c r="F538" s="22"/>
      <c r="G538" s="1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</row>
    <row r="539" spans="1:89" ht="15.75" customHeight="1" x14ac:dyDescent="0.45">
      <c r="A539" s="22"/>
      <c r="B539" s="22"/>
      <c r="C539" s="12"/>
      <c r="D539" s="12"/>
      <c r="E539" s="155"/>
      <c r="F539" s="22"/>
      <c r="G539" s="1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</row>
    <row r="540" spans="1:89" ht="15.75" customHeight="1" x14ac:dyDescent="0.45">
      <c r="A540" s="22"/>
      <c r="B540" s="22"/>
      <c r="C540" s="12"/>
      <c r="D540" s="12"/>
      <c r="E540" s="155"/>
      <c r="F540" s="22"/>
      <c r="G540" s="1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</row>
    <row r="541" spans="1:89" ht="15.75" customHeight="1" x14ac:dyDescent="0.45">
      <c r="A541" s="22"/>
      <c r="B541" s="22"/>
      <c r="C541" s="12"/>
      <c r="D541" s="12"/>
      <c r="E541" s="155"/>
      <c r="F541" s="22"/>
      <c r="G541" s="1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</row>
    <row r="542" spans="1:89" ht="15.75" customHeight="1" x14ac:dyDescent="0.45">
      <c r="A542" s="22"/>
      <c r="B542" s="22"/>
      <c r="C542" s="12"/>
      <c r="D542" s="12"/>
      <c r="E542" s="155"/>
      <c r="F542" s="22"/>
      <c r="G542" s="1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</row>
    <row r="543" spans="1:89" ht="15.75" customHeight="1" x14ac:dyDescent="0.45">
      <c r="A543" s="22"/>
      <c r="B543" s="22"/>
      <c r="C543" s="12"/>
      <c r="D543" s="12"/>
      <c r="E543" s="155"/>
      <c r="F543" s="22"/>
      <c r="G543" s="1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</row>
    <row r="544" spans="1:89" ht="15.75" customHeight="1" x14ac:dyDescent="0.45">
      <c r="A544" s="22"/>
      <c r="B544" s="22"/>
      <c r="C544" s="12"/>
      <c r="D544" s="12"/>
      <c r="E544" s="155"/>
      <c r="F544" s="22"/>
      <c r="G544" s="1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</row>
    <row r="545" spans="1:89" ht="15.75" customHeight="1" x14ac:dyDescent="0.45">
      <c r="A545" s="22"/>
      <c r="B545" s="22"/>
      <c r="C545" s="12"/>
      <c r="D545" s="12"/>
      <c r="E545" s="155"/>
      <c r="F545" s="22"/>
      <c r="G545" s="1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</row>
    <row r="546" spans="1:89" ht="15.75" customHeight="1" x14ac:dyDescent="0.45">
      <c r="A546" s="22"/>
      <c r="B546" s="22"/>
      <c r="C546" s="12"/>
      <c r="D546" s="12"/>
      <c r="E546" s="155"/>
      <c r="F546" s="22"/>
      <c r="G546" s="1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</row>
    <row r="547" spans="1:89" ht="15.75" customHeight="1" x14ac:dyDescent="0.45">
      <c r="A547" s="22"/>
      <c r="B547" s="22"/>
      <c r="C547" s="12"/>
      <c r="D547" s="12"/>
      <c r="E547" s="155"/>
      <c r="F547" s="22"/>
      <c r="G547" s="1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</row>
    <row r="548" spans="1:89" ht="15.75" customHeight="1" x14ac:dyDescent="0.45">
      <c r="A548" s="22"/>
      <c r="B548" s="22"/>
      <c r="C548" s="12"/>
      <c r="D548" s="12"/>
      <c r="E548" s="155"/>
      <c r="F548" s="22"/>
      <c r="G548" s="1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</row>
    <row r="549" spans="1:89" ht="15.75" customHeight="1" x14ac:dyDescent="0.45">
      <c r="A549" s="22"/>
      <c r="B549" s="22"/>
      <c r="C549" s="12"/>
      <c r="D549" s="12"/>
      <c r="E549" s="155"/>
      <c r="F549" s="22"/>
      <c r="G549" s="1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</row>
    <row r="550" spans="1:89" ht="15.75" customHeight="1" x14ac:dyDescent="0.45">
      <c r="A550" s="22"/>
      <c r="B550" s="22"/>
      <c r="C550" s="12"/>
      <c r="D550" s="12"/>
      <c r="E550" s="155"/>
      <c r="F550" s="22"/>
      <c r="G550" s="1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</row>
    <row r="551" spans="1:89" ht="15.75" customHeight="1" x14ac:dyDescent="0.45">
      <c r="A551" s="22"/>
      <c r="B551" s="22"/>
      <c r="C551" s="12"/>
      <c r="D551" s="12"/>
      <c r="E551" s="155"/>
      <c r="F551" s="22"/>
      <c r="G551" s="1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</row>
    <row r="552" spans="1:89" ht="15.75" customHeight="1" x14ac:dyDescent="0.45">
      <c r="A552" s="22"/>
      <c r="B552" s="22"/>
      <c r="C552" s="12"/>
      <c r="D552" s="12"/>
      <c r="E552" s="155"/>
      <c r="F552" s="22"/>
      <c r="G552" s="1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</row>
    <row r="553" spans="1:89" ht="15.75" customHeight="1" x14ac:dyDescent="0.45">
      <c r="A553" s="22"/>
      <c r="B553" s="22"/>
      <c r="C553" s="12"/>
      <c r="D553" s="12"/>
      <c r="E553" s="155"/>
      <c r="F553" s="22"/>
      <c r="G553" s="1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</row>
    <row r="554" spans="1:89" ht="15.75" customHeight="1" x14ac:dyDescent="0.45">
      <c r="A554" s="22"/>
      <c r="B554" s="22"/>
      <c r="C554" s="12"/>
      <c r="D554" s="12"/>
      <c r="E554" s="155"/>
      <c r="F554" s="22"/>
      <c r="G554" s="1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</row>
    <row r="555" spans="1:89" ht="15.75" customHeight="1" x14ac:dyDescent="0.45">
      <c r="A555" s="22"/>
      <c r="B555" s="22"/>
      <c r="C555" s="12"/>
      <c r="D555" s="12"/>
      <c r="E555" s="155"/>
      <c r="F555" s="22"/>
      <c r="G555" s="1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</row>
    <row r="556" spans="1:89" ht="15.75" customHeight="1" x14ac:dyDescent="0.45">
      <c r="A556" s="22"/>
      <c r="B556" s="22"/>
      <c r="C556" s="12"/>
      <c r="D556" s="12"/>
      <c r="E556" s="155"/>
      <c r="F556" s="22"/>
      <c r="G556" s="1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</row>
    <row r="557" spans="1:89" ht="15.75" customHeight="1" x14ac:dyDescent="0.45">
      <c r="A557" s="22"/>
      <c r="B557" s="22"/>
      <c r="C557" s="12"/>
      <c r="D557" s="12"/>
      <c r="E557" s="155"/>
      <c r="F557" s="22"/>
      <c r="G557" s="1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</row>
    <row r="558" spans="1:89" ht="15.75" customHeight="1" x14ac:dyDescent="0.45">
      <c r="A558" s="22"/>
      <c r="B558" s="22"/>
      <c r="C558" s="12"/>
      <c r="D558" s="12"/>
      <c r="E558" s="155"/>
      <c r="F558" s="22"/>
      <c r="G558" s="1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</row>
    <row r="559" spans="1:89" ht="15.75" customHeight="1" x14ac:dyDescent="0.45">
      <c r="A559" s="22"/>
      <c r="B559" s="22"/>
      <c r="C559" s="12"/>
      <c r="D559" s="12"/>
      <c r="E559" s="155"/>
      <c r="F559" s="22"/>
      <c r="G559" s="1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</row>
    <row r="560" spans="1:89" ht="15.75" customHeight="1" x14ac:dyDescent="0.45">
      <c r="A560" s="22"/>
      <c r="B560" s="22"/>
      <c r="C560" s="12"/>
      <c r="D560" s="12"/>
      <c r="E560" s="155"/>
      <c r="F560" s="22"/>
      <c r="G560" s="1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</row>
    <row r="561" spans="1:89" ht="15.75" customHeight="1" x14ac:dyDescent="0.45">
      <c r="A561" s="22"/>
      <c r="B561" s="22"/>
      <c r="C561" s="12"/>
      <c r="D561" s="12"/>
      <c r="E561" s="155"/>
      <c r="F561" s="22"/>
      <c r="G561" s="1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</row>
    <row r="562" spans="1:89" ht="15.75" customHeight="1" x14ac:dyDescent="0.45">
      <c r="A562" s="22"/>
      <c r="B562" s="22"/>
      <c r="C562" s="12"/>
      <c r="D562" s="12"/>
      <c r="E562" s="155"/>
      <c r="F562" s="22"/>
      <c r="G562" s="1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</row>
    <row r="563" spans="1:89" ht="15.75" customHeight="1" x14ac:dyDescent="0.45">
      <c r="A563" s="22"/>
      <c r="B563" s="22"/>
      <c r="C563" s="12"/>
      <c r="D563" s="12"/>
      <c r="E563" s="155"/>
      <c r="F563" s="22"/>
      <c r="G563" s="1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</row>
    <row r="564" spans="1:89" ht="15.75" customHeight="1" x14ac:dyDescent="0.45">
      <c r="A564" s="22"/>
      <c r="B564" s="22"/>
      <c r="C564" s="12"/>
      <c r="D564" s="12"/>
      <c r="E564" s="155"/>
      <c r="F564" s="22"/>
      <c r="G564" s="1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</row>
    <row r="565" spans="1:89" ht="15.75" customHeight="1" x14ac:dyDescent="0.45">
      <c r="A565" s="22"/>
      <c r="B565" s="22"/>
      <c r="C565" s="12"/>
      <c r="D565" s="12"/>
      <c r="E565" s="155"/>
      <c r="F565" s="22"/>
      <c r="G565" s="1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</row>
    <row r="566" spans="1:89" ht="15.75" customHeight="1" x14ac:dyDescent="0.45">
      <c r="A566" s="22"/>
      <c r="B566" s="22"/>
      <c r="C566" s="12"/>
      <c r="D566" s="12"/>
      <c r="E566" s="155"/>
      <c r="F566" s="22"/>
      <c r="G566" s="1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</row>
    <row r="567" spans="1:89" ht="15.75" customHeight="1" x14ac:dyDescent="0.45">
      <c r="A567" s="22"/>
      <c r="B567" s="22"/>
      <c r="C567" s="12"/>
      <c r="D567" s="12"/>
      <c r="E567" s="155"/>
      <c r="F567" s="22"/>
      <c r="G567" s="1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</row>
    <row r="568" spans="1:89" ht="15.75" customHeight="1" x14ac:dyDescent="0.45">
      <c r="A568" s="22"/>
      <c r="B568" s="22"/>
      <c r="C568" s="12"/>
      <c r="D568" s="12"/>
      <c r="E568" s="155"/>
      <c r="F568" s="22"/>
      <c r="G568" s="1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</row>
    <row r="569" spans="1:89" ht="15.75" customHeight="1" x14ac:dyDescent="0.45">
      <c r="A569" s="22"/>
      <c r="B569" s="22"/>
      <c r="C569" s="12"/>
      <c r="D569" s="12"/>
      <c r="E569" s="155"/>
      <c r="F569" s="22"/>
      <c r="G569" s="1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</row>
    <row r="570" spans="1:89" ht="15.75" customHeight="1" x14ac:dyDescent="0.45">
      <c r="A570" s="22"/>
      <c r="B570" s="22"/>
      <c r="C570" s="12"/>
      <c r="D570" s="12"/>
      <c r="E570" s="155"/>
      <c r="F570" s="22"/>
      <c r="G570" s="1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</row>
    <row r="571" spans="1:89" ht="15.75" customHeight="1" x14ac:dyDescent="0.45">
      <c r="A571" s="22"/>
      <c r="B571" s="22"/>
      <c r="C571" s="12"/>
      <c r="D571" s="12"/>
      <c r="E571" s="155"/>
      <c r="F571" s="22"/>
      <c r="G571" s="1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</row>
    <row r="572" spans="1:89" ht="15.75" customHeight="1" x14ac:dyDescent="0.45">
      <c r="A572" s="22"/>
      <c r="B572" s="22"/>
      <c r="C572" s="12"/>
      <c r="D572" s="12"/>
      <c r="E572" s="155"/>
      <c r="F572" s="22"/>
      <c r="G572" s="1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</row>
    <row r="573" spans="1:89" ht="15.75" customHeight="1" x14ac:dyDescent="0.45">
      <c r="A573" s="22"/>
      <c r="B573" s="22"/>
      <c r="C573" s="12"/>
      <c r="D573" s="12"/>
      <c r="E573" s="155"/>
      <c r="F573" s="22"/>
      <c r="G573" s="1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</row>
    <row r="574" spans="1:89" ht="15.75" customHeight="1" x14ac:dyDescent="0.45">
      <c r="A574" s="22"/>
      <c r="B574" s="22"/>
      <c r="C574" s="12"/>
      <c r="D574" s="12"/>
      <c r="E574" s="155"/>
      <c r="F574" s="22"/>
      <c r="G574" s="1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</row>
    <row r="575" spans="1:89" ht="15.75" customHeight="1" x14ac:dyDescent="0.45">
      <c r="A575" s="22"/>
      <c r="B575" s="22"/>
      <c r="C575" s="12"/>
      <c r="D575" s="12"/>
      <c r="E575" s="155"/>
      <c r="F575" s="22"/>
      <c r="G575" s="1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</row>
    <row r="576" spans="1:89" ht="15.75" customHeight="1" x14ac:dyDescent="0.45">
      <c r="A576" s="22"/>
      <c r="B576" s="22"/>
      <c r="C576" s="12"/>
      <c r="D576" s="12"/>
      <c r="E576" s="155"/>
      <c r="F576" s="22"/>
      <c r="G576" s="1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</row>
    <row r="577" spans="1:89" ht="15.75" customHeight="1" x14ac:dyDescent="0.45">
      <c r="A577" s="22"/>
      <c r="B577" s="22"/>
      <c r="C577" s="12"/>
      <c r="D577" s="12"/>
      <c r="E577" s="155"/>
      <c r="F577" s="22"/>
      <c r="G577" s="1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</row>
    <row r="578" spans="1:89" ht="15.75" customHeight="1" x14ac:dyDescent="0.45">
      <c r="A578" s="22"/>
      <c r="B578" s="22"/>
      <c r="C578" s="12"/>
      <c r="D578" s="12"/>
      <c r="E578" s="155"/>
      <c r="F578" s="22"/>
      <c r="G578" s="1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</row>
    <row r="579" spans="1:89" ht="15.75" customHeight="1" x14ac:dyDescent="0.45">
      <c r="A579" s="22"/>
      <c r="B579" s="22"/>
      <c r="C579" s="12"/>
      <c r="D579" s="12"/>
      <c r="E579" s="155"/>
      <c r="F579" s="22"/>
      <c r="G579" s="1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</row>
    <row r="580" spans="1:89" ht="15.75" customHeight="1" x14ac:dyDescent="0.45">
      <c r="A580" s="22"/>
      <c r="B580" s="22"/>
      <c r="C580" s="12"/>
      <c r="D580" s="12"/>
      <c r="E580" s="155"/>
      <c r="F580" s="22"/>
      <c r="G580" s="1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</row>
    <row r="581" spans="1:89" ht="15.75" customHeight="1" x14ac:dyDescent="0.45">
      <c r="A581" s="22"/>
      <c r="B581" s="22"/>
      <c r="C581" s="12"/>
      <c r="D581" s="12"/>
      <c r="E581" s="155"/>
      <c r="F581" s="22"/>
      <c r="G581" s="1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</row>
    <row r="582" spans="1:89" ht="15.75" customHeight="1" x14ac:dyDescent="0.45">
      <c r="A582" s="22"/>
      <c r="B582" s="22"/>
      <c r="C582" s="12"/>
      <c r="D582" s="12"/>
      <c r="E582" s="155"/>
      <c r="F582" s="22"/>
      <c r="G582" s="1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</row>
    <row r="583" spans="1:89" ht="15.75" customHeight="1" x14ac:dyDescent="0.45">
      <c r="A583" s="22"/>
      <c r="B583" s="22"/>
      <c r="C583" s="12"/>
      <c r="D583" s="12"/>
      <c r="E583" s="155"/>
      <c r="F583" s="22"/>
      <c r="G583" s="1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</row>
    <row r="584" spans="1:89" ht="15.75" customHeight="1" x14ac:dyDescent="0.45">
      <c r="A584" s="22"/>
      <c r="B584" s="22"/>
      <c r="C584" s="12"/>
      <c r="D584" s="12"/>
      <c r="E584" s="155"/>
      <c r="F584" s="22"/>
      <c r="G584" s="1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</row>
    <row r="585" spans="1:89" ht="15.75" customHeight="1" x14ac:dyDescent="0.45">
      <c r="A585" s="22"/>
      <c r="B585" s="22"/>
      <c r="C585" s="12"/>
      <c r="D585" s="12"/>
      <c r="E585" s="155"/>
      <c r="F585" s="22"/>
      <c r="G585" s="1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</row>
    <row r="586" spans="1:89" ht="15.75" customHeight="1" x14ac:dyDescent="0.45">
      <c r="A586" s="22"/>
      <c r="B586" s="22"/>
      <c r="C586" s="12"/>
      <c r="D586" s="12"/>
      <c r="E586" s="155"/>
      <c r="F586" s="22"/>
      <c r="G586" s="1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</row>
    <row r="587" spans="1:89" ht="15.75" customHeight="1" x14ac:dyDescent="0.45">
      <c r="A587" s="22"/>
      <c r="B587" s="22"/>
      <c r="C587" s="12"/>
      <c r="D587" s="12"/>
      <c r="E587" s="155"/>
      <c r="F587" s="22"/>
      <c r="G587" s="1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</row>
    <row r="588" spans="1:89" ht="15.75" customHeight="1" x14ac:dyDescent="0.45">
      <c r="A588" s="22"/>
      <c r="B588" s="22"/>
      <c r="C588" s="12"/>
      <c r="D588" s="12"/>
      <c r="E588" s="155"/>
      <c r="F588" s="22"/>
      <c r="G588" s="1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</row>
    <row r="589" spans="1:89" ht="15.75" customHeight="1" x14ac:dyDescent="0.45">
      <c r="A589" s="22"/>
      <c r="B589" s="22"/>
      <c r="C589" s="12"/>
      <c r="D589" s="12"/>
      <c r="E589" s="155"/>
      <c r="F589" s="22"/>
      <c r="G589" s="1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</row>
    <row r="590" spans="1:89" ht="15.75" customHeight="1" x14ac:dyDescent="0.45">
      <c r="A590" s="22"/>
      <c r="B590" s="22"/>
      <c r="C590" s="12"/>
      <c r="D590" s="12"/>
      <c r="E590" s="155"/>
      <c r="F590" s="22"/>
      <c r="G590" s="1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</row>
    <row r="591" spans="1:89" ht="15.75" customHeight="1" x14ac:dyDescent="0.45">
      <c r="A591" s="22"/>
      <c r="B591" s="22"/>
      <c r="C591" s="12"/>
      <c r="D591" s="12"/>
      <c r="E591" s="155"/>
      <c r="F591" s="22"/>
      <c r="G591" s="1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</row>
    <row r="592" spans="1:89" ht="15.75" customHeight="1" x14ac:dyDescent="0.45">
      <c r="A592" s="22"/>
      <c r="B592" s="22"/>
      <c r="C592" s="12"/>
      <c r="D592" s="12"/>
      <c r="E592" s="155"/>
      <c r="F592" s="22"/>
      <c r="G592" s="1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</row>
    <row r="593" spans="1:89" ht="15.75" customHeight="1" x14ac:dyDescent="0.45">
      <c r="A593" s="22"/>
      <c r="B593" s="22"/>
      <c r="C593" s="12"/>
      <c r="D593" s="12"/>
      <c r="E593" s="155"/>
      <c r="F593" s="22"/>
      <c r="G593" s="1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</row>
    <row r="594" spans="1:89" ht="15.75" customHeight="1" x14ac:dyDescent="0.45">
      <c r="A594" s="22"/>
      <c r="B594" s="22"/>
      <c r="C594" s="12"/>
      <c r="D594" s="12"/>
      <c r="E594" s="155"/>
      <c r="F594" s="22"/>
      <c r="G594" s="1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</row>
    <row r="595" spans="1:89" ht="15.75" customHeight="1" x14ac:dyDescent="0.45">
      <c r="A595" s="22"/>
      <c r="B595" s="22"/>
      <c r="C595" s="12"/>
      <c r="D595" s="12"/>
      <c r="E595" s="155"/>
      <c r="F595" s="22"/>
      <c r="G595" s="1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</row>
    <row r="596" spans="1:89" ht="15.75" customHeight="1" x14ac:dyDescent="0.45">
      <c r="A596" s="22"/>
      <c r="B596" s="22"/>
      <c r="C596" s="12"/>
      <c r="D596" s="12"/>
      <c r="E596" s="155"/>
      <c r="F596" s="22"/>
      <c r="G596" s="1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</row>
    <row r="597" spans="1:89" ht="15.75" customHeight="1" x14ac:dyDescent="0.45">
      <c r="A597" s="22"/>
      <c r="B597" s="22"/>
      <c r="C597" s="12"/>
      <c r="D597" s="12"/>
      <c r="E597" s="155"/>
      <c r="F597" s="22"/>
      <c r="G597" s="1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</row>
    <row r="598" spans="1:89" ht="15.75" customHeight="1" x14ac:dyDescent="0.45">
      <c r="A598" s="22"/>
      <c r="B598" s="22"/>
      <c r="C598" s="12"/>
      <c r="D598" s="12"/>
      <c r="E598" s="155"/>
      <c r="F598" s="22"/>
      <c r="G598" s="1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</row>
    <row r="599" spans="1:89" ht="15.75" customHeight="1" x14ac:dyDescent="0.45">
      <c r="A599" s="22"/>
      <c r="B599" s="22"/>
      <c r="C599" s="12"/>
      <c r="D599" s="12"/>
      <c r="E599" s="155"/>
      <c r="F599" s="22"/>
      <c r="G599" s="1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</row>
    <row r="600" spans="1:89" ht="15.75" customHeight="1" x14ac:dyDescent="0.45">
      <c r="A600" s="22"/>
      <c r="B600" s="22"/>
      <c r="C600" s="12"/>
      <c r="D600" s="12"/>
      <c r="E600" s="155"/>
      <c r="F600" s="22"/>
      <c r="G600" s="1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</row>
    <row r="601" spans="1:89" ht="15.75" customHeight="1" x14ac:dyDescent="0.45">
      <c r="A601" s="22"/>
      <c r="B601" s="22"/>
      <c r="C601" s="12"/>
      <c r="D601" s="12"/>
      <c r="E601" s="155"/>
      <c r="F601" s="22"/>
      <c r="G601" s="1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</row>
    <row r="602" spans="1:89" ht="15.75" customHeight="1" x14ac:dyDescent="0.45">
      <c r="A602" s="22"/>
      <c r="B602" s="22"/>
      <c r="C602" s="12"/>
      <c r="D602" s="12"/>
      <c r="E602" s="155"/>
      <c r="F602" s="22"/>
      <c r="G602" s="1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</row>
    <row r="603" spans="1:89" ht="15.75" customHeight="1" x14ac:dyDescent="0.45">
      <c r="A603" s="22"/>
      <c r="B603" s="22"/>
      <c r="C603" s="12"/>
      <c r="D603" s="12"/>
      <c r="E603" s="155"/>
      <c r="F603" s="22"/>
      <c r="G603" s="1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</row>
    <row r="604" spans="1:89" ht="15.75" customHeight="1" x14ac:dyDescent="0.45">
      <c r="A604" s="22"/>
      <c r="B604" s="22"/>
      <c r="C604" s="12"/>
      <c r="D604" s="12"/>
      <c r="E604" s="155"/>
      <c r="F604" s="22"/>
      <c r="G604" s="1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</row>
    <row r="605" spans="1:89" ht="15.75" customHeight="1" x14ac:dyDescent="0.45">
      <c r="A605" s="22"/>
      <c r="B605" s="22"/>
      <c r="C605" s="12"/>
      <c r="D605" s="12"/>
      <c r="E605" s="155"/>
      <c r="F605" s="22"/>
      <c r="G605" s="1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</row>
    <row r="606" spans="1:89" ht="15.75" customHeight="1" x14ac:dyDescent="0.45">
      <c r="A606" s="22"/>
      <c r="B606" s="22"/>
      <c r="C606" s="12"/>
      <c r="D606" s="12"/>
      <c r="E606" s="155"/>
      <c r="F606" s="22"/>
      <c r="G606" s="1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</row>
    <row r="607" spans="1:89" ht="15.75" customHeight="1" x14ac:dyDescent="0.45">
      <c r="A607" s="22"/>
      <c r="B607" s="22"/>
      <c r="C607" s="12"/>
      <c r="D607" s="12"/>
      <c r="E607" s="155"/>
      <c r="F607" s="22"/>
      <c r="G607" s="1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</row>
    <row r="608" spans="1:89" ht="15.75" customHeight="1" x14ac:dyDescent="0.45">
      <c r="A608" s="22"/>
      <c r="B608" s="22"/>
      <c r="C608" s="12"/>
      <c r="D608" s="12"/>
      <c r="E608" s="155"/>
      <c r="F608" s="22"/>
      <c r="G608" s="1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</row>
    <row r="609" spans="1:89" ht="15.75" customHeight="1" x14ac:dyDescent="0.45">
      <c r="A609" s="22"/>
      <c r="B609" s="22"/>
      <c r="C609" s="12"/>
      <c r="D609" s="12"/>
      <c r="E609" s="155"/>
      <c r="F609" s="22"/>
      <c r="G609" s="1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</row>
    <row r="610" spans="1:89" ht="15.75" customHeight="1" x14ac:dyDescent="0.45">
      <c r="A610" s="22"/>
      <c r="B610" s="22"/>
      <c r="C610" s="12"/>
      <c r="D610" s="12"/>
      <c r="E610" s="155"/>
      <c r="F610" s="22"/>
      <c r="G610" s="1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</row>
    <row r="611" spans="1:89" ht="15.75" customHeight="1" x14ac:dyDescent="0.45">
      <c r="A611" s="22"/>
      <c r="B611" s="22"/>
      <c r="C611" s="12"/>
      <c r="D611" s="12"/>
      <c r="E611" s="155"/>
      <c r="F611" s="22"/>
      <c r="G611" s="1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</row>
    <row r="612" spans="1:89" ht="15.75" customHeight="1" x14ac:dyDescent="0.45">
      <c r="A612" s="22"/>
      <c r="B612" s="22"/>
      <c r="C612" s="12"/>
      <c r="D612" s="12"/>
      <c r="E612" s="155"/>
      <c r="F612" s="22"/>
      <c r="G612" s="1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</row>
    <row r="613" spans="1:89" ht="15.75" customHeight="1" x14ac:dyDescent="0.45">
      <c r="A613" s="22"/>
      <c r="B613" s="22"/>
      <c r="C613" s="12"/>
      <c r="D613" s="12"/>
      <c r="E613" s="155"/>
      <c r="F613" s="22"/>
      <c r="G613" s="1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</row>
    <row r="614" spans="1:89" ht="15.75" customHeight="1" x14ac:dyDescent="0.45">
      <c r="A614" s="22"/>
      <c r="B614" s="22"/>
      <c r="C614" s="12"/>
      <c r="D614" s="12"/>
      <c r="E614" s="155"/>
      <c r="F614" s="22"/>
      <c r="G614" s="1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</row>
    <row r="615" spans="1:89" ht="15.75" customHeight="1" x14ac:dyDescent="0.45">
      <c r="A615" s="22"/>
      <c r="B615" s="22"/>
      <c r="C615" s="12"/>
      <c r="D615" s="12"/>
      <c r="E615" s="155"/>
      <c r="F615" s="22"/>
      <c r="G615" s="1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</row>
    <row r="616" spans="1:89" ht="15.75" customHeight="1" x14ac:dyDescent="0.45">
      <c r="A616" s="22"/>
      <c r="B616" s="22"/>
      <c r="C616" s="12"/>
      <c r="D616" s="12"/>
      <c r="E616" s="155"/>
      <c r="F616" s="22"/>
      <c r="G616" s="1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</row>
    <row r="617" spans="1:89" ht="15.75" customHeight="1" x14ac:dyDescent="0.45">
      <c r="A617" s="22"/>
      <c r="B617" s="22"/>
      <c r="C617" s="12"/>
      <c r="D617" s="12"/>
      <c r="E617" s="155"/>
      <c r="F617" s="22"/>
      <c r="G617" s="1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</row>
    <row r="618" spans="1:89" ht="15.75" customHeight="1" x14ac:dyDescent="0.45">
      <c r="A618" s="22"/>
      <c r="B618" s="22"/>
      <c r="C618" s="12"/>
      <c r="D618" s="12"/>
      <c r="E618" s="155"/>
      <c r="F618" s="22"/>
      <c r="G618" s="1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</row>
    <row r="619" spans="1:89" ht="15.75" customHeight="1" x14ac:dyDescent="0.45">
      <c r="A619" s="22"/>
      <c r="B619" s="22"/>
      <c r="C619" s="12"/>
      <c r="D619" s="12"/>
      <c r="E619" s="155"/>
      <c r="F619" s="22"/>
      <c r="G619" s="1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</row>
    <row r="620" spans="1:89" ht="15.75" customHeight="1" x14ac:dyDescent="0.45">
      <c r="A620" s="22"/>
      <c r="B620" s="22"/>
      <c r="C620" s="12"/>
      <c r="D620" s="12"/>
      <c r="E620" s="155"/>
      <c r="F620" s="22"/>
      <c r="G620" s="1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</row>
    <row r="621" spans="1:89" ht="15.75" customHeight="1" x14ac:dyDescent="0.45">
      <c r="A621" s="22"/>
      <c r="B621" s="22"/>
      <c r="C621" s="12"/>
      <c r="D621" s="12"/>
      <c r="E621" s="155"/>
      <c r="F621" s="22"/>
      <c r="G621" s="1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</row>
    <row r="622" spans="1:89" ht="15.75" customHeight="1" x14ac:dyDescent="0.45">
      <c r="A622" s="22"/>
      <c r="B622" s="22"/>
      <c r="C622" s="12"/>
      <c r="D622" s="12"/>
      <c r="E622" s="155"/>
      <c r="F622" s="22"/>
      <c r="G622" s="1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</row>
    <row r="623" spans="1:89" ht="15.75" customHeight="1" x14ac:dyDescent="0.45">
      <c r="A623" s="22"/>
      <c r="B623" s="22"/>
      <c r="C623" s="12"/>
      <c r="D623" s="12"/>
      <c r="E623" s="155"/>
      <c r="F623" s="22"/>
      <c r="G623" s="1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</row>
    <row r="624" spans="1:89" ht="15.75" customHeight="1" x14ac:dyDescent="0.45">
      <c r="A624" s="22"/>
      <c r="B624" s="22"/>
      <c r="C624" s="12"/>
      <c r="D624" s="12"/>
      <c r="E624" s="155"/>
      <c r="F624" s="22"/>
      <c r="G624" s="1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</row>
    <row r="625" spans="1:89" ht="15.75" customHeight="1" x14ac:dyDescent="0.45">
      <c r="A625" s="22"/>
      <c r="B625" s="22"/>
      <c r="C625" s="12"/>
      <c r="D625" s="12"/>
      <c r="E625" s="155"/>
      <c r="F625" s="22"/>
      <c r="G625" s="1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</row>
    <row r="626" spans="1:89" ht="15.75" customHeight="1" x14ac:dyDescent="0.45">
      <c r="A626" s="22"/>
      <c r="B626" s="22"/>
      <c r="C626" s="12"/>
      <c r="D626" s="12"/>
      <c r="E626" s="155"/>
      <c r="F626" s="22"/>
      <c r="G626" s="1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</row>
    <row r="627" spans="1:89" ht="15.75" customHeight="1" x14ac:dyDescent="0.45">
      <c r="A627" s="22"/>
      <c r="B627" s="22"/>
      <c r="C627" s="12"/>
      <c r="D627" s="12"/>
      <c r="E627" s="155"/>
      <c r="F627" s="22"/>
      <c r="G627" s="1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</row>
    <row r="628" spans="1:89" ht="15.75" customHeight="1" x14ac:dyDescent="0.45">
      <c r="A628" s="22"/>
      <c r="B628" s="22"/>
      <c r="C628" s="12"/>
      <c r="D628" s="12"/>
      <c r="E628" s="155"/>
      <c r="F628" s="22"/>
      <c r="G628" s="1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</row>
    <row r="629" spans="1:89" ht="15.75" customHeight="1" x14ac:dyDescent="0.45">
      <c r="A629" s="22"/>
      <c r="B629" s="22"/>
      <c r="C629" s="12"/>
      <c r="D629" s="12"/>
      <c r="E629" s="155"/>
      <c r="F629" s="22"/>
      <c r="G629" s="1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</row>
    <row r="630" spans="1:89" ht="15.75" customHeight="1" x14ac:dyDescent="0.45">
      <c r="A630" s="22"/>
      <c r="B630" s="22"/>
      <c r="C630" s="12"/>
      <c r="D630" s="12"/>
      <c r="E630" s="155"/>
      <c r="F630" s="22"/>
      <c r="G630" s="1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</row>
    <row r="631" spans="1:89" ht="15.75" customHeight="1" x14ac:dyDescent="0.45">
      <c r="A631" s="22"/>
      <c r="B631" s="22"/>
      <c r="C631" s="12"/>
      <c r="D631" s="12"/>
      <c r="E631" s="155"/>
      <c r="F631" s="22"/>
      <c r="G631" s="1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</row>
    <row r="632" spans="1:89" ht="15.75" customHeight="1" x14ac:dyDescent="0.45">
      <c r="A632" s="22"/>
      <c r="B632" s="22"/>
      <c r="C632" s="12"/>
      <c r="D632" s="12"/>
      <c r="E632" s="155"/>
      <c r="F632" s="22"/>
      <c r="G632" s="1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</row>
    <row r="633" spans="1:89" ht="15.75" customHeight="1" x14ac:dyDescent="0.45">
      <c r="A633" s="22"/>
      <c r="B633" s="22"/>
      <c r="C633" s="12"/>
      <c r="D633" s="12"/>
      <c r="E633" s="155"/>
      <c r="F633" s="22"/>
      <c r="G633" s="1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</row>
    <row r="634" spans="1:89" ht="15.75" customHeight="1" x14ac:dyDescent="0.45">
      <c r="A634" s="22"/>
      <c r="B634" s="22"/>
      <c r="C634" s="12"/>
      <c r="D634" s="12"/>
      <c r="E634" s="155"/>
      <c r="F634" s="22"/>
      <c r="G634" s="1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</row>
    <row r="635" spans="1:89" ht="15.75" customHeight="1" x14ac:dyDescent="0.45">
      <c r="A635" s="22"/>
      <c r="B635" s="22"/>
      <c r="C635" s="12"/>
      <c r="D635" s="12"/>
      <c r="E635" s="155"/>
      <c r="F635" s="22"/>
      <c r="G635" s="1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</row>
    <row r="636" spans="1:89" ht="15.75" customHeight="1" x14ac:dyDescent="0.45">
      <c r="A636" s="22"/>
      <c r="B636" s="22"/>
      <c r="C636" s="12"/>
      <c r="D636" s="12"/>
      <c r="E636" s="155"/>
      <c r="F636" s="22"/>
      <c r="G636" s="1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</row>
    <row r="637" spans="1:89" ht="15.75" customHeight="1" x14ac:dyDescent="0.45">
      <c r="A637" s="22"/>
      <c r="B637" s="22"/>
      <c r="C637" s="12"/>
      <c r="D637" s="12"/>
      <c r="E637" s="155"/>
      <c r="F637" s="22"/>
      <c r="G637" s="1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</row>
    <row r="638" spans="1:89" ht="15.75" customHeight="1" x14ac:dyDescent="0.45">
      <c r="A638" s="22"/>
      <c r="B638" s="22"/>
      <c r="C638" s="12"/>
      <c r="D638" s="12"/>
      <c r="E638" s="155"/>
      <c r="F638" s="22"/>
      <c r="G638" s="1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</row>
    <row r="639" spans="1:89" ht="15.75" customHeight="1" x14ac:dyDescent="0.45">
      <c r="A639" s="22"/>
      <c r="B639" s="22"/>
      <c r="C639" s="12"/>
      <c r="D639" s="12"/>
      <c r="E639" s="155"/>
      <c r="F639" s="22"/>
      <c r="G639" s="1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</row>
    <row r="640" spans="1:89" ht="15.75" customHeight="1" x14ac:dyDescent="0.45">
      <c r="A640" s="22"/>
      <c r="B640" s="22"/>
      <c r="C640" s="12"/>
      <c r="D640" s="12"/>
      <c r="E640" s="155"/>
      <c r="F640" s="22"/>
      <c r="G640" s="1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</row>
    <row r="641" spans="1:89" ht="15.75" customHeight="1" x14ac:dyDescent="0.45">
      <c r="A641" s="22"/>
      <c r="B641" s="22"/>
      <c r="C641" s="12"/>
      <c r="D641" s="12"/>
      <c r="E641" s="155"/>
      <c r="F641" s="22"/>
      <c r="G641" s="1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</row>
    <row r="642" spans="1:89" ht="15.75" customHeight="1" x14ac:dyDescent="0.45">
      <c r="A642" s="22"/>
      <c r="B642" s="22"/>
      <c r="C642" s="12"/>
      <c r="D642" s="12"/>
      <c r="E642" s="155"/>
      <c r="F642" s="22"/>
      <c r="G642" s="1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</row>
    <row r="643" spans="1:89" ht="15.75" customHeight="1" x14ac:dyDescent="0.45">
      <c r="A643" s="22"/>
      <c r="B643" s="22"/>
      <c r="C643" s="12"/>
      <c r="D643" s="12"/>
      <c r="E643" s="155"/>
      <c r="F643" s="22"/>
      <c r="G643" s="1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</row>
    <row r="644" spans="1:89" ht="15.75" customHeight="1" x14ac:dyDescent="0.45">
      <c r="A644" s="22"/>
      <c r="B644" s="22"/>
      <c r="C644" s="12"/>
      <c r="D644" s="12"/>
      <c r="E644" s="155"/>
      <c r="F644" s="22"/>
      <c r="G644" s="1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</row>
    <row r="645" spans="1:89" ht="15.75" customHeight="1" x14ac:dyDescent="0.45">
      <c r="A645" s="22"/>
      <c r="B645" s="22"/>
      <c r="C645" s="12"/>
      <c r="D645" s="12"/>
      <c r="E645" s="155"/>
      <c r="F645" s="22"/>
      <c r="G645" s="1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</row>
    <row r="646" spans="1:89" ht="15.75" customHeight="1" x14ac:dyDescent="0.45">
      <c r="A646" s="22"/>
      <c r="B646" s="22"/>
      <c r="C646" s="12"/>
      <c r="D646" s="12"/>
      <c r="E646" s="155"/>
      <c r="F646" s="22"/>
      <c r="G646" s="1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</row>
    <row r="647" spans="1:89" ht="15.75" customHeight="1" x14ac:dyDescent="0.45">
      <c r="A647" s="22"/>
      <c r="B647" s="22"/>
      <c r="C647" s="12"/>
      <c r="D647" s="12"/>
      <c r="E647" s="155"/>
      <c r="F647" s="22"/>
      <c r="G647" s="1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</row>
    <row r="648" spans="1:89" ht="15.75" customHeight="1" x14ac:dyDescent="0.45">
      <c r="A648" s="22"/>
      <c r="B648" s="22"/>
      <c r="C648" s="12"/>
      <c r="D648" s="12"/>
      <c r="E648" s="155"/>
      <c r="F648" s="22"/>
      <c r="G648" s="1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</row>
    <row r="649" spans="1:89" ht="15.75" customHeight="1" x14ac:dyDescent="0.45">
      <c r="A649" s="22"/>
      <c r="B649" s="22"/>
      <c r="C649" s="12"/>
      <c r="D649" s="12"/>
      <c r="E649" s="155"/>
      <c r="F649" s="22"/>
      <c r="G649" s="1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</row>
    <row r="650" spans="1:89" ht="15.75" customHeight="1" x14ac:dyDescent="0.45">
      <c r="A650" s="22"/>
      <c r="B650" s="22"/>
      <c r="C650" s="12"/>
      <c r="D650" s="12"/>
      <c r="E650" s="155"/>
      <c r="F650" s="22"/>
      <c r="G650" s="1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</row>
    <row r="651" spans="1:89" ht="15.75" customHeight="1" x14ac:dyDescent="0.45">
      <c r="A651" s="22"/>
      <c r="B651" s="22"/>
      <c r="C651" s="12"/>
      <c r="D651" s="12"/>
      <c r="E651" s="155"/>
      <c r="F651" s="22"/>
      <c r="G651" s="1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</row>
    <row r="652" spans="1:89" ht="15.75" customHeight="1" x14ac:dyDescent="0.45">
      <c r="A652" s="22"/>
      <c r="B652" s="22"/>
      <c r="C652" s="12"/>
      <c r="D652" s="12"/>
      <c r="E652" s="155"/>
      <c r="F652" s="22"/>
      <c r="G652" s="1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</row>
    <row r="653" spans="1:89" ht="15.75" customHeight="1" x14ac:dyDescent="0.45">
      <c r="A653" s="22"/>
      <c r="B653" s="22"/>
      <c r="C653" s="12"/>
      <c r="D653" s="12"/>
      <c r="E653" s="155"/>
      <c r="F653" s="22"/>
      <c r="G653" s="1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</row>
    <row r="654" spans="1:89" ht="15.75" customHeight="1" x14ac:dyDescent="0.45">
      <c r="A654" s="22"/>
      <c r="B654" s="22"/>
      <c r="C654" s="12"/>
      <c r="D654" s="12"/>
      <c r="E654" s="155"/>
      <c r="F654" s="22"/>
      <c r="G654" s="1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</row>
    <row r="655" spans="1:89" ht="15.75" customHeight="1" x14ac:dyDescent="0.45">
      <c r="A655" s="22"/>
      <c r="B655" s="22"/>
      <c r="C655" s="12"/>
      <c r="D655" s="12"/>
      <c r="E655" s="155"/>
      <c r="F655" s="22"/>
      <c r="G655" s="1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</row>
    <row r="656" spans="1:89" ht="15.75" customHeight="1" x14ac:dyDescent="0.45">
      <c r="A656" s="22"/>
      <c r="B656" s="22"/>
      <c r="C656" s="12"/>
      <c r="D656" s="12"/>
      <c r="E656" s="155"/>
      <c r="F656" s="22"/>
      <c r="G656" s="1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</row>
    <row r="657" spans="1:89" ht="15.75" customHeight="1" x14ac:dyDescent="0.45">
      <c r="A657" s="22"/>
      <c r="B657" s="22"/>
      <c r="C657" s="12"/>
      <c r="D657" s="12"/>
      <c r="E657" s="155"/>
      <c r="F657" s="22"/>
      <c r="G657" s="1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</row>
    <row r="658" spans="1:89" ht="15.75" customHeight="1" x14ac:dyDescent="0.45">
      <c r="A658" s="22"/>
      <c r="B658" s="22"/>
      <c r="C658" s="12"/>
      <c r="D658" s="12"/>
      <c r="E658" s="155"/>
      <c r="F658" s="22"/>
      <c r="G658" s="1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</row>
    <row r="659" spans="1:89" ht="15.75" customHeight="1" x14ac:dyDescent="0.45">
      <c r="A659" s="22"/>
      <c r="B659" s="22"/>
      <c r="C659" s="12"/>
      <c r="D659" s="12"/>
      <c r="E659" s="155"/>
      <c r="F659" s="22"/>
      <c r="G659" s="1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</row>
    <row r="660" spans="1:89" ht="15.75" customHeight="1" x14ac:dyDescent="0.45">
      <c r="A660" s="22"/>
      <c r="B660" s="22"/>
      <c r="C660" s="12"/>
      <c r="D660" s="12"/>
      <c r="E660" s="155"/>
      <c r="F660" s="22"/>
      <c r="G660" s="1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</row>
    <row r="661" spans="1:89" ht="15.75" customHeight="1" x14ac:dyDescent="0.45">
      <c r="A661" s="22"/>
      <c r="B661" s="22"/>
      <c r="C661" s="12"/>
      <c r="D661" s="12"/>
      <c r="E661" s="155"/>
      <c r="F661" s="22"/>
      <c r="G661" s="1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</row>
    <row r="662" spans="1:89" ht="15.75" customHeight="1" x14ac:dyDescent="0.45">
      <c r="A662" s="22"/>
      <c r="B662" s="22"/>
      <c r="C662" s="12"/>
      <c r="D662" s="12"/>
      <c r="E662" s="155"/>
      <c r="F662" s="22"/>
      <c r="G662" s="1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</row>
    <row r="663" spans="1:89" ht="15.75" customHeight="1" x14ac:dyDescent="0.45">
      <c r="A663" s="22"/>
      <c r="B663" s="22"/>
      <c r="C663" s="12"/>
      <c r="D663" s="12"/>
      <c r="E663" s="155"/>
      <c r="F663" s="22"/>
      <c r="G663" s="1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</row>
    <row r="664" spans="1:89" ht="15.75" customHeight="1" x14ac:dyDescent="0.45">
      <c r="A664" s="22"/>
      <c r="B664" s="22"/>
      <c r="C664" s="12"/>
      <c r="D664" s="12"/>
      <c r="E664" s="155"/>
      <c r="F664" s="22"/>
      <c r="G664" s="1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</row>
    <row r="665" spans="1:89" ht="15.75" customHeight="1" x14ac:dyDescent="0.45">
      <c r="A665" s="22"/>
      <c r="B665" s="22"/>
      <c r="C665" s="12"/>
      <c r="D665" s="12"/>
      <c r="E665" s="155"/>
      <c r="F665" s="22"/>
      <c r="G665" s="1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</row>
    <row r="666" spans="1:89" ht="15.75" customHeight="1" x14ac:dyDescent="0.45">
      <c r="A666" s="22"/>
      <c r="B666" s="22"/>
      <c r="C666" s="12"/>
      <c r="D666" s="12"/>
      <c r="E666" s="155"/>
      <c r="F666" s="22"/>
      <c r="G666" s="1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</row>
    <row r="667" spans="1:89" ht="15.75" customHeight="1" x14ac:dyDescent="0.45">
      <c r="A667" s="22"/>
      <c r="B667" s="22"/>
      <c r="C667" s="12"/>
      <c r="D667" s="12"/>
      <c r="E667" s="155"/>
      <c r="F667" s="22"/>
      <c r="G667" s="1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</row>
    <row r="668" spans="1:89" ht="15.75" customHeight="1" x14ac:dyDescent="0.45">
      <c r="A668" s="22"/>
      <c r="B668" s="22"/>
      <c r="C668" s="12"/>
      <c r="D668" s="12"/>
      <c r="E668" s="155"/>
      <c r="F668" s="22"/>
      <c r="G668" s="1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</row>
    <row r="669" spans="1:89" ht="15.75" customHeight="1" x14ac:dyDescent="0.45">
      <c r="A669" s="22"/>
      <c r="B669" s="22"/>
      <c r="C669" s="12"/>
      <c r="D669" s="12"/>
      <c r="E669" s="155"/>
      <c r="F669" s="22"/>
      <c r="G669" s="1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</row>
    <row r="670" spans="1:89" ht="15.75" customHeight="1" x14ac:dyDescent="0.45">
      <c r="A670" s="22"/>
      <c r="B670" s="22"/>
      <c r="C670" s="12"/>
      <c r="D670" s="12"/>
      <c r="E670" s="155"/>
      <c r="F670" s="22"/>
      <c r="G670" s="1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</row>
    <row r="671" spans="1:89" ht="15.75" customHeight="1" x14ac:dyDescent="0.45">
      <c r="A671" s="22"/>
      <c r="B671" s="22"/>
      <c r="C671" s="12"/>
      <c r="D671" s="12"/>
      <c r="E671" s="155"/>
      <c r="F671" s="22"/>
      <c r="G671" s="1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</row>
    <row r="672" spans="1:89" ht="15.75" customHeight="1" x14ac:dyDescent="0.45">
      <c r="A672" s="22"/>
      <c r="B672" s="22"/>
      <c r="C672" s="12"/>
      <c r="D672" s="12"/>
      <c r="E672" s="155"/>
      <c r="F672" s="22"/>
      <c r="G672" s="1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</row>
    <row r="673" spans="1:89" ht="15.75" customHeight="1" x14ac:dyDescent="0.45">
      <c r="A673" s="22"/>
      <c r="B673" s="22"/>
      <c r="C673" s="12"/>
      <c r="D673" s="12"/>
      <c r="E673" s="155"/>
      <c r="F673" s="22"/>
      <c r="G673" s="1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</row>
    <row r="674" spans="1:89" ht="15.75" customHeight="1" x14ac:dyDescent="0.45">
      <c r="A674" s="22"/>
      <c r="B674" s="22"/>
      <c r="C674" s="12"/>
      <c r="D674" s="12"/>
      <c r="E674" s="155"/>
      <c r="F674" s="22"/>
      <c r="G674" s="1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</row>
    <row r="675" spans="1:89" ht="15.75" customHeight="1" x14ac:dyDescent="0.45">
      <c r="A675" s="22"/>
      <c r="B675" s="22"/>
      <c r="C675" s="12"/>
      <c r="D675" s="12"/>
      <c r="E675" s="155"/>
      <c r="F675" s="22"/>
      <c r="G675" s="1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</row>
    <row r="676" spans="1:89" ht="15.75" customHeight="1" x14ac:dyDescent="0.45">
      <c r="A676" s="22"/>
      <c r="B676" s="22"/>
      <c r="C676" s="12"/>
      <c r="D676" s="12"/>
      <c r="E676" s="155"/>
      <c r="F676" s="22"/>
      <c r="G676" s="1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</row>
    <row r="677" spans="1:89" ht="15.75" customHeight="1" x14ac:dyDescent="0.45">
      <c r="A677" s="22"/>
      <c r="B677" s="22"/>
      <c r="C677" s="12"/>
      <c r="D677" s="12"/>
      <c r="E677" s="155"/>
      <c r="F677" s="22"/>
      <c r="G677" s="1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</row>
    <row r="678" spans="1:89" ht="15.75" customHeight="1" x14ac:dyDescent="0.45">
      <c r="A678" s="22"/>
      <c r="B678" s="22"/>
      <c r="C678" s="12"/>
      <c r="D678" s="12"/>
      <c r="E678" s="155"/>
      <c r="F678" s="22"/>
      <c r="G678" s="1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</row>
    <row r="679" spans="1:89" ht="15.75" customHeight="1" x14ac:dyDescent="0.45">
      <c r="A679" s="22"/>
      <c r="B679" s="22"/>
      <c r="C679" s="12"/>
      <c r="D679" s="12"/>
      <c r="E679" s="155"/>
      <c r="F679" s="22"/>
      <c r="G679" s="1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</row>
    <row r="680" spans="1:89" ht="15.75" customHeight="1" x14ac:dyDescent="0.45">
      <c r="A680" s="22"/>
      <c r="B680" s="22"/>
      <c r="C680" s="12"/>
      <c r="D680" s="12"/>
      <c r="E680" s="155"/>
      <c r="F680" s="22"/>
      <c r="G680" s="1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</row>
    <row r="681" spans="1:89" ht="15.75" customHeight="1" x14ac:dyDescent="0.45">
      <c r="A681" s="22"/>
      <c r="B681" s="22"/>
      <c r="C681" s="12"/>
      <c r="D681" s="12"/>
      <c r="E681" s="155"/>
      <c r="F681" s="22"/>
      <c r="G681" s="1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</row>
    <row r="682" spans="1:89" ht="15.75" customHeight="1" x14ac:dyDescent="0.45">
      <c r="A682" s="22"/>
      <c r="B682" s="22"/>
      <c r="C682" s="12"/>
      <c r="D682" s="12"/>
      <c r="E682" s="155"/>
      <c r="F682" s="22"/>
      <c r="G682" s="1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</row>
    <row r="683" spans="1:89" ht="15.75" customHeight="1" x14ac:dyDescent="0.45">
      <c r="A683" s="22"/>
      <c r="B683" s="22"/>
      <c r="C683" s="12"/>
      <c r="D683" s="12"/>
      <c r="E683" s="155"/>
      <c r="F683" s="22"/>
      <c r="G683" s="1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</row>
    <row r="684" spans="1:89" ht="15.75" customHeight="1" x14ac:dyDescent="0.45">
      <c r="A684" s="22"/>
      <c r="B684" s="22"/>
      <c r="C684" s="12"/>
      <c r="D684" s="12"/>
      <c r="E684" s="155"/>
      <c r="F684" s="22"/>
      <c r="G684" s="1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</row>
    <row r="685" spans="1:89" ht="15.75" customHeight="1" x14ac:dyDescent="0.45">
      <c r="A685" s="22"/>
      <c r="B685" s="22"/>
      <c r="C685" s="12"/>
      <c r="D685" s="12"/>
      <c r="E685" s="155"/>
      <c r="F685" s="22"/>
      <c r="G685" s="1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</row>
    <row r="686" spans="1:89" ht="15.75" customHeight="1" x14ac:dyDescent="0.45">
      <c r="A686" s="22"/>
      <c r="B686" s="22"/>
      <c r="C686" s="12"/>
      <c r="D686" s="12"/>
      <c r="E686" s="155"/>
      <c r="F686" s="22"/>
      <c r="G686" s="1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</row>
    <row r="687" spans="1:89" ht="15.75" customHeight="1" x14ac:dyDescent="0.45">
      <c r="A687" s="22"/>
      <c r="B687" s="22"/>
      <c r="C687" s="12"/>
      <c r="D687" s="12"/>
      <c r="E687" s="155"/>
      <c r="F687" s="22"/>
      <c r="G687" s="1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</row>
    <row r="688" spans="1:89" ht="15.75" customHeight="1" x14ac:dyDescent="0.45">
      <c r="A688" s="22"/>
      <c r="B688" s="22"/>
      <c r="C688" s="12"/>
      <c r="D688" s="12"/>
      <c r="E688" s="155"/>
      <c r="F688" s="22"/>
      <c r="G688" s="1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</row>
    <row r="689" spans="1:89" ht="15.75" customHeight="1" x14ac:dyDescent="0.45">
      <c r="A689" s="22"/>
      <c r="B689" s="22"/>
      <c r="C689" s="12"/>
      <c r="D689" s="12"/>
      <c r="E689" s="155"/>
      <c r="F689" s="22"/>
      <c r="G689" s="1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</row>
    <row r="690" spans="1:89" ht="15.75" customHeight="1" x14ac:dyDescent="0.45">
      <c r="A690" s="22"/>
      <c r="B690" s="22"/>
      <c r="C690" s="12"/>
      <c r="D690" s="12"/>
      <c r="E690" s="155"/>
      <c r="F690" s="22"/>
      <c r="G690" s="1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</row>
    <row r="691" spans="1:89" ht="15.75" customHeight="1" x14ac:dyDescent="0.45">
      <c r="A691" s="22"/>
      <c r="B691" s="22"/>
      <c r="C691" s="12"/>
      <c r="D691" s="12"/>
      <c r="E691" s="155"/>
      <c r="F691" s="22"/>
      <c r="G691" s="1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</row>
    <row r="692" spans="1:89" ht="15.75" customHeight="1" x14ac:dyDescent="0.45">
      <c r="A692" s="22"/>
      <c r="B692" s="22"/>
      <c r="C692" s="12"/>
      <c r="D692" s="12"/>
      <c r="E692" s="155"/>
      <c r="F692" s="22"/>
      <c r="G692" s="1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</row>
    <row r="693" spans="1:89" ht="15.75" customHeight="1" x14ac:dyDescent="0.45">
      <c r="A693" s="22"/>
      <c r="B693" s="22"/>
      <c r="C693" s="12"/>
      <c r="D693" s="12"/>
      <c r="E693" s="155"/>
      <c r="F693" s="22"/>
      <c r="G693" s="1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</row>
    <row r="694" spans="1:89" ht="15.75" customHeight="1" x14ac:dyDescent="0.45">
      <c r="A694" s="22"/>
      <c r="B694" s="22"/>
      <c r="C694" s="12"/>
      <c r="D694" s="12"/>
      <c r="E694" s="155"/>
      <c r="F694" s="22"/>
      <c r="G694" s="1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</row>
    <row r="695" spans="1:89" ht="15.75" customHeight="1" x14ac:dyDescent="0.45">
      <c r="A695" s="22"/>
      <c r="B695" s="22"/>
      <c r="C695" s="12"/>
      <c r="D695" s="12"/>
      <c r="E695" s="155"/>
      <c r="F695" s="22"/>
      <c r="G695" s="1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</row>
    <row r="696" spans="1:89" ht="15.75" customHeight="1" x14ac:dyDescent="0.45">
      <c r="A696" s="22"/>
      <c r="B696" s="22"/>
      <c r="C696" s="12"/>
      <c r="D696" s="12"/>
      <c r="E696" s="155"/>
      <c r="F696" s="22"/>
      <c r="G696" s="1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</row>
    <row r="697" spans="1:89" ht="15.75" customHeight="1" x14ac:dyDescent="0.45">
      <c r="A697" s="22"/>
      <c r="B697" s="22"/>
      <c r="C697" s="12"/>
      <c r="D697" s="12"/>
      <c r="E697" s="155"/>
      <c r="F697" s="22"/>
      <c r="G697" s="1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</row>
    <row r="698" spans="1:89" ht="15.75" customHeight="1" x14ac:dyDescent="0.45">
      <c r="A698" s="22"/>
      <c r="B698" s="22"/>
      <c r="C698" s="12"/>
      <c r="D698" s="12"/>
      <c r="E698" s="155"/>
      <c r="F698" s="22"/>
      <c r="G698" s="1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</row>
    <row r="699" spans="1:89" ht="15.75" customHeight="1" x14ac:dyDescent="0.45">
      <c r="A699" s="22"/>
      <c r="B699" s="22"/>
      <c r="C699" s="12"/>
      <c r="D699" s="12"/>
      <c r="E699" s="155"/>
      <c r="F699" s="22"/>
      <c r="G699" s="1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</row>
    <row r="700" spans="1:89" ht="15.75" customHeight="1" x14ac:dyDescent="0.45">
      <c r="A700" s="22"/>
      <c r="B700" s="22"/>
      <c r="C700" s="12"/>
      <c r="D700" s="12"/>
      <c r="E700" s="155"/>
      <c r="F700" s="22"/>
      <c r="G700" s="1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</row>
    <row r="701" spans="1:89" ht="15.75" customHeight="1" x14ac:dyDescent="0.45">
      <c r="A701" s="22"/>
      <c r="B701" s="22"/>
      <c r="C701" s="12"/>
      <c r="D701" s="12"/>
      <c r="E701" s="155"/>
      <c r="F701" s="22"/>
      <c r="G701" s="1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</row>
    <row r="702" spans="1:89" ht="15.75" customHeight="1" x14ac:dyDescent="0.45">
      <c r="A702" s="22"/>
      <c r="B702" s="22"/>
      <c r="C702" s="12"/>
      <c r="D702" s="12"/>
      <c r="E702" s="155"/>
      <c r="F702" s="22"/>
      <c r="G702" s="1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</row>
    <row r="703" spans="1:89" ht="15.75" customHeight="1" x14ac:dyDescent="0.45">
      <c r="A703" s="22"/>
      <c r="B703" s="22"/>
      <c r="C703" s="12"/>
      <c r="D703" s="12"/>
      <c r="E703" s="155"/>
      <c r="F703" s="22"/>
      <c r="G703" s="1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</row>
    <row r="704" spans="1:89" ht="15.75" customHeight="1" x14ac:dyDescent="0.45">
      <c r="A704" s="22"/>
      <c r="B704" s="22"/>
      <c r="C704" s="12"/>
      <c r="D704" s="12"/>
      <c r="E704" s="155"/>
      <c r="F704" s="22"/>
      <c r="G704" s="1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</row>
    <row r="705" spans="1:89" ht="15.75" customHeight="1" x14ac:dyDescent="0.45">
      <c r="A705" s="22"/>
      <c r="B705" s="22"/>
      <c r="C705" s="12"/>
      <c r="D705" s="12"/>
      <c r="E705" s="155"/>
      <c r="F705" s="22"/>
      <c r="G705" s="1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</row>
    <row r="706" spans="1:89" ht="15.75" customHeight="1" x14ac:dyDescent="0.45">
      <c r="A706" s="22"/>
      <c r="B706" s="22"/>
      <c r="C706" s="12"/>
      <c r="D706" s="12"/>
      <c r="E706" s="155"/>
      <c r="F706" s="22"/>
      <c r="G706" s="1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</row>
    <row r="707" spans="1:89" ht="15.75" customHeight="1" x14ac:dyDescent="0.45">
      <c r="A707" s="22"/>
      <c r="B707" s="22"/>
      <c r="C707" s="12"/>
      <c r="D707" s="12"/>
      <c r="E707" s="155"/>
      <c r="F707" s="22"/>
      <c r="G707" s="1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</row>
    <row r="708" spans="1:89" ht="15.75" customHeight="1" x14ac:dyDescent="0.45">
      <c r="A708" s="22"/>
      <c r="B708" s="22"/>
      <c r="C708" s="12"/>
      <c r="D708" s="12"/>
      <c r="E708" s="155"/>
      <c r="F708" s="22"/>
      <c r="G708" s="1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</row>
    <row r="709" spans="1:89" ht="15.75" customHeight="1" x14ac:dyDescent="0.45">
      <c r="A709" s="22"/>
      <c r="B709" s="22"/>
      <c r="C709" s="12"/>
      <c r="D709" s="12"/>
      <c r="E709" s="155"/>
      <c r="F709" s="22"/>
      <c r="G709" s="1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</row>
    <row r="710" spans="1:89" ht="15.75" customHeight="1" x14ac:dyDescent="0.45">
      <c r="A710" s="22"/>
      <c r="B710" s="22"/>
      <c r="C710" s="12"/>
      <c r="D710" s="12"/>
      <c r="E710" s="155"/>
      <c r="F710" s="22"/>
      <c r="G710" s="1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</row>
    <row r="711" spans="1:89" ht="15.75" customHeight="1" x14ac:dyDescent="0.45">
      <c r="A711" s="22"/>
      <c r="B711" s="22"/>
      <c r="C711" s="12"/>
      <c r="D711" s="12"/>
      <c r="E711" s="155"/>
      <c r="F711" s="22"/>
      <c r="G711" s="1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</row>
    <row r="712" spans="1:89" ht="15.75" customHeight="1" x14ac:dyDescent="0.45">
      <c r="A712" s="22"/>
      <c r="B712" s="22"/>
      <c r="C712" s="12"/>
      <c r="D712" s="12"/>
      <c r="E712" s="155"/>
      <c r="F712" s="22"/>
      <c r="G712" s="1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</row>
    <row r="713" spans="1:89" ht="15.75" customHeight="1" x14ac:dyDescent="0.45">
      <c r="A713" s="22"/>
      <c r="B713" s="22"/>
      <c r="C713" s="12"/>
      <c r="D713" s="12"/>
      <c r="E713" s="155"/>
      <c r="F713" s="22"/>
      <c r="G713" s="1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</row>
    <row r="714" spans="1:89" ht="15.75" customHeight="1" x14ac:dyDescent="0.45">
      <c r="A714" s="22"/>
      <c r="B714" s="22"/>
      <c r="C714" s="12"/>
      <c r="D714" s="12"/>
      <c r="E714" s="155"/>
      <c r="F714" s="22"/>
      <c r="G714" s="1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</row>
    <row r="715" spans="1:89" ht="15.75" customHeight="1" x14ac:dyDescent="0.45">
      <c r="A715" s="22"/>
      <c r="B715" s="22"/>
      <c r="C715" s="12"/>
      <c r="D715" s="12"/>
      <c r="E715" s="155"/>
      <c r="F715" s="22"/>
      <c r="G715" s="1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</row>
    <row r="716" spans="1:89" ht="15.75" customHeight="1" x14ac:dyDescent="0.45">
      <c r="A716" s="22"/>
      <c r="B716" s="22"/>
      <c r="C716" s="12"/>
      <c r="D716" s="12"/>
      <c r="E716" s="155"/>
      <c r="F716" s="22"/>
      <c r="G716" s="1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</row>
    <row r="717" spans="1:89" ht="15.75" customHeight="1" x14ac:dyDescent="0.45">
      <c r="A717" s="22"/>
      <c r="B717" s="22"/>
      <c r="C717" s="12"/>
      <c r="D717" s="12"/>
      <c r="E717" s="155"/>
      <c r="F717" s="22"/>
      <c r="G717" s="1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</row>
    <row r="718" spans="1:89" ht="15.75" customHeight="1" x14ac:dyDescent="0.45">
      <c r="A718" s="22"/>
      <c r="B718" s="22"/>
      <c r="C718" s="12"/>
      <c r="D718" s="12"/>
      <c r="E718" s="155"/>
      <c r="F718" s="22"/>
      <c r="G718" s="1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</row>
    <row r="719" spans="1:89" ht="15.75" customHeight="1" x14ac:dyDescent="0.45">
      <c r="A719" s="22"/>
      <c r="B719" s="22"/>
      <c r="C719" s="12"/>
      <c r="D719" s="12"/>
      <c r="E719" s="155"/>
      <c r="F719" s="22"/>
      <c r="G719" s="1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</row>
    <row r="720" spans="1:89" ht="15.75" customHeight="1" x14ac:dyDescent="0.45">
      <c r="A720" s="22"/>
      <c r="B720" s="22"/>
      <c r="C720" s="12"/>
      <c r="D720" s="12"/>
      <c r="E720" s="155"/>
      <c r="F720" s="22"/>
      <c r="G720" s="1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</row>
    <row r="721" spans="1:89" ht="15.75" customHeight="1" x14ac:dyDescent="0.45">
      <c r="A721" s="22"/>
      <c r="B721" s="22"/>
      <c r="C721" s="12"/>
      <c r="D721" s="12"/>
      <c r="E721" s="155"/>
      <c r="F721" s="22"/>
      <c r="G721" s="1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</row>
    <row r="722" spans="1:89" ht="15.75" customHeight="1" x14ac:dyDescent="0.45">
      <c r="A722" s="22"/>
      <c r="B722" s="22"/>
      <c r="C722" s="12"/>
      <c r="D722" s="12"/>
      <c r="E722" s="155"/>
      <c r="F722" s="22"/>
      <c r="G722" s="1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</row>
    <row r="723" spans="1:89" ht="15.75" customHeight="1" x14ac:dyDescent="0.45">
      <c r="A723" s="22"/>
      <c r="B723" s="22"/>
      <c r="C723" s="12"/>
      <c r="D723" s="12"/>
      <c r="E723" s="155"/>
      <c r="F723" s="22"/>
      <c r="G723" s="1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</row>
    <row r="724" spans="1:89" ht="15.75" customHeight="1" x14ac:dyDescent="0.45">
      <c r="A724" s="22"/>
      <c r="B724" s="22"/>
      <c r="C724" s="12"/>
      <c r="D724" s="12"/>
      <c r="E724" s="155"/>
      <c r="F724" s="22"/>
      <c r="G724" s="1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</row>
    <row r="725" spans="1:89" ht="15.75" customHeight="1" x14ac:dyDescent="0.45">
      <c r="A725" s="22"/>
      <c r="B725" s="22"/>
      <c r="C725" s="12"/>
      <c r="D725" s="12"/>
      <c r="E725" s="155"/>
      <c r="F725" s="22"/>
      <c r="G725" s="1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</row>
    <row r="726" spans="1:89" ht="15.75" customHeight="1" x14ac:dyDescent="0.45">
      <c r="A726" s="22"/>
      <c r="B726" s="22"/>
      <c r="C726" s="12"/>
      <c r="D726" s="12"/>
      <c r="E726" s="155"/>
      <c r="F726" s="22"/>
      <c r="G726" s="1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</row>
    <row r="727" spans="1:89" ht="15.75" customHeight="1" x14ac:dyDescent="0.45">
      <c r="A727" s="22"/>
      <c r="B727" s="22"/>
      <c r="C727" s="12"/>
      <c r="D727" s="12"/>
      <c r="E727" s="155"/>
      <c r="F727" s="22"/>
      <c r="G727" s="1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</row>
    <row r="728" spans="1:89" ht="15.75" customHeight="1" x14ac:dyDescent="0.45">
      <c r="A728" s="22"/>
      <c r="B728" s="22"/>
      <c r="C728" s="12"/>
      <c r="D728" s="12"/>
      <c r="E728" s="155"/>
      <c r="F728" s="22"/>
      <c r="G728" s="1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</row>
    <row r="729" spans="1:89" ht="15.75" customHeight="1" x14ac:dyDescent="0.45">
      <c r="A729" s="22"/>
      <c r="B729" s="22"/>
      <c r="C729" s="12"/>
      <c r="D729" s="12"/>
      <c r="E729" s="155"/>
      <c r="F729" s="22"/>
      <c r="G729" s="1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</row>
    <row r="730" spans="1:89" ht="15.75" customHeight="1" x14ac:dyDescent="0.45">
      <c r="A730" s="22"/>
      <c r="B730" s="22"/>
      <c r="C730" s="12"/>
      <c r="D730" s="12"/>
      <c r="E730" s="155"/>
      <c r="F730" s="22"/>
      <c r="G730" s="1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</row>
    <row r="731" spans="1:89" ht="15.75" customHeight="1" x14ac:dyDescent="0.45">
      <c r="A731" s="22"/>
      <c r="B731" s="22"/>
      <c r="C731" s="12"/>
      <c r="D731" s="12"/>
      <c r="E731" s="155"/>
      <c r="F731" s="22"/>
      <c r="G731" s="1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</row>
    <row r="732" spans="1:89" ht="15.75" customHeight="1" x14ac:dyDescent="0.45">
      <c r="A732" s="22"/>
      <c r="B732" s="22"/>
      <c r="C732" s="12"/>
      <c r="D732" s="12"/>
      <c r="E732" s="155"/>
      <c r="F732" s="22"/>
      <c r="G732" s="1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</row>
    <row r="733" spans="1:89" ht="15.75" customHeight="1" x14ac:dyDescent="0.45">
      <c r="A733" s="22"/>
      <c r="B733" s="22"/>
      <c r="C733" s="12"/>
      <c r="D733" s="12"/>
      <c r="E733" s="155"/>
      <c r="F733" s="22"/>
      <c r="G733" s="1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</row>
    <row r="734" spans="1:89" ht="15.75" customHeight="1" x14ac:dyDescent="0.45">
      <c r="A734" s="22"/>
      <c r="B734" s="22"/>
      <c r="C734" s="12"/>
      <c r="D734" s="12"/>
      <c r="E734" s="155"/>
      <c r="F734" s="22"/>
      <c r="G734" s="1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</row>
    <row r="735" spans="1:89" ht="15.75" customHeight="1" x14ac:dyDescent="0.45">
      <c r="A735" s="22"/>
      <c r="B735" s="22"/>
      <c r="C735" s="12"/>
      <c r="D735" s="12"/>
      <c r="E735" s="155"/>
      <c r="F735" s="22"/>
      <c r="G735" s="1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</row>
    <row r="736" spans="1:89" ht="15.75" customHeight="1" x14ac:dyDescent="0.45">
      <c r="A736" s="22"/>
      <c r="B736" s="22"/>
      <c r="C736" s="12"/>
      <c r="D736" s="12"/>
      <c r="E736" s="155"/>
      <c r="F736" s="22"/>
      <c r="G736" s="1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</row>
    <row r="737" spans="1:89" ht="15.75" customHeight="1" x14ac:dyDescent="0.45">
      <c r="A737" s="22"/>
      <c r="B737" s="22"/>
      <c r="C737" s="12"/>
      <c r="D737" s="12"/>
      <c r="E737" s="155"/>
      <c r="F737" s="22"/>
      <c r="G737" s="1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</row>
    <row r="738" spans="1:89" ht="15.75" customHeight="1" x14ac:dyDescent="0.45">
      <c r="A738" s="22"/>
      <c r="B738" s="22"/>
      <c r="C738" s="12"/>
      <c r="D738" s="12"/>
      <c r="E738" s="155"/>
      <c r="F738" s="22"/>
      <c r="G738" s="1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</row>
    <row r="739" spans="1:89" ht="15.75" customHeight="1" x14ac:dyDescent="0.45">
      <c r="A739" s="22"/>
      <c r="B739" s="22"/>
      <c r="C739" s="12"/>
      <c r="D739" s="12"/>
      <c r="E739" s="155"/>
      <c r="F739" s="22"/>
      <c r="G739" s="1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</row>
    <row r="740" spans="1:89" ht="15.75" customHeight="1" x14ac:dyDescent="0.45">
      <c r="A740" s="22"/>
      <c r="B740" s="22"/>
      <c r="C740" s="12"/>
      <c r="D740" s="12"/>
      <c r="E740" s="155"/>
      <c r="F740" s="22"/>
      <c r="G740" s="1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</row>
    <row r="741" spans="1:89" ht="15.75" customHeight="1" x14ac:dyDescent="0.45">
      <c r="A741" s="22"/>
      <c r="B741" s="22"/>
      <c r="C741" s="12"/>
      <c r="D741" s="12"/>
      <c r="E741" s="155"/>
      <c r="F741" s="22"/>
      <c r="G741" s="1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</row>
    <row r="742" spans="1:89" ht="15.75" customHeight="1" x14ac:dyDescent="0.45">
      <c r="A742" s="22"/>
      <c r="B742" s="22"/>
      <c r="C742" s="12"/>
      <c r="D742" s="12"/>
      <c r="E742" s="155"/>
      <c r="F742" s="22"/>
      <c r="G742" s="1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</row>
    <row r="743" spans="1:89" ht="15.75" customHeight="1" x14ac:dyDescent="0.45">
      <c r="A743" s="22"/>
      <c r="B743" s="22"/>
      <c r="C743" s="12"/>
      <c r="D743" s="12"/>
      <c r="E743" s="155"/>
      <c r="F743" s="22"/>
      <c r="G743" s="1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</row>
    <row r="744" spans="1:89" ht="15.75" customHeight="1" x14ac:dyDescent="0.45">
      <c r="A744" s="22"/>
      <c r="B744" s="22"/>
      <c r="C744" s="12"/>
      <c r="D744" s="12"/>
      <c r="E744" s="155"/>
      <c r="F744" s="22"/>
      <c r="G744" s="1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</row>
    <row r="745" spans="1:89" ht="15.75" customHeight="1" x14ac:dyDescent="0.45">
      <c r="A745" s="22"/>
      <c r="B745" s="22"/>
      <c r="C745" s="12"/>
      <c r="D745" s="12"/>
      <c r="E745" s="155"/>
      <c r="F745" s="22"/>
      <c r="G745" s="1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</row>
    <row r="746" spans="1:89" ht="15.75" customHeight="1" x14ac:dyDescent="0.45">
      <c r="A746" s="22"/>
      <c r="B746" s="22"/>
      <c r="C746" s="12"/>
      <c r="D746" s="12"/>
      <c r="E746" s="155"/>
      <c r="F746" s="22"/>
      <c r="G746" s="1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</row>
    <row r="747" spans="1:89" ht="15.75" customHeight="1" x14ac:dyDescent="0.45">
      <c r="A747" s="22"/>
      <c r="B747" s="22"/>
      <c r="C747" s="12"/>
      <c r="D747" s="12"/>
      <c r="E747" s="155"/>
      <c r="F747" s="22"/>
      <c r="G747" s="1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</row>
    <row r="748" spans="1:89" ht="15.75" customHeight="1" x14ac:dyDescent="0.45">
      <c r="A748" s="22"/>
      <c r="B748" s="22"/>
      <c r="C748" s="12"/>
      <c r="D748" s="12"/>
      <c r="E748" s="155"/>
      <c r="F748" s="22"/>
      <c r="G748" s="1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</row>
    <row r="749" spans="1:89" ht="15.75" customHeight="1" x14ac:dyDescent="0.45">
      <c r="A749" s="22"/>
      <c r="B749" s="22"/>
      <c r="C749" s="12"/>
      <c r="D749" s="12"/>
      <c r="E749" s="155"/>
      <c r="F749" s="22"/>
      <c r="G749" s="1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</row>
    <row r="750" spans="1:89" ht="15.75" customHeight="1" x14ac:dyDescent="0.45">
      <c r="A750" s="22"/>
      <c r="B750" s="22"/>
      <c r="C750" s="12"/>
      <c r="D750" s="12"/>
      <c r="E750" s="155"/>
      <c r="F750" s="22"/>
      <c r="G750" s="1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</row>
    <row r="751" spans="1:89" ht="15.75" customHeight="1" x14ac:dyDescent="0.45">
      <c r="A751" s="22"/>
      <c r="B751" s="22"/>
      <c r="C751" s="12"/>
      <c r="D751" s="12"/>
      <c r="E751" s="155"/>
      <c r="F751" s="22"/>
      <c r="G751" s="1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</row>
    <row r="752" spans="1:89" ht="15.75" customHeight="1" x14ac:dyDescent="0.45">
      <c r="A752" s="22"/>
      <c r="B752" s="22"/>
      <c r="C752" s="12"/>
      <c r="D752" s="12"/>
      <c r="E752" s="155"/>
      <c r="F752" s="22"/>
      <c r="G752" s="1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</row>
    <row r="753" spans="1:89" ht="15.75" customHeight="1" x14ac:dyDescent="0.45">
      <c r="A753" s="22"/>
      <c r="B753" s="22"/>
      <c r="C753" s="12"/>
      <c r="D753" s="12"/>
      <c r="E753" s="155"/>
      <c r="F753" s="22"/>
      <c r="G753" s="1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</row>
    <row r="754" spans="1:89" ht="15.75" customHeight="1" x14ac:dyDescent="0.45">
      <c r="A754" s="22"/>
      <c r="B754" s="22"/>
      <c r="C754" s="12"/>
      <c r="D754" s="12"/>
      <c r="E754" s="155"/>
      <c r="F754" s="22"/>
      <c r="G754" s="1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</row>
    <row r="755" spans="1:89" ht="15.75" customHeight="1" x14ac:dyDescent="0.45">
      <c r="A755" s="22"/>
      <c r="B755" s="22"/>
      <c r="C755" s="12"/>
      <c r="D755" s="12"/>
      <c r="E755" s="155"/>
      <c r="F755" s="22"/>
      <c r="G755" s="1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</row>
    <row r="756" spans="1:89" ht="15.75" customHeight="1" x14ac:dyDescent="0.45">
      <c r="A756" s="22"/>
      <c r="B756" s="22"/>
      <c r="C756" s="12"/>
      <c r="D756" s="12"/>
      <c r="E756" s="155"/>
      <c r="F756" s="22"/>
      <c r="G756" s="1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</row>
    <row r="757" spans="1:89" ht="15.75" customHeight="1" x14ac:dyDescent="0.45">
      <c r="A757" s="22"/>
      <c r="B757" s="22"/>
      <c r="C757" s="12"/>
      <c r="D757" s="12"/>
      <c r="E757" s="155"/>
      <c r="F757" s="22"/>
      <c r="G757" s="1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</row>
    <row r="758" spans="1:89" ht="15.75" customHeight="1" x14ac:dyDescent="0.45">
      <c r="A758" s="22"/>
      <c r="B758" s="22"/>
      <c r="C758" s="12"/>
      <c r="D758" s="12"/>
      <c r="E758" s="155"/>
      <c r="F758" s="22"/>
      <c r="G758" s="1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</row>
    <row r="759" spans="1:89" ht="15.75" customHeight="1" x14ac:dyDescent="0.45">
      <c r="A759" s="22"/>
      <c r="B759" s="22"/>
      <c r="C759" s="12"/>
      <c r="D759" s="12"/>
      <c r="E759" s="155"/>
      <c r="F759" s="22"/>
      <c r="G759" s="1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</row>
    <row r="760" spans="1:89" ht="15.75" customHeight="1" x14ac:dyDescent="0.45">
      <c r="A760" s="22"/>
      <c r="B760" s="22"/>
      <c r="C760" s="12"/>
      <c r="D760" s="12"/>
      <c r="E760" s="155"/>
      <c r="F760" s="22"/>
      <c r="G760" s="1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</row>
    <row r="761" spans="1:89" ht="15.75" customHeight="1" x14ac:dyDescent="0.45">
      <c r="A761" s="22"/>
      <c r="B761" s="22"/>
      <c r="C761" s="12"/>
      <c r="D761" s="12"/>
      <c r="E761" s="155"/>
      <c r="F761" s="22"/>
      <c r="G761" s="1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</row>
    <row r="762" spans="1:89" ht="15.75" customHeight="1" x14ac:dyDescent="0.45">
      <c r="A762" s="22"/>
      <c r="B762" s="22"/>
      <c r="C762" s="12"/>
      <c r="D762" s="12"/>
      <c r="E762" s="155"/>
      <c r="F762" s="22"/>
      <c r="G762" s="1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</row>
    <row r="763" spans="1:89" ht="15.75" customHeight="1" x14ac:dyDescent="0.45">
      <c r="A763" s="22"/>
      <c r="B763" s="22"/>
      <c r="C763" s="12"/>
      <c r="D763" s="12"/>
      <c r="E763" s="155"/>
      <c r="F763" s="22"/>
      <c r="G763" s="1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</row>
    <row r="764" spans="1:89" ht="15.75" customHeight="1" x14ac:dyDescent="0.45">
      <c r="A764" s="22"/>
      <c r="B764" s="22"/>
      <c r="C764" s="12"/>
      <c r="D764" s="12"/>
      <c r="E764" s="155"/>
      <c r="F764" s="22"/>
      <c r="G764" s="1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</row>
    <row r="765" spans="1:89" ht="15.75" customHeight="1" x14ac:dyDescent="0.45">
      <c r="A765" s="22"/>
      <c r="B765" s="22"/>
      <c r="C765" s="12"/>
      <c r="D765" s="12"/>
      <c r="E765" s="155"/>
      <c r="F765" s="22"/>
      <c r="G765" s="1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</row>
    <row r="766" spans="1:89" ht="15.75" customHeight="1" x14ac:dyDescent="0.45">
      <c r="A766" s="22"/>
      <c r="B766" s="22"/>
      <c r="C766" s="12"/>
      <c r="D766" s="12"/>
      <c r="E766" s="155"/>
      <c r="F766" s="22"/>
      <c r="G766" s="1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</row>
    <row r="767" spans="1:89" ht="15.75" customHeight="1" x14ac:dyDescent="0.45">
      <c r="A767" s="22"/>
      <c r="B767" s="22"/>
      <c r="C767" s="12"/>
      <c r="D767" s="12"/>
      <c r="E767" s="155"/>
      <c r="F767" s="22"/>
      <c r="G767" s="1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</row>
    <row r="768" spans="1:89" ht="15.75" customHeight="1" x14ac:dyDescent="0.45">
      <c r="A768" s="22"/>
      <c r="B768" s="22"/>
      <c r="C768" s="12"/>
      <c r="D768" s="12"/>
      <c r="E768" s="155"/>
      <c r="F768" s="22"/>
      <c r="G768" s="1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</row>
    <row r="769" spans="1:89" ht="15.75" customHeight="1" x14ac:dyDescent="0.45">
      <c r="A769" s="22"/>
      <c r="B769" s="22"/>
      <c r="C769" s="12"/>
      <c r="D769" s="12"/>
      <c r="E769" s="155"/>
      <c r="F769" s="22"/>
      <c r="G769" s="1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</row>
    <row r="770" spans="1:89" ht="15.75" customHeight="1" x14ac:dyDescent="0.45">
      <c r="A770" s="22"/>
      <c r="B770" s="22"/>
      <c r="C770" s="12"/>
      <c r="D770" s="12"/>
      <c r="E770" s="155"/>
      <c r="F770" s="22"/>
      <c r="G770" s="1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</row>
    <row r="771" spans="1:89" ht="15.75" customHeight="1" x14ac:dyDescent="0.45">
      <c r="A771" s="22"/>
      <c r="B771" s="22"/>
      <c r="C771" s="12"/>
      <c r="D771" s="12"/>
      <c r="E771" s="155"/>
      <c r="F771" s="22"/>
      <c r="G771" s="1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</row>
    <row r="772" spans="1:89" ht="15.75" customHeight="1" x14ac:dyDescent="0.45">
      <c r="A772" s="22"/>
      <c r="B772" s="22"/>
      <c r="C772" s="12"/>
      <c r="D772" s="12"/>
      <c r="E772" s="155"/>
      <c r="F772" s="22"/>
      <c r="G772" s="1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</row>
    <row r="773" spans="1:89" ht="15.75" customHeight="1" x14ac:dyDescent="0.45">
      <c r="A773" s="22"/>
      <c r="B773" s="22"/>
      <c r="C773" s="12"/>
      <c r="D773" s="12"/>
      <c r="E773" s="155"/>
      <c r="F773" s="22"/>
      <c r="G773" s="1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</row>
    <row r="774" spans="1:89" ht="15.75" customHeight="1" x14ac:dyDescent="0.45">
      <c r="A774" s="22"/>
      <c r="B774" s="22"/>
      <c r="C774" s="12"/>
      <c r="D774" s="12"/>
      <c r="E774" s="155"/>
      <c r="F774" s="22"/>
      <c r="G774" s="1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</row>
    <row r="775" spans="1:89" ht="15.75" customHeight="1" x14ac:dyDescent="0.45">
      <c r="A775" s="22"/>
      <c r="B775" s="22"/>
      <c r="C775" s="12"/>
      <c r="D775" s="12"/>
      <c r="E775" s="155"/>
      <c r="F775" s="22"/>
      <c r="G775" s="1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</row>
    <row r="776" spans="1:89" ht="15.75" customHeight="1" x14ac:dyDescent="0.45">
      <c r="A776" s="22"/>
      <c r="B776" s="22"/>
      <c r="C776" s="12"/>
      <c r="D776" s="12"/>
      <c r="E776" s="155"/>
      <c r="F776" s="22"/>
      <c r="G776" s="1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</row>
    <row r="777" spans="1:89" ht="15.75" customHeight="1" x14ac:dyDescent="0.45">
      <c r="A777" s="22"/>
      <c r="B777" s="22"/>
      <c r="C777" s="12"/>
      <c r="D777" s="12"/>
      <c r="E777" s="155"/>
      <c r="F777" s="22"/>
      <c r="G777" s="1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</row>
    <row r="778" spans="1:89" ht="15.75" customHeight="1" x14ac:dyDescent="0.45">
      <c r="A778" s="22"/>
      <c r="B778" s="22"/>
      <c r="C778" s="12"/>
      <c r="D778" s="12"/>
      <c r="E778" s="155"/>
      <c r="F778" s="22"/>
      <c r="G778" s="1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</row>
    <row r="779" spans="1:89" ht="15.75" customHeight="1" x14ac:dyDescent="0.45">
      <c r="A779" s="22"/>
      <c r="B779" s="22"/>
      <c r="C779" s="12"/>
      <c r="D779" s="12"/>
      <c r="E779" s="155"/>
      <c r="F779" s="22"/>
      <c r="G779" s="1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</row>
    <row r="780" spans="1:89" ht="15.75" customHeight="1" x14ac:dyDescent="0.45">
      <c r="A780" s="22"/>
      <c r="B780" s="22"/>
      <c r="C780" s="12"/>
      <c r="D780" s="12"/>
      <c r="E780" s="155"/>
      <c r="F780" s="22"/>
      <c r="G780" s="1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</row>
    <row r="781" spans="1:89" ht="15.75" customHeight="1" x14ac:dyDescent="0.45">
      <c r="A781" s="22"/>
      <c r="B781" s="22"/>
      <c r="C781" s="12"/>
      <c r="D781" s="12"/>
      <c r="E781" s="155"/>
      <c r="F781" s="22"/>
      <c r="G781" s="1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</row>
    <row r="782" spans="1:89" ht="15.75" customHeight="1" x14ac:dyDescent="0.45">
      <c r="A782" s="22"/>
      <c r="B782" s="22"/>
      <c r="C782" s="12"/>
      <c r="D782" s="12"/>
      <c r="E782" s="155"/>
      <c r="F782" s="22"/>
      <c r="G782" s="1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</row>
    <row r="783" spans="1:89" ht="15.75" customHeight="1" x14ac:dyDescent="0.45">
      <c r="A783" s="22"/>
      <c r="B783" s="22"/>
      <c r="C783" s="12"/>
      <c r="D783" s="12"/>
      <c r="E783" s="155"/>
      <c r="F783" s="22"/>
      <c r="G783" s="1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</row>
    <row r="784" spans="1:89" ht="15.75" customHeight="1" x14ac:dyDescent="0.45">
      <c r="A784" s="22"/>
      <c r="B784" s="22"/>
      <c r="C784" s="12"/>
      <c r="D784" s="12"/>
      <c r="E784" s="155"/>
      <c r="F784" s="22"/>
      <c r="G784" s="1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</row>
    <row r="785" spans="1:89" ht="15.75" customHeight="1" x14ac:dyDescent="0.45">
      <c r="A785" s="22"/>
      <c r="B785" s="22"/>
      <c r="C785" s="12"/>
      <c r="D785" s="12"/>
      <c r="E785" s="155"/>
      <c r="F785" s="22"/>
      <c r="G785" s="1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</row>
    <row r="786" spans="1:89" ht="15.75" customHeight="1" x14ac:dyDescent="0.45">
      <c r="A786" s="22"/>
      <c r="B786" s="22"/>
      <c r="C786" s="12"/>
      <c r="D786" s="12"/>
      <c r="E786" s="155"/>
      <c r="F786" s="22"/>
      <c r="G786" s="1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</row>
    <row r="787" spans="1:89" ht="15.75" customHeight="1" x14ac:dyDescent="0.45">
      <c r="A787" s="22"/>
      <c r="B787" s="22"/>
      <c r="C787" s="12"/>
      <c r="D787" s="12"/>
      <c r="E787" s="155"/>
      <c r="F787" s="22"/>
      <c r="G787" s="1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</row>
    <row r="788" spans="1:89" ht="15.75" customHeight="1" x14ac:dyDescent="0.45">
      <c r="A788" s="22"/>
      <c r="B788" s="22"/>
      <c r="C788" s="12"/>
      <c r="D788" s="12"/>
      <c r="E788" s="155"/>
      <c r="F788" s="22"/>
      <c r="G788" s="1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</row>
    <row r="789" spans="1:89" ht="15.75" customHeight="1" x14ac:dyDescent="0.45">
      <c r="A789" s="22"/>
      <c r="B789" s="22"/>
      <c r="C789" s="12"/>
      <c r="D789" s="12"/>
      <c r="E789" s="155"/>
      <c r="F789" s="22"/>
      <c r="G789" s="1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</row>
    <row r="790" spans="1:89" ht="15.75" customHeight="1" x14ac:dyDescent="0.45">
      <c r="A790" s="22"/>
      <c r="B790" s="22"/>
      <c r="C790" s="12"/>
      <c r="D790" s="12"/>
      <c r="E790" s="155"/>
      <c r="F790" s="22"/>
      <c r="G790" s="1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</row>
    <row r="791" spans="1:89" ht="15.75" customHeight="1" x14ac:dyDescent="0.45">
      <c r="A791" s="22"/>
      <c r="B791" s="22"/>
      <c r="C791" s="12"/>
      <c r="D791" s="12"/>
      <c r="E791" s="155"/>
      <c r="F791" s="22"/>
      <c r="G791" s="1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</row>
    <row r="792" spans="1:89" ht="15.75" customHeight="1" x14ac:dyDescent="0.45">
      <c r="A792" s="22"/>
      <c r="B792" s="22"/>
      <c r="C792" s="12"/>
      <c r="D792" s="12"/>
      <c r="E792" s="155"/>
      <c r="F792" s="22"/>
      <c r="G792" s="1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</row>
    <row r="793" spans="1:89" ht="15.75" customHeight="1" x14ac:dyDescent="0.45">
      <c r="A793" s="22"/>
      <c r="B793" s="22"/>
      <c r="C793" s="12"/>
      <c r="D793" s="12"/>
      <c r="E793" s="155"/>
      <c r="F793" s="22"/>
      <c r="G793" s="1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</row>
    <row r="794" spans="1:89" ht="15.75" customHeight="1" x14ac:dyDescent="0.45">
      <c r="A794" s="22"/>
      <c r="B794" s="22"/>
      <c r="C794" s="12"/>
      <c r="D794" s="12"/>
      <c r="E794" s="155"/>
      <c r="F794" s="22"/>
      <c r="G794" s="1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</row>
    <row r="795" spans="1:89" ht="15.75" customHeight="1" x14ac:dyDescent="0.45">
      <c r="A795" s="22"/>
      <c r="B795" s="22"/>
      <c r="C795" s="12"/>
      <c r="D795" s="12"/>
      <c r="E795" s="155"/>
      <c r="F795" s="22"/>
      <c r="G795" s="1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</row>
    <row r="796" spans="1:89" ht="15.75" customHeight="1" x14ac:dyDescent="0.45">
      <c r="A796" s="22"/>
      <c r="B796" s="22"/>
      <c r="C796" s="12"/>
      <c r="D796" s="12"/>
      <c r="E796" s="155"/>
      <c r="F796" s="22"/>
      <c r="G796" s="1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</row>
    <row r="797" spans="1:89" ht="15.75" customHeight="1" x14ac:dyDescent="0.45">
      <c r="A797" s="22"/>
      <c r="B797" s="22"/>
      <c r="C797" s="12"/>
      <c r="D797" s="12"/>
      <c r="E797" s="155"/>
      <c r="F797" s="22"/>
      <c r="G797" s="1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</row>
    <row r="798" spans="1:89" ht="15.75" customHeight="1" x14ac:dyDescent="0.45">
      <c r="A798" s="22"/>
      <c r="B798" s="22"/>
      <c r="C798" s="12"/>
      <c r="D798" s="12"/>
      <c r="E798" s="155"/>
      <c r="F798" s="22"/>
      <c r="G798" s="1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</row>
    <row r="799" spans="1:89" ht="15.75" customHeight="1" x14ac:dyDescent="0.45">
      <c r="A799" s="22"/>
      <c r="B799" s="22"/>
      <c r="C799" s="12"/>
      <c r="D799" s="12"/>
      <c r="E799" s="155"/>
      <c r="F799" s="22"/>
      <c r="G799" s="1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</row>
    <row r="800" spans="1:89" ht="15.75" customHeight="1" x14ac:dyDescent="0.45">
      <c r="A800" s="22"/>
      <c r="B800" s="22"/>
      <c r="C800" s="12"/>
      <c r="D800" s="12"/>
      <c r="E800" s="155"/>
      <c r="F800" s="22"/>
      <c r="G800" s="1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</row>
    <row r="801" spans="1:89" ht="15.75" customHeight="1" x14ac:dyDescent="0.45">
      <c r="A801" s="22"/>
      <c r="B801" s="22"/>
      <c r="C801" s="12"/>
      <c r="D801" s="12"/>
      <c r="E801" s="155"/>
      <c r="F801" s="22"/>
      <c r="G801" s="1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</row>
    <row r="802" spans="1:89" ht="15.75" customHeight="1" x14ac:dyDescent="0.45">
      <c r="A802" s="22"/>
      <c r="B802" s="22"/>
      <c r="C802" s="12"/>
      <c r="D802" s="12"/>
      <c r="E802" s="155"/>
      <c r="F802" s="22"/>
      <c r="G802" s="1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</row>
    <row r="803" spans="1:89" ht="15.75" customHeight="1" x14ac:dyDescent="0.45">
      <c r="A803" s="22"/>
      <c r="B803" s="22"/>
      <c r="C803" s="12"/>
      <c r="D803" s="12"/>
      <c r="E803" s="155"/>
      <c r="F803" s="22"/>
      <c r="G803" s="1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</row>
    <row r="804" spans="1:89" ht="15.75" customHeight="1" x14ac:dyDescent="0.45">
      <c r="A804" s="22"/>
      <c r="B804" s="22"/>
      <c r="C804" s="12"/>
      <c r="D804" s="12"/>
      <c r="E804" s="155"/>
      <c r="F804" s="22"/>
      <c r="G804" s="1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</row>
    <row r="805" spans="1:89" ht="15.75" customHeight="1" x14ac:dyDescent="0.45">
      <c r="A805" s="22"/>
      <c r="B805" s="22"/>
      <c r="C805" s="12"/>
      <c r="D805" s="12"/>
      <c r="E805" s="155"/>
      <c r="F805" s="22"/>
      <c r="G805" s="1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</row>
    <row r="806" spans="1:89" ht="15.75" customHeight="1" x14ac:dyDescent="0.45">
      <c r="A806" s="22"/>
      <c r="B806" s="22"/>
      <c r="C806" s="12"/>
      <c r="D806" s="12"/>
      <c r="E806" s="155"/>
      <c r="F806" s="22"/>
      <c r="G806" s="1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</row>
    <row r="807" spans="1:89" ht="15.75" customHeight="1" x14ac:dyDescent="0.45">
      <c r="A807" s="22"/>
      <c r="B807" s="22"/>
      <c r="C807" s="12"/>
      <c r="D807" s="12"/>
      <c r="E807" s="155"/>
      <c r="F807" s="22"/>
      <c r="G807" s="1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</row>
    <row r="808" spans="1:89" ht="15.75" customHeight="1" x14ac:dyDescent="0.45">
      <c r="A808" s="22"/>
      <c r="B808" s="22"/>
      <c r="C808" s="12"/>
      <c r="D808" s="12"/>
      <c r="E808" s="155"/>
      <c r="F808" s="22"/>
      <c r="G808" s="1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</row>
    <row r="809" spans="1:89" ht="15.75" customHeight="1" x14ac:dyDescent="0.45">
      <c r="A809" s="22"/>
      <c r="B809" s="22"/>
      <c r="C809" s="12"/>
      <c r="D809" s="12"/>
      <c r="E809" s="155"/>
      <c r="F809" s="22"/>
      <c r="G809" s="1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</row>
    <row r="810" spans="1:89" ht="15.75" customHeight="1" x14ac:dyDescent="0.45">
      <c r="A810" s="22"/>
      <c r="B810" s="22"/>
      <c r="C810" s="12"/>
      <c r="D810" s="12"/>
      <c r="E810" s="155"/>
      <c r="F810" s="22"/>
      <c r="G810" s="1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</row>
    <row r="811" spans="1:89" ht="15.75" customHeight="1" x14ac:dyDescent="0.45">
      <c r="A811" s="22"/>
      <c r="B811" s="22"/>
      <c r="C811" s="12"/>
      <c r="D811" s="12"/>
      <c r="E811" s="155"/>
      <c r="F811" s="22"/>
      <c r="G811" s="1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</row>
    <row r="812" spans="1:89" ht="15.75" customHeight="1" x14ac:dyDescent="0.45">
      <c r="A812" s="22"/>
      <c r="B812" s="22"/>
      <c r="C812" s="12"/>
      <c r="D812" s="12"/>
      <c r="E812" s="155"/>
      <c r="F812" s="22"/>
      <c r="G812" s="1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</row>
    <row r="813" spans="1:89" ht="15.75" customHeight="1" x14ac:dyDescent="0.45">
      <c r="A813" s="22"/>
      <c r="B813" s="22"/>
      <c r="C813" s="12"/>
      <c r="D813" s="12"/>
      <c r="E813" s="155"/>
      <c r="F813" s="22"/>
      <c r="G813" s="1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</row>
    <row r="814" spans="1:89" ht="15.75" customHeight="1" x14ac:dyDescent="0.45">
      <c r="A814" s="22"/>
      <c r="B814" s="22"/>
      <c r="C814" s="12"/>
      <c r="D814" s="12"/>
      <c r="E814" s="155"/>
      <c r="F814" s="22"/>
      <c r="G814" s="1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</row>
    <row r="815" spans="1:89" ht="15.75" customHeight="1" x14ac:dyDescent="0.45">
      <c r="A815" s="22"/>
      <c r="B815" s="22"/>
      <c r="C815" s="12"/>
      <c r="D815" s="12"/>
      <c r="E815" s="155"/>
      <c r="F815" s="22"/>
      <c r="G815" s="1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</row>
    <row r="816" spans="1:89" ht="15.75" customHeight="1" x14ac:dyDescent="0.45">
      <c r="A816" s="22"/>
      <c r="B816" s="22"/>
      <c r="C816" s="12"/>
      <c r="D816" s="12"/>
      <c r="E816" s="155"/>
      <c r="F816" s="22"/>
      <c r="G816" s="1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</row>
    <row r="817" spans="1:89" ht="15.75" customHeight="1" x14ac:dyDescent="0.45">
      <c r="A817" s="22"/>
      <c r="B817" s="22"/>
      <c r="C817" s="12"/>
      <c r="D817" s="12"/>
      <c r="E817" s="155"/>
      <c r="F817" s="22"/>
      <c r="G817" s="1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</row>
    <row r="818" spans="1:89" ht="15.75" customHeight="1" x14ac:dyDescent="0.45">
      <c r="A818" s="22"/>
      <c r="B818" s="22"/>
      <c r="C818" s="12"/>
      <c r="D818" s="12"/>
      <c r="E818" s="155"/>
      <c r="F818" s="22"/>
      <c r="G818" s="1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</row>
    <row r="819" spans="1:89" ht="15.75" customHeight="1" x14ac:dyDescent="0.45">
      <c r="A819" s="22"/>
      <c r="B819" s="22"/>
      <c r="C819" s="12"/>
      <c r="D819" s="12"/>
      <c r="E819" s="155"/>
      <c r="F819" s="22"/>
      <c r="G819" s="1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</row>
    <row r="820" spans="1:89" ht="15.75" customHeight="1" x14ac:dyDescent="0.45">
      <c r="A820" s="22"/>
      <c r="B820" s="22"/>
      <c r="C820" s="12"/>
      <c r="D820" s="12"/>
      <c r="E820" s="155"/>
      <c r="F820" s="22"/>
      <c r="G820" s="1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</row>
    <row r="821" spans="1:89" ht="15.75" customHeight="1" x14ac:dyDescent="0.45">
      <c r="A821" s="22"/>
      <c r="B821" s="22"/>
      <c r="C821" s="12"/>
      <c r="D821" s="12"/>
      <c r="E821" s="155"/>
      <c r="F821" s="22"/>
      <c r="G821" s="1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</row>
    <row r="822" spans="1:89" ht="15.75" customHeight="1" x14ac:dyDescent="0.45">
      <c r="A822" s="22"/>
      <c r="B822" s="22"/>
      <c r="C822" s="12"/>
      <c r="D822" s="12"/>
      <c r="E822" s="155"/>
      <c r="F822" s="22"/>
      <c r="G822" s="1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</row>
    <row r="823" spans="1:89" ht="15.75" customHeight="1" x14ac:dyDescent="0.45">
      <c r="A823" s="22"/>
      <c r="B823" s="22"/>
      <c r="C823" s="12"/>
      <c r="D823" s="12"/>
      <c r="E823" s="155"/>
      <c r="F823" s="22"/>
      <c r="G823" s="1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</row>
    <row r="824" spans="1:89" ht="15.75" customHeight="1" x14ac:dyDescent="0.45">
      <c r="A824" s="22"/>
      <c r="B824" s="22"/>
      <c r="C824" s="12"/>
      <c r="D824" s="12"/>
      <c r="E824" s="155"/>
      <c r="F824" s="22"/>
      <c r="G824" s="1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</row>
    <row r="825" spans="1:89" ht="15.75" customHeight="1" x14ac:dyDescent="0.45">
      <c r="A825" s="22"/>
      <c r="B825" s="22"/>
      <c r="C825" s="12"/>
      <c r="D825" s="12"/>
      <c r="E825" s="155"/>
      <c r="F825" s="22"/>
      <c r="G825" s="1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</row>
    <row r="826" spans="1:89" ht="15.75" customHeight="1" x14ac:dyDescent="0.45">
      <c r="A826" s="22"/>
      <c r="B826" s="22"/>
      <c r="C826" s="12"/>
      <c r="D826" s="12"/>
      <c r="E826" s="155"/>
      <c r="F826" s="22"/>
      <c r="G826" s="1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</row>
    <row r="827" spans="1:89" ht="15.75" customHeight="1" x14ac:dyDescent="0.45">
      <c r="A827" s="22"/>
      <c r="B827" s="22"/>
      <c r="C827" s="12"/>
      <c r="D827" s="12"/>
      <c r="E827" s="155"/>
      <c r="F827" s="22"/>
      <c r="G827" s="1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</row>
    <row r="828" spans="1:89" ht="15.75" customHeight="1" x14ac:dyDescent="0.45">
      <c r="A828" s="22"/>
      <c r="B828" s="22"/>
      <c r="C828" s="12"/>
      <c r="D828" s="12"/>
      <c r="E828" s="155"/>
      <c r="F828" s="22"/>
      <c r="G828" s="1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</row>
    <row r="829" spans="1:89" ht="15.75" customHeight="1" x14ac:dyDescent="0.45">
      <c r="A829" s="22"/>
      <c r="B829" s="22"/>
      <c r="C829" s="12"/>
      <c r="D829" s="12"/>
      <c r="E829" s="155"/>
      <c r="F829" s="22"/>
      <c r="G829" s="1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</row>
    <row r="830" spans="1:89" ht="15.75" customHeight="1" x14ac:dyDescent="0.45">
      <c r="A830" s="22"/>
      <c r="B830" s="22"/>
      <c r="C830" s="12"/>
      <c r="D830" s="12"/>
      <c r="E830" s="155"/>
      <c r="F830" s="22"/>
      <c r="G830" s="1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</row>
    <row r="831" spans="1:89" ht="15.75" customHeight="1" x14ac:dyDescent="0.45">
      <c r="A831" s="22"/>
      <c r="B831" s="22"/>
      <c r="C831" s="12"/>
      <c r="D831" s="12"/>
      <c r="E831" s="155"/>
      <c r="F831" s="22"/>
      <c r="G831" s="1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</row>
    <row r="832" spans="1:89" ht="15.75" customHeight="1" x14ac:dyDescent="0.45">
      <c r="A832" s="22"/>
      <c r="B832" s="22"/>
      <c r="C832" s="12"/>
      <c r="D832" s="12"/>
      <c r="E832" s="155"/>
      <c r="F832" s="22"/>
      <c r="G832" s="1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</row>
    <row r="833" spans="1:89" ht="15.75" customHeight="1" x14ac:dyDescent="0.45">
      <c r="A833" s="22"/>
      <c r="B833" s="22"/>
      <c r="C833" s="12"/>
      <c r="D833" s="12"/>
      <c r="E833" s="155"/>
      <c r="F833" s="22"/>
      <c r="G833" s="1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</row>
    <row r="834" spans="1:89" ht="15.75" customHeight="1" x14ac:dyDescent="0.45">
      <c r="A834" s="22"/>
      <c r="B834" s="22"/>
      <c r="C834" s="12"/>
      <c r="D834" s="12"/>
      <c r="E834" s="155"/>
      <c r="F834" s="22"/>
      <c r="G834" s="1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</row>
    <row r="835" spans="1:89" ht="15.75" customHeight="1" x14ac:dyDescent="0.45">
      <c r="A835" s="22"/>
      <c r="B835" s="22"/>
      <c r="C835" s="12"/>
      <c r="D835" s="12"/>
      <c r="E835" s="155"/>
      <c r="F835" s="22"/>
      <c r="G835" s="1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</row>
    <row r="836" spans="1:89" ht="15.75" customHeight="1" x14ac:dyDescent="0.45">
      <c r="A836" s="22"/>
      <c r="B836" s="22"/>
      <c r="C836" s="12"/>
      <c r="D836" s="12"/>
      <c r="E836" s="155"/>
      <c r="F836" s="22"/>
      <c r="G836" s="1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</row>
    <row r="837" spans="1:89" ht="15.75" customHeight="1" x14ac:dyDescent="0.45">
      <c r="A837" s="22"/>
      <c r="B837" s="22"/>
      <c r="C837" s="12"/>
      <c r="D837" s="12"/>
      <c r="E837" s="155"/>
      <c r="F837" s="22"/>
      <c r="G837" s="1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</row>
    <row r="838" spans="1:89" ht="15.75" customHeight="1" x14ac:dyDescent="0.45">
      <c r="A838" s="22"/>
      <c r="B838" s="22"/>
      <c r="C838" s="12"/>
      <c r="D838" s="12"/>
      <c r="E838" s="155"/>
      <c r="F838" s="22"/>
      <c r="G838" s="1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</row>
    <row r="839" spans="1:89" ht="15.75" customHeight="1" x14ac:dyDescent="0.45">
      <c r="A839" s="22"/>
      <c r="B839" s="22"/>
      <c r="C839" s="12"/>
      <c r="D839" s="12"/>
      <c r="E839" s="155"/>
      <c r="F839" s="22"/>
      <c r="G839" s="1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</row>
    <row r="840" spans="1:89" ht="15.75" customHeight="1" x14ac:dyDescent="0.45">
      <c r="A840" s="22"/>
      <c r="B840" s="22"/>
      <c r="C840" s="12"/>
      <c r="D840" s="12"/>
      <c r="E840" s="155"/>
      <c r="F840" s="22"/>
      <c r="G840" s="1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</row>
    <row r="841" spans="1:89" ht="15.75" customHeight="1" x14ac:dyDescent="0.45">
      <c r="A841" s="22"/>
      <c r="B841" s="22"/>
      <c r="C841" s="12"/>
      <c r="D841" s="12"/>
      <c r="E841" s="155"/>
      <c r="F841" s="22"/>
      <c r="G841" s="1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</row>
    <row r="842" spans="1:89" ht="15.75" customHeight="1" x14ac:dyDescent="0.45">
      <c r="A842" s="22"/>
      <c r="B842" s="22"/>
      <c r="C842" s="12"/>
      <c r="D842" s="12"/>
      <c r="E842" s="155"/>
      <c r="F842" s="22"/>
      <c r="G842" s="1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</row>
    <row r="843" spans="1:89" ht="15.75" customHeight="1" x14ac:dyDescent="0.45">
      <c r="A843" s="22"/>
      <c r="B843" s="22"/>
      <c r="C843" s="12"/>
      <c r="D843" s="12"/>
      <c r="E843" s="155"/>
      <c r="F843" s="22"/>
      <c r="G843" s="1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</row>
    <row r="844" spans="1:89" ht="15.75" customHeight="1" x14ac:dyDescent="0.45">
      <c r="A844" s="22"/>
      <c r="B844" s="22"/>
      <c r="C844" s="12"/>
      <c r="D844" s="12"/>
      <c r="E844" s="155"/>
      <c r="F844" s="22"/>
      <c r="G844" s="1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</row>
    <row r="845" spans="1:89" ht="15.75" customHeight="1" x14ac:dyDescent="0.45">
      <c r="A845" s="22"/>
      <c r="B845" s="22"/>
      <c r="C845" s="12"/>
      <c r="D845" s="12"/>
      <c r="E845" s="155"/>
      <c r="F845" s="22"/>
      <c r="G845" s="1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</row>
    <row r="846" spans="1:89" ht="15.75" customHeight="1" x14ac:dyDescent="0.45">
      <c r="A846" s="22"/>
      <c r="B846" s="22"/>
      <c r="C846" s="12"/>
      <c r="D846" s="12"/>
      <c r="E846" s="155"/>
      <c r="F846" s="22"/>
      <c r="G846" s="1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</row>
    <row r="847" spans="1:89" ht="15.75" customHeight="1" x14ac:dyDescent="0.45">
      <c r="A847" s="22"/>
      <c r="B847" s="22"/>
      <c r="C847" s="12"/>
      <c r="D847" s="12"/>
      <c r="E847" s="155"/>
      <c r="F847" s="22"/>
      <c r="G847" s="1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</row>
    <row r="848" spans="1:89" ht="15.75" customHeight="1" x14ac:dyDescent="0.45">
      <c r="A848" s="22"/>
      <c r="B848" s="22"/>
      <c r="C848" s="12"/>
      <c r="D848" s="12"/>
      <c r="E848" s="155"/>
      <c r="F848" s="22"/>
      <c r="G848" s="1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</row>
    <row r="849" spans="1:89" ht="15.75" customHeight="1" x14ac:dyDescent="0.45">
      <c r="A849" s="22"/>
      <c r="B849" s="22"/>
      <c r="C849" s="12"/>
      <c r="D849" s="12"/>
      <c r="E849" s="155"/>
      <c r="F849" s="22"/>
      <c r="G849" s="1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</row>
    <row r="850" spans="1:89" ht="15.75" customHeight="1" x14ac:dyDescent="0.45">
      <c r="A850" s="22"/>
      <c r="B850" s="22"/>
      <c r="C850" s="12"/>
      <c r="D850" s="12"/>
      <c r="E850" s="155"/>
      <c r="F850" s="22"/>
      <c r="G850" s="1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</row>
    <row r="851" spans="1:89" ht="15.75" customHeight="1" x14ac:dyDescent="0.45">
      <c r="A851" s="22"/>
      <c r="B851" s="22"/>
      <c r="C851" s="12"/>
      <c r="D851" s="12"/>
      <c r="E851" s="155"/>
      <c r="F851" s="22"/>
      <c r="G851" s="1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</row>
    <row r="852" spans="1:89" ht="15.75" customHeight="1" x14ac:dyDescent="0.45">
      <c r="A852" s="22"/>
      <c r="B852" s="22"/>
      <c r="C852" s="12"/>
      <c r="D852" s="12"/>
      <c r="E852" s="155"/>
      <c r="F852" s="22"/>
      <c r="G852" s="1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</row>
    <row r="853" spans="1:89" ht="15.75" customHeight="1" x14ac:dyDescent="0.45">
      <c r="A853" s="22"/>
      <c r="B853" s="22"/>
      <c r="C853" s="12"/>
      <c r="D853" s="12"/>
      <c r="E853" s="155"/>
      <c r="F853" s="22"/>
      <c r="G853" s="1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</row>
    <row r="854" spans="1:89" ht="15.75" customHeight="1" x14ac:dyDescent="0.45">
      <c r="A854" s="22"/>
      <c r="B854" s="22"/>
      <c r="C854" s="12"/>
      <c r="D854" s="12"/>
      <c r="E854" s="155"/>
      <c r="F854" s="22"/>
      <c r="G854" s="1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</row>
    <row r="855" spans="1:89" ht="15.75" customHeight="1" x14ac:dyDescent="0.45">
      <c r="A855" s="22"/>
      <c r="B855" s="22"/>
      <c r="C855" s="12"/>
      <c r="D855" s="12"/>
      <c r="E855" s="155"/>
      <c r="F855" s="22"/>
      <c r="G855" s="1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</row>
    <row r="856" spans="1:89" ht="15.75" customHeight="1" x14ac:dyDescent="0.45">
      <c r="A856" s="22"/>
      <c r="B856" s="22"/>
      <c r="C856" s="12"/>
      <c r="D856" s="12"/>
      <c r="E856" s="155"/>
      <c r="F856" s="22"/>
      <c r="G856" s="1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</row>
    <row r="857" spans="1:89" ht="15.75" customHeight="1" x14ac:dyDescent="0.45">
      <c r="A857" s="22"/>
      <c r="B857" s="22"/>
      <c r="C857" s="12"/>
      <c r="D857" s="12"/>
      <c r="E857" s="155"/>
      <c r="F857" s="22"/>
      <c r="G857" s="1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</row>
    <row r="858" spans="1:89" ht="15.75" customHeight="1" x14ac:dyDescent="0.45">
      <c r="A858" s="22"/>
      <c r="B858" s="22"/>
      <c r="C858" s="12"/>
      <c r="D858" s="12"/>
      <c r="E858" s="155"/>
      <c r="F858" s="22"/>
      <c r="G858" s="1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</row>
    <row r="859" spans="1:89" ht="15.75" customHeight="1" x14ac:dyDescent="0.45">
      <c r="A859" s="22"/>
      <c r="B859" s="22"/>
      <c r="C859" s="12"/>
      <c r="D859" s="12"/>
      <c r="E859" s="155"/>
      <c r="F859" s="22"/>
      <c r="G859" s="1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</row>
    <row r="860" spans="1:89" ht="15.75" customHeight="1" x14ac:dyDescent="0.45">
      <c r="A860" s="22"/>
      <c r="B860" s="22"/>
      <c r="C860" s="12"/>
      <c r="D860" s="12"/>
      <c r="E860" s="155"/>
      <c r="F860" s="22"/>
      <c r="G860" s="1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</row>
    <row r="861" spans="1:89" ht="15.75" customHeight="1" x14ac:dyDescent="0.45">
      <c r="A861" s="22"/>
      <c r="B861" s="22"/>
      <c r="C861" s="12"/>
      <c r="D861" s="12"/>
      <c r="E861" s="155"/>
      <c r="F861" s="22"/>
      <c r="G861" s="1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</row>
    <row r="862" spans="1:89" ht="15.75" customHeight="1" x14ac:dyDescent="0.45">
      <c r="A862" s="22"/>
      <c r="B862" s="22"/>
      <c r="C862" s="12"/>
      <c r="D862" s="12"/>
      <c r="E862" s="155"/>
      <c r="F862" s="22"/>
      <c r="G862" s="1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</row>
    <row r="863" spans="1:89" ht="15.75" customHeight="1" x14ac:dyDescent="0.45">
      <c r="A863" s="22"/>
      <c r="B863" s="22"/>
      <c r="C863" s="12"/>
      <c r="D863" s="12"/>
      <c r="E863" s="155"/>
      <c r="F863" s="22"/>
      <c r="G863" s="1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</row>
    <row r="864" spans="1:89" ht="15.75" customHeight="1" x14ac:dyDescent="0.45">
      <c r="A864" s="22"/>
      <c r="B864" s="22"/>
      <c r="C864" s="12"/>
      <c r="D864" s="12"/>
      <c r="E864" s="155"/>
      <c r="F864" s="22"/>
      <c r="G864" s="1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</row>
    <row r="865" spans="1:89" ht="15.75" customHeight="1" x14ac:dyDescent="0.45">
      <c r="A865" s="22"/>
      <c r="B865" s="22"/>
      <c r="C865" s="12"/>
      <c r="D865" s="12"/>
      <c r="E865" s="155"/>
      <c r="F865" s="22"/>
      <c r="G865" s="1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</row>
    <row r="866" spans="1:89" ht="15.75" customHeight="1" x14ac:dyDescent="0.45">
      <c r="A866" s="22"/>
      <c r="B866" s="22"/>
      <c r="C866" s="12"/>
      <c r="D866" s="12"/>
      <c r="E866" s="155"/>
      <c r="F866" s="22"/>
      <c r="G866" s="1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</row>
    <row r="867" spans="1:89" ht="15.75" customHeight="1" x14ac:dyDescent="0.45">
      <c r="A867" s="22"/>
      <c r="B867" s="22"/>
      <c r="C867" s="12"/>
      <c r="D867" s="12"/>
      <c r="E867" s="155"/>
      <c r="F867" s="22"/>
      <c r="G867" s="1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</row>
    <row r="868" spans="1:89" ht="15.75" customHeight="1" x14ac:dyDescent="0.45">
      <c r="A868" s="22"/>
      <c r="B868" s="22"/>
      <c r="C868" s="12"/>
      <c r="D868" s="12"/>
      <c r="E868" s="155"/>
      <c r="F868" s="22"/>
      <c r="G868" s="1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</row>
    <row r="869" spans="1:89" ht="15.75" customHeight="1" x14ac:dyDescent="0.45">
      <c r="A869" s="22"/>
      <c r="B869" s="22"/>
      <c r="C869" s="12"/>
      <c r="D869" s="12"/>
      <c r="E869" s="155"/>
      <c r="F869" s="22"/>
      <c r="G869" s="1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</row>
    <row r="870" spans="1:89" ht="15.75" customHeight="1" x14ac:dyDescent="0.45">
      <c r="A870" s="22"/>
      <c r="B870" s="22"/>
      <c r="C870" s="12"/>
      <c r="D870" s="12"/>
      <c r="E870" s="155"/>
      <c r="F870" s="22"/>
      <c r="G870" s="1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</row>
    <row r="871" spans="1:89" ht="15.75" customHeight="1" x14ac:dyDescent="0.45">
      <c r="A871" s="22"/>
      <c r="B871" s="22"/>
      <c r="C871" s="12"/>
      <c r="D871" s="12"/>
      <c r="E871" s="155"/>
      <c r="F871" s="22"/>
      <c r="G871" s="1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</row>
    <row r="872" spans="1:89" ht="15.75" customHeight="1" x14ac:dyDescent="0.45">
      <c r="A872" s="22"/>
      <c r="B872" s="22"/>
      <c r="C872" s="12"/>
      <c r="D872" s="12"/>
      <c r="E872" s="155"/>
      <c r="F872" s="22"/>
      <c r="G872" s="1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</row>
    <row r="873" spans="1:89" ht="15.75" customHeight="1" x14ac:dyDescent="0.45">
      <c r="A873" s="22"/>
      <c r="B873" s="22"/>
      <c r="C873" s="12"/>
      <c r="D873" s="12"/>
      <c r="E873" s="155"/>
      <c r="F873" s="22"/>
      <c r="G873" s="1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</row>
    <row r="874" spans="1:89" ht="15.75" customHeight="1" x14ac:dyDescent="0.45">
      <c r="A874" s="22"/>
      <c r="B874" s="22"/>
      <c r="C874" s="12"/>
      <c r="D874" s="12"/>
      <c r="E874" s="155"/>
      <c r="F874" s="22"/>
      <c r="G874" s="1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</row>
    <row r="875" spans="1:89" ht="15.75" customHeight="1" x14ac:dyDescent="0.45">
      <c r="A875" s="22"/>
      <c r="B875" s="22"/>
      <c r="C875" s="12"/>
      <c r="D875" s="12"/>
      <c r="E875" s="155"/>
      <c r="F875" s="22"/>
      <c r="G875" s="1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</row>
    <row r="876" spans="1:89" ht="15.75" customHeight="1" x14ac:dyDescent="0.45">
      <c r="A876" s="22"/>
      <c r="B876" s="22"/>
      <c r="C876" s="12"/>
      <c r="D876" s="12"/>
      <c r="E876" s="155"/>
      <c r="F876" s="22"/>
      <c r="G876" s="1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</row>
    <row r="877" spans="1:89" ht="15.75" customHeight="1" x14ac:dyDescent="0.45">
      <c r="A877" s="22"/>
      <c r="B877" s="22"/>
      <c r="C877" s="12"/>
      <c r="D877" s="12"/>
      <c r="E877" s="155"/>
      <c r="F877" s="22"/>
      <c r="G877" s="1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</row>
    <row r="878" spans="1:89" ht="15.75" customHeight="1" x14ac:dyDescent="0.45">
      <c r="A878" s="22"/>
      <c r="B878" s="22"/>
      <c r="C878" s="12"/>
      <c r="D878" s="12"/>
      <c r="E878" s="155"/>
      <c r="F878" s="22"/>
      <c r="G878" s="1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</row>
    <row r="879" spans="1:89" ht="15.75" customHeight="1" x14ac:dyDescent="0.45">
      <c r="A879" s="22"/>
      <c r="B879" s="22"/>
      <c r="C879" s="12"/>
      <c r="D879" s="12"/>
      <c r="E879" s="155"/>
      <c r="F879" s="22"/>
      <c r="G879" s="1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</row>
    <row r="880" spans="1:89" ht="15.75" customHeight="1" x14ac:dyDescent="0.45">
      <c r="A880" s="22"/>
      <c r="B880" s="22"/>
      <c r="C880" s="12"/>
      <c r="D880" s="12"/>
      <c r="E880" s="155"/>
      <c r="F880" s="22"/>
      <c r="G880" s="1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</row>
    <row r="881" spans="1:89" ht="15.75" customHeight="1" x14ac:dyDescent="0.45">
      <c r="A881" s="22"/>
      <c r="B881" s="22"/>
      <c r="C881" s="12"/>
      <c r="D881" s="12"/>
      <c r="E881" s="155"/>
      <c r="F881" s="22"/>
      <c r="G881" s="1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</row>
    <row r="882" spans="1:89" ht="15.75" customHeight="1" x14ac:dyDescent="0.45">
      <c r="A882" s="22"/>
      <c r="B882" s="22"/>
      <c r="C882" s="12"/>
      <c r="D882" s="12"/>
      <c r="E882" s="155"/>
      <c r="F882" s="22"/>
      <c r="G882" s="1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</row>
    <row r="883" spans="1:89" ht="15.75" customHeight="1" x14ac:dyDescent="0.45">
      <c r="A883" s="22"/>
      <c r="B883" s="22"/>
      <c r="C883" s="12"/>
      <c r="D883" s="12"/>
      <c r="E883" s="155"/>
      <c r="F883" s="22"/>
      <c r="G883" s="1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</row>
    <row r="884" spans="1:89" ht="15.75" customHeight="1" x14ac:dyDescent="0.45">
      <c r="A884" s="22"/>
      <c r="B884" s="22"/>
      <c r="C884" s="12"/>
      <c r="D884" s="12"/>
      <c r="E884" s="155"/>
      <c r="F884" s="22"/>
      <c r="G884" s="1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</row>
    <row r="885" spans="1:89" ht="15.75" customHeight="1" x14ac:dyDescent="0.45">
      <c r="A885" s="22"/>
      <c r="B885" s="22"/>
      <c r="C885" s="12"/>
      <c r="D885" s="12"/>
      <c r="E885" s="155"/>
      <c r="F885" s="22"/>
      <c r="G885" s="1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</row>
    <row r="886" spans="1:89" ht="15.75" customHeight="1" x14ac:dyDescent="0.45">
      <c r="A886" s="22"/>
      <c r="B886" s="22"/>
      <c r="C886" s="12"/>
      <c r="D886" s="12"/>
      <c r="E886" s="155"/>
      <c r="F886" s="22"/>
      <c r="G886" s="1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</row>
    <row r="887" spans="1:89" ht="15.75" customHeight="1" x14ac:dyDescent="0.45">
      <c r="A887" s="22"/>
      <c r="B887" s="22"/>
      <c r="C887" s="12"/>
      <c r="D887" s="12"/>
      <c r="E887" s="155"/>
      <c r="F887" s="22"/>
      <c r="G887" s="1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</row>
    <row r="888" spans="1:89" ht="15.75" customHeight="1" x14ac:dyDescent="0.45">
      <c r="A888" s="22"/>
      <c r="B888" s="22"/>
      <c r="C888" s="12"/>
      <c r="D888" s="12"/>
      <c r="E888" s="155"/>
      <c r="F888" s="22"/>
      <c r="G888" s="1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</row>
    <row r="889" spans="1:89" ht="15.75" customHeight="1" x14ac:dyDescent="0.45">
      <c r="A889" s="22"/>
      <c r="B889" s="22"/>
      <c r="C889" s="12"/>
      <c r="D889" s="12"/>
      <c r="E889" s="155"/>
      <c r="F889" s="22"/>
      <c r="G889" s="1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</row>
    <row r="890" spans="1:89" ht="15.75" customHeight="1" x14ac:dyDescent="0.45">
      <c r="A890" s="22"/>
      <c r="B890" s="22"/>
      <c r="C890" s="12"/>
      <c r="D890" s="12"/>
      <c r="E890" s="155"/>
      <c r="F890" s="22"/>
      <c r="G890" s="1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</row>
    <row r="891" spans="1:89" ht="15.75" customHeight="1" x14ac:dyDescent="0.45">
      <c r="A891" s="22"/>
      <c r="B891" s="22"/>
      <c r="C891" s="12"/>
      <c r="D891" s="12"/>
      <c r="E891" s="155"/>
      <c r="F891" s="22"/>
      <c r="G891" s="1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</row>
    <row r="892" spans="1:89" ht="15.75" customHeight="1" x14ac:dyDescent="0.45">
      <c r="A892" s="22"/>
      <c r="B892" s="22"/>
      <c r="C892" s="12"/>
      <c r="D892" s="12"/>
      <c r="E892" s="155"/>
      <c r="F892" s="22"/>
      <c r="G892" s="1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</row>
    <row r="893" spans="1:89" ht="15.75" customHeight="1" x14ac:dyDescent="0.45">
      <c r="A893" s="22"/>
      <c r="B893" s="22"/>
      <c r="C893" s="12"/>
      <c r="D893" s="12"/>
      <c r="E893" s="155"/>
      <c r="F893" s="22"/>
      <c r="G893" s="1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</row>
    <row r="894" spans="1:89" ht="15.75" customHeight="1" x14ac:dyDescent="0.45">
      <c r="A894" s="22"/>
      <c r="B894" s="22"/>
      <c r="C894" s="12"/>
      <c r="D894" s="12"/>
      <c r="E894" s="155"/>
      <c r="F894" s="22"/>
      <c r="G894" s="1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</row>
    <row r="895" spans="1:89" ht="15.75" customHeight="1" x14ac:dyDescent="0.45">
      <c r="A895" s="22"/>
      <c r="B895" s="22"/>
      <c r="C895" s="12"/>
      <c r="D895" s="12"/>
      <c r="E895" s="155"/>
      <c r="F895" s="22"/>
      <c r="G895" s="1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</row>
    <row r="896" spans="1:89" ht="15.75" customHeight="1" x14ac:dyDescent="0.45">
      <c r="A896" s="22"/>
      <c r="B896" s="22"/>
      <c r="C896" s="12"/>
      <c r="D896" s="12"/>
      <c r="E896" s="155"/>
      <c r="F896" s="22"/>
      <c r="G896" s="1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</row>
    <row r="897" spans="1:89" ht="15.75" customHeight="1" x14ac:dyDescent="0.45">
      <c r="A897" s="22"/>
      <c r="B897" s="22"/>
      <c r="C897" s="12"/>
      <c r="D897" s="12"/>
      <c r="E897" s="155"/>
      <c r="F897" s="22"/>
      <c r="G897" s="1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</row>
    <row r="898" spans="1:89" ht="15.75" customHeight="1" x14ac:dyDescent="0.45">
      <c r="A898" s="22"/>
      <c r="B898" s="22"/>
      <c r="C898" s="12"/>
      <c r="D898" s="12"/>
      <c r="E898" s="155"/>
      <c r="F898" s="22"/>
      <c r="G898" s="1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</row>
    <row r="899" spans="1:89" ht="15.75" customHeight="1" x14ac:dyDescent="0.45">
      <c r="A899" s="22"/>
      <c r="B899" s="22"/>
      <c r="C899" s="12"/>
      <c r="D899" s="12"/>
      <c r="E899" s="155"/>
      <c r="F899" s="22"/>
      <c r="G899" s="1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</row>
    <row r="900" spans="1:89" ht="15.75" customHeight="1" x14ac:dyDescent="0.45">
      <c r="A900" s="22"/>
      <c r="B900" s="22"/>
      <c r="C900" s="12"/>
      <c r="D900" s="12"/>
      <c r="E900" s="155"/>
      <c r="F900" s="22"/>
      <c r="G900" s="1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</row>
    <row r="901" spans="1:89" ht="15.75" customHeight="1" x14ac:dyDescent="0.45">
      <c r="A901" s="22"/>
      <c r="B901" s="22"/>
      <c r="C901" s="12"/>
      <c r="D901" s="12"/>
      <c r="E901" s="155"/>
      <c r="F901" s="22"/>
      <c r="G901" s="1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</row>
    <row r="902" spans="1:89" ht="15.75" customHeight="1" x14ac:dyDescent="0.45">
      <c r="A902" s="22"/>
      <c r="B902" s="22"/>
      <c r="C902" s="12"/>
      <c r="D902" s="12"/>
      <c r="E902" s="155"/>
      <c r="F902" s="22"/>
      <c r="G902" s="1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</row>
    <row r="903" spans="1:89" ht="15.75" customHeight="1" x14ac:dyDescent="0.45">
      <c r="A903" s="22"/>
      <c r="B903" s="22"/>
      <c r="C903" s="12"/>
      <c r="D903" s="12"/>
      <c r="E903" s="155"/>
      <c r="F903" s="22"/>
      <c r="G903" s="1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</row>
    <row r="904" spans="1:89" ht="15.75" customHeight="1" x14ac:dyDescent="0.45">
      <c r="A904" s="22"/>
      <c r="B904" s="22"/>
      <c r="C904" s="12"/>
      <c r="D904" s="12"/>
      <c r="E904" s="155"/>
      <c r="F904" s="22"/>
      <c r="G904" s="1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</row>
    <row r="905" spans="1:89" ht="15.75" customHeight="1" x14ac:dyDescent="0.45">
      <c r="A905" s="22"/>
      <c r="B905" s="22"/>
      <c r="C905" s="12"/>
      <c r="D905" s="12"/>
      <c r="E905" s="155"/>
      <c r="F905" s="22"/>
      <c r="G905" s="1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</row>
    <row r="906" spans="1:89" ht="15.75" customHeight="1" x14ac:dyDescent="0.45">
      <c r="A906" s="22"/>
      <c r="B906" s="22"/>
      <c r="C906" s="12"/>
      <c r="D906" s="12"/>
      <c r="E906" s="155"/>
      <c r="F906" s="22"/>
      <c r="G906" s="1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</row>
    <row r="907" spans="1:89" ht="15.75" customHeight="1" x14ac:dyDescent="0.45">
      <c r="A907" s="22"/>
      <c r="B907" s="22"/>
      <c r="C907" s="12"/>
      <c r="D907" s="12"/>
      <c r="E907" s="155"/>
      <c r="F907" s="22"/>
      <c r="G907" s="1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</row>
    <row r="908" spans="1:89" ht="15.75" customHeight="1" x14ac:dyDescent="0.45">
      <c r="A908" s="22"/>
      <c r="B908" s="22"/>
      <c r="C908" s="12"/>
      <c r="D908" s="12"/>
      <c r="E908" s="155"/>
      <c r="F908" s="22"/>
      <c r="G908" s="1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</row>
    <row r="909" spans="1:89" ht="15.75" customHeight="1" x14ac:dyDescent="0.45">
      <c r="A909" s="22"/>
      <c r="B909" s="22"/>
      <c r="C909" s="12"/>
      <c r="D909" s="12"/>
      <c r="E909" s="155"/>
      <c r="F909" s="22"/>
      <c r="G909" s="1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</row>
    <row r="910" spans="1:89" ht="15.75" customHeight="1" x14ac:dyDescent="0.45">
      <c r="A910" s="22"/>
      <c r="B910" s="22"/>
      <c r="C910" s="12"/>
      <c r="D910" s="12"/>
      <c r="E910" s="155"/>
      <c r="F910" s="22"/>
      <c r="G910" s="1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</row>
    <row r="911" spans="1:89" ht="15.75" customHeight="1" x14ac:dyDescent="0.45">
      <c r="A911" s="22"/>
      <c r="B911" s="22"/>
      <c r="C911" s="12"/>
      <c r="D911" s="12"/>
      <c r="E911" s="155"/>
      <c r="F911" s="22"/>
      <c r="G911" s="1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</row>
    <row r="912" spans="1:89" ht="15.75" customHeight="1" x14ac:dyDescent="0.45">
      <c r="A912" s="22"/>
      <c r="B912" s="22"/>
      <c r="C912" s="12"/>
      <c r="D912" s="12"/>
      <c r="E912" s="155"/>
      <c r="F912" s="22"/>
      <c r="G912" s="1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</row>
    <row r="913" spans="1:89" ht="15.75" customHeight="1" x14ac:dyDescent="0.45">
      <c r="A913" s="22"/>
      <c r="B913" s="22"/>
      <c r="C913" s="12"/>
      <c r="D913" s="12"/>
      <c r="E913" s="155"/>
      <c r="F913" s="22"/>
      <c r="G913" s="1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</row>
    <row r="914" spans="1:89" ht="15.75" customHeight="1" x14ac:dyDescent="0.45">
      <c r="A914" s="22"/>
      <c r="B914" s="22"/>
      <c r="C914" s="12"/>
      <c r="D914" s="12"/>
      <c r="E914" s="155"/>
      <c r="F914" s="22"/>
      <c r="G914" s="1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</row>
    <row r="915" spans="1:89" ht="15.75" customHeight="1" x14ac:dyDescent="0.45">
      <c r="A915" s="22"/>
      <c r="B915" s="22"/>
      <c r="C915" s="12"/>
      <c r="D915" s="12"/>
      <c r="E915" s="155"/>
      <c r="F915" s="22"/>
      <c r="G915" s="1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</row>
    <row r="916" spans="1:89" ht="15.75" customHeight="1" x14ac:dyDescent="0.45">
      <c r="A916" s="22"/>
      <c r="B916" s="22"/>
      <c r="C916" s="12"/>
      <c r="D916" s="12"/>
      <c r="E916" s="155"/>
      <c r="F916" s="22"/>
      <c r="G916" s="1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</row>
    <row r="917" spans="1:89" ht="15.75" customHeight="1" x14ac:dyDescent="0.45">
      <c r="A917" s="22"/>
      <c r="B917" s="22"/>
      <c r="C917" s="12"/>
      <c r="D917" s="12"/>
      <c r="E917" s="155"/>
      <c r="F917" s="22"/>
      <c r="G917" s="1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</row>
    <row r="918" spans="1:89" ht="15.75" customHeight="1" x14ac:dyDescent="0.45">
      <c r="A918" s="22"/>
      <c r="B918" s="22"/>
      <c r="C918" s="12"/>
      <c r="D918" s="12"/>
      <c r="E918" s="155"/>
      <c r="F918" s="22"/>
      <c r="G918" s="1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</row>
    <row r="919" spans="1:89" ht="15.75" customHeight="1" x14ac:dyDescent="0.45">
      <c r="A919" s="22"/>
      <c r="B919" s="22"/>
      <c r="C919" s="12"/>
      <c r="D919" s="12"/>
      <c r="E919" s="155"/>
      <c r="F919" s="22"/>
      <c r="G919" s="1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</row>
    <row r="920" spans="1:89" ht="15.75" customHeight="1" x14ac:dyDescent="0.45">
      <c r="A920" s="22"/>
      <c r="B920" s="22"/>
      <c r="C920" s="12"/>
      <c r="D920" s="12"/>
      <c r="E920" s="155"/>
      <c r="F920" s="22"/>
      <c r="G920" s="1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</row>
    <row r="921" spans="1:89" ht="15.75" customHeight="1" x14ac:dyDescent="0.45">
      <c r="A921" s="22"/>
      <c r="B921" s="22"/>
      <c r="C921" s="12"/>
      <c r="D921" s="12"/>
      <c r="E921" s="155"/>
      <c r="F921" s="22"/>
      <c r="G921" s="1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</row>
    <row r="922" spans="1:89" ht="15.75" customHeight="1" x14ac:dyDescent="0.45">
      <c r="A922" s="22"/>
      <c r="B922" s="22"/>
      <c r="C922" s="12"/>
      <c r="D922" s="12"/>
      <c r="E922" s="155"/>
      <c r="F922" s="22"/>
      <c r="G922" s="1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</row>
    <row r="923" spans="1:89" ht="15.75" customHeight="1" x14ac:dyDescent="0.45">
      <c r="A923" s="22"/>
      <c r="B923" s="22"/>
      <c r="C923" s="12"/>
      <c r="D923" s="12"/>
      <c r="E923" s="155"/>
      <c r="F923" s="22"/>
      <c r="G923" s="1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</row>
    <row r="924" spans="1:89" ht="15.75" customHeight="1" x14ac:dyDescent="0.45">
      <c r="A924" s="22"/>
      <c r="B924" s="22"/>
      <c r="C924" s="12"/>
      <c r="D924" s="12"/>
      <c r="E924" s="155"/>
      <c r="F924" s="22"/>
      <c r="G924" s="1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</row>
    <row r="925" spans="1:89" ht="15.75" customHeight="1" x14ac:dyDescent="0.45">
      <c r="A925" s="22"/>
      <c r="B925" s="22"/>
      <c r="C925" s="12"/>
      <c r="D925" s="12"/>
      <c r="E925" s="155"/>
      <c r="F925" s="22"/>
      <c r="G925" s="1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</row>
    <row r="926" spans="1:89" ht="15.75" customHeight="1" x14ac:dyDescent="0.45">
      <c r="A926" s="22"/>
      <c r="B926" s="22"/>
      <c r="C926" s="12"/>
      <c r="D926" s="12"/>
      <c r="E926" s="155"/>
      <c r="F926" s="22"/>
      <c r="G926" s="1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</row>
    <row r="927" spans="1:89" ht="15.75" customHeight="1" x14ac:dyDescent="0.45">
      <c r="A927" s="22"/>
      <c r="B927" s="22"/>
      <c r="C927" s="12"/>
      <c r="D927" s="12"/>
      <c r="E927" s="155"/>
      <c r="F927" s="22"/>
      <c r="G927" s="1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</row>
    <row r="928" spans="1:89" ht="15.75" customHeight="1" x14ac:dyDescent="0.45">
      <c r="A928" s="22"/>
      <c r="B928" s="22"/>
      <c r="C928" s="12"/>
      <c r="D928" s="12"/>
      <c r="E928" s="155"/>
      <c r="F928" s="22"/>
      <c r="G928" s="1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</row>
    <row r="929" spans="1:89" ht="15.75" customHeight="1" x14ac:dyDescent="0.45">
      <c r="A929" s="22"/>
      <c r="B929" s="22"/>
      <c r="C929" s="12"/>
      <c r="D929" s="12"/>
      <c r="E929" s="155"/>
      <c r="F929" s="22"/>
      <c r="G929" s="1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</row>
    <row r="930" spans="1:89" ht="15.75" customHeight="1" x14ac:dyDescent="0.45">
      <c r="A930" s="22"/>
      <c r="B930" s="22"/>
      <c r="C930" s="12"/>
      <c r="D930" s="12"/>
      <c r="E930" s="155"/>
      <c r="F930" s="22"/>
      <c r="G930" s="1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</row>
    <row r="931" spans="1:89" ht="15.75" customHeight="1" x14ac:dyDescent="0.45">
      <c r="A931" s="22"/>
      <c r="B931" s="22"/>
      <c r="C931" s="12"/>
      <c r="D931" s="12"/>
      <c r="E931" s="155"/>
      <c r="F931" s="22"/>
      <c r="G931" s="1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</row>
    <row r="932" spans="1:89" ht="15.75" customHeight="1" x14ac:dyDescent="0.45">
      <c r="A932" s="22"/>
      <c r="B932" s="22"/>
      <c r="C932" s="12"/>
      <c r="D932" s="12"/>
      <c r="E932" s="155"/>
      <c r="F932" s="22"/>
      <c r="G932" s="1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</row>
    <row r="933" spans="1:89" ht="15.75" customHeight="1" x14ac:dyDescent="0.45">
      <c r="A933" s="22"/>
      <c r="B933" s="22"/>
      <c r="C933" s="12"/>
      <c r="D933" s="12"/>
      <c r="E933" s="155"/>
      <c r="F933" s="22"/>
      <c r="G933" s="1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</row>
    <row r="934" spans="1:89" ht="15.75" customHeight="1" x14ac:dyDescent="0.45">
      <c r="A934" s="22"/>
      <c r="B934" s="22"/>
      <c r="C934" s="12"/>
      <c r="D934" s="12"/>
      <c r="E934" s="155"/>
      <c r="F934" s="22"/>
      <c r="G934" s="1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</row>
    <row r="935" spans="1:89" ht="15.75" customHeight="1" x14ac:dyDescent="0.45">
      <c r="A935" s="22"/>
      <c r="B935" s="22"/>
      <c r="C935" s="12"/>
      <c r="D935" s="12"/>
      <c r="E935" s="155"/>
      <c r="F935" s="22"/>
      <c r="G935" s="1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</row>
    <row r="936" spans="1:89" ht="15.75" customHeight="1" x14ac:dyDescent="0.45">
      <c r="A936" s="22"/>
      <c r="B936" s="22"/>
      <c r="C936" s="12"/>
      <c r="D936" s="12"/>
      <c r="E936" s="155"/>
      <c r="F936" s="22"/>
      <c r="G936" s="1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</row>
    <row r="937" spans="1:89" ht="15.75" customHeight="1" x14ac:dyDescent="0.45">
      <c r="A937" s="22"/>
      <c r="B937" s="22"/>
      <c r="C937" s="12"/>
      <c r="D937" s="12"/>
      <c r="E937" s="155"/>
      <c r="F937" s="22"/>
      <c r="G937" s="1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</row>
    <row r="938" spans="1:89" ht="15.75" customHeight="1" x14ac:dyDescent="0.45">
      <c r="A938" s="22"/>
      <c r="B938" s="22"/>
      <c r="C938" s="12"/>
      <c r="D938" s="12"/>
      <c r="E938" s="155"/>
      <c r="F938" s="22"/>
      <c r="G938" s="1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</row>
    <row r="939" spans="1:89" ht="15.75" customHeight="1" x14ac:dyDescent="0.45">
      <c r="A939" s="22"/>
      <c r="B939" s="22"/>
      <c r="C939" s="12"/>
      <c r="D939" s="12"/>
      <c r="E939" s="155"/>
      <c r="F939" s="22"/>
      <c r="G939" s="1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</row>
    <row r="940" spans="1:89" ht="15.75" customHeight="1" x14ac:dyDescent="0.45">
      <c r="A940" s="22"/>
      <c r="B940" s="22"/>
      <c r="C940" s="12"/>
      <c r="D940" s="12"/>
      <c r="E940" s="155"/>
      <c r="F940" s="22"/>
      <c r="G940" s="1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</row>
    <row r="941" spans="1:89" ht="15.75" customHeight="1" x14ac:dyDescent="0.45">
      <c r="A941" s="22"/>
      <c r="B941" s="22"/>
      <c r="C941" s="12"/>
      <c r="D941" s="12"/>
      <c r="E941" s="155"/>
      <c r="F941" s="22"/>
      <c r="G941" s="1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</row>
    <row r="942" spans="1:89" ht="15.75" customHeight="1" x14ac:dyDescent="0.45">
      <c r="A942" s="22"/>
      <c r="B942" s="22"/>
      <c r="C942" s="12"/>
      <c r="D942" s="12"/>
      <c r="E942" s="155"/>
      <c r="F942" s="22"/>
      <c r="G942" s="1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</row>
    <row r="943" spans="1:89" ht="15.75" customHeight="1" x14ac:dyDescent="0.45">
      <c r="A943" s="22"/>
      <c r="B943" s="22"/>
      <c r="C943" s="12"/>
      <c r="D943" s="12"/>
      <c r="E943" s="155"/>
      <c r="F943" s="22"/>
      <c r="G943" s="1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</row>
    <row r="944" spans="1:89" ht="15.75" customHeight="1" x14ac:dyDescent="0.45">
      <c r="A944" s="22"/>
      <c r="B944" s="22"/>
      <c r="C944" s="12"/>
      <c r="D944" s="12"/>
      <c r="E944" s="155"/>
      <c r="F944" s="22"/>
      <c r="G944" s="1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</row>
    <row r="945" spans="1:89" ht="15.75" customHeight="1" x14ac:dyDescent="0.45">
      <c r="A945" s="22"/>
      <c r="B945" s="22"/>
      <c r="C945" s="12"/>
      <c r="D945" s="12"/>
      <c r="E945" s="155"/>
      <c r="F945" s="22"/>
      <c r="G945" s="1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</row>
    <row r="946" spans="1:89" ht="15.75" customHeight="1" x14ac:dyDescent="0.45">
      <c r="A946" s="22"/>
      <c r="B946" s="22"/>
      <c r="C946" s="12"/>
      <c r="D946" s="12"/>
      <c r="E946" s="155"/>
      <c r="F946" s="22"/>
      <c r="G946" s="1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</row>
    <row r="947" spans="1:89" ht="15.75" customHeight="1" x14ac:dyDescent="0.45">
      <c r="A947" s="22"/>
      <c r="B947" s="22"/>
      <c r="C947" s="12"/>
      <c r="D947" s="12"/>
      <c r="E947" s="155"/>
      <c r="F947" s="22"/>
      <c r="G947" s="1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</row>
    <row r="948" spans="1:89" ht="15.75" customHeight="1" x14ac:dyDescent="0.45">
      <c r="A948" s="22"/>
      <c r="B948" s="22"/>
      <c r="C948" s="12"/>
      <c r="D948" s="12"/>
      <c r="E948" s="155"/>
      <c r="F948" s="22"/>
      <c r="G948" s="1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</row>
    <row r="949" spans="1:89" ht="15.75" customHeight="1" x14ac:dyDescent="0.45">
      <c r="A949" s="22"/>
      <c r="B949" s="22"/>
      <c r="C949" s="12"/>
      <c r="D949" s="12"/>
      <c r="E949" s="155"/>
      <c r="F949" s="22"/>
      <c r="G949" s="1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</row>
    <row r="950" spans="1:89" ht="15.75" customHeight="1" x14ac:dyDescent="0.45">
      <c r="A950" s="22"/>
      <c r="B950" s="22"/>
      <c r="C950" s="12"/>
      <c r="D950" s="12"/>
      <c r="E950" s="155"/>
      <c r="F950" s="22"/>
      <c r="G950" s="1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</row>
    <row r="951" spans="1:89" ht="15.75" customHeight="1" x14ac:dyDescent="0.45">
      <c r="A951" s="22"/>
      <c r="B951" s="22"/>
      <c r="C951" s="12"/>
      <c r="D951" s="12"/>
      <c r="E951" s="155"/>
      <c r="F951" s="22"/>
      <c r="G951" s="1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</row>
    <row r="952" spans="1:89" ht="15.75" customHeight="1" x14ac:dyDescent="0.45">
      <c r="A952" s="22"/>
      <c r="B952" s="22"/>
      <c r="C952" s="12"/>
      <c r="D952" s="12"/>
      <c r="E952" s="155"/>
      <c r="F952" s="22"/>
      <c r="G952" s="1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</row>
    <row r="953" spans="1:89" ht="15.75" customHeight="1" x14ac:dyDescent="0.45">
      <c r="A953" s="22"/>
      <c r="B953" s="22"/>
      <c r="C953" s="12"/>
      <c r="D953" s="12"/>
      <c r="E953" s="155"/>
      <c r="F953" s="22"/>
      <c r="G953" s="1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</row>
    <row r="954" spans="1:89" ht="15.75" customHeight="1" x14ac:dyDescent="0.45">
      <c r="A954" s="22"/>
      <c r="B954" s="22"/>
      <c r="C954" s="12"/>
      <c r="D954" s="12"/>
      <c r="E954" s="155"/>
      <c r="F954" s="22"/>
      <c r="G954" s="1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</row>
    <row r="955" spans="1:89" ht="15.75" customHeight="1" x14ac:dyDescent="0.45">
      <c r="A955" s="22"/>
      <c r="B955" s="22"/>
      <c r="C955" s="12"/>
      <c r="D955" s="12"/>
      <c r="E955" s="155"/>
      <c r="F955" s="22"/>
      <c r="G955" s="1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</row>
    <row r="956" spans="1:89" ht="15.75" customHeight="1" x14ac:dyDescent="0.45">
      <c r="A956" s="22"/>
      <c r="B956" s="22"/>
      <c r="C956" s="12"/>
      <c r="D956" s="12"/>
      <c r="E956" s="155"/>
      <c r="F956" s="22"/>
      <c r="G956" s="1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</row>
    <row r="957" spans="1:89" ht="15.75" customHeight="1" x14ac:dyDescent="0.45">
      <c r="A957" s="22"/>
      <c r="B957" s="22"/>
      <c r="C957" s="12"/>
      <c r="D957" s="12"/>
      <c r="E957" s="155"/>
      <c r="F957" s="22"/>
      <c r="G957" s="1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</row>
    <row r="958" spans="1:89" ht="15.75" customHeight="1" x14ac:dyDescent="0.45">
      <c r="A958" s="22"/>
      <c r="B958" s="22"/>
      <c r="C958" s="12"/>
      <c r="D958" s="12"/>
      <c r="E958" s="155"/>
      <c r="F958" s="22"/>
      <c r="G958" s="1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</row>
    <row r="959" spans="1:89" ht="15.75" customHeight="1" x14ac:dyDescent="0.45">
      <c r="A959" s="22"/>
      <c r="B959" s="22"/>
      <c r="C959" s="12"/>
      <c r="D959" s="12"/>
      <c r="E959" s="155"/>
      <c r="F959" s="22"/>
      <c r="G959" s="1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</row>
    <row r="960" spans="1:89" ht="15.75" customHeight="1" x14ac:dyDescent="0.45">
      <c r="A960" s="22"/>
      <c r="B960" s="22"/>
      <c r="C960" s="12"/>
      <c r="D960" s="12"/>
      <c r="E960" s="155"/>
      <c r="F960" s="22"/>
      <c r="G960" s="1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</row>
    <row r="961" spans="1:89" ht="15.75" customHeight="1" x14ac:dyDescent="0.45">
      <c r="A961" s="22"/>
      <c r="B961" s="22"/>
      <c r="C961" s="12"/>
      <c r="D961" s="12"/>
      <c r="E961" s="155"/>
      <c r="F961" s="22"/>
      <c r="G961" s="1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</row>
    <row r="962" spans="1:89" ht="15.75" customHeight="1" x14ac:dyDescent="0.45">
      <c r="A962" s="22"/>
      <c r="B962" s="22"/>
      <c r="C962" s="12"/>
      <c r="D962" s="12"/>
      <c r="E962" s="155"/>
      <c r="F962" s="22"/>
      <c r="G962" s="1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</row>
    <row r="963" spans="1:89" ht="15.75" customHeight="1" x14ac:dyDescent="0.45">
      <c r="A963" s="22"/>
      <c r="B963" s="22"/>
      <c r="C963" s="12"/>
      <c r="D963" s="12"/>
      <c r="E963" s="155"/>
      <c r="F963" s="22"/>
      <c r="G963" s="1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</row>
    <row r="964" spans="1:89" ht="15.75" customHeight="1" x14ac:dyDescent="0.45">
      <c r="A964" s="22"/>
      <c r="B964" s="22"/>
      <c r="C964" s="12"/>
      <c r="D964" s="12"/>
      <c r="E964" s="155"/>
      <c r="F964" s="22"/>
      <c r="G964" s="1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</row>
    <row r="965" spans="1:89" ht="15.75" customHeight="1" x14ac:dyDescent="0.45">
      <c r="A965" s="22"/>
      <c r="B965" s="22"/>
      <c r="C965" s="12"/>
      <c r="D965" s="12"/>
      <c r="E965" s="155"/>
      <c r="F965" s="22"/>
      <c r="G965" s="1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</row>
    <row r="966" spans="1:89" ht="15.75" customHeight="1" x14ac:dyDescent="0.45">
      <c r="A966" s="22"/>
      <c r="B966" s="22"/>
      <c r="C966" s="12"/>
      <c r="D966" s="12"/>
      <c r="E966" s="155"/>
      <c r="F966" s="22"/>
      <c r="G966" s="1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</row>
    <row r="967" spans="1:89" ht="15.75" customHeight="1" x14ac:dyDescent="0.45">
      <c r="A967" s="22"/>
      <c r="B967" s="22"/>
      <c r="C967" s="12"/>
      <c r="D967" s="12"/>
      <c r="E967" s="155"/>
      <c r="F967" s="22"/>
      <c r="G967" s="1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</row>
    <row r="968" spans="1:89" ht="15.75" customHeight="1" x14ac:dyDescent="0.45">
      <c r="A968" s="22"/>
      <c r="B968" s="22"/>
      <c r="C968" s="12"/>
      <c r="D968" s="12"/>
      <c r="E968" s="155"/>
      <c r="F968" s="22"/>
      <c r="G968" s="1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</row>
    <row r="969" spans="1:89" ht="15.75" customHeight="1" x14ac:dyDescent="0.45">
      <c r="A969" s="22"/>
      <c r="B969" s="22"/>
      <c r="C969" s="12"/>
      <c r="D969" s="12"/>
      <c r="E969" s="155"/>
      <c r="F969" s="22"/>
      <c r="G969" s="1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</row>
    <row r="970" spans="1:89" ht="15.75" customHeight="1" x14ac:dyDescent="0.45">
      <c r="A970" s="22"/>
      <c r="B970" s="22"/>
      <c r="C970" s="12"/>
      <c r="D970" s="12"/>
      <c r="E970" s="155"/>
      <c r="F970" s="22"/>
      <c r="G970" s="1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</row>
    <row r="971" spans="1:89" ht="15.75" customHeight="1" x14ac:dyDescent="0.45">
      <c r="A971" s="22"/>
      <c r="B971" s="22"/>
      <c r="C971" s="12"/>
      <c r="D971" s="12"/>
      <c r="E971" s="155"/>
      <c r="F971" s="22"/>
      <c r="G971" s="1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</row>
    <row r="972" spans="1:89" ht="15.75" customHeight="1" x14ac:dyDescent="0.45">
      <c r="A972" s="22"/>
      <c r="B972" s="22"/>
      <c r="C972" s="12"/>
      <c r="D972" s="12"/>
      <c r="E972" s="155"/>
      <c r="F972" s="22"/>
      <c r="G972" s="1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</row>
    <row r="973" spans="1:89" ht="15.75" customHeight="1" x14ac:dyDescent="0.45">
      <c r="A973" s="22"/>
      <c r="B973" s="22"/>
      <c r="C973" s="12"/>
      <c r="D973" s="12"/>
      <c r="E973" s="155"/>
      <c r="F973" s="22"/>
      <c r="G973" s="1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</row>
    <row r="974" spans="1:89" ht="15.75" customHeight="1" x14ac:dyDescent="0.45">
      <c r="A974" s="22"/>
      <c r="B974" s="22"/>
      <c r="C974" s="12"/>
      <c r="D974" s="12"/>
      <c r="E974" s="155"/>
      <c r="F974" s="22"/>
      <c r="G974" s="1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</row>
    <row r="975" spans="1:89" ht="15.75" customHeight="1" x14ac:dyDescent="0.45">
      <c r="A975" s="22"/>
      <c r="B975" s="22"/>
      <c r="C975" s="12"/>
      <c r="D975" s="12"/>
      <c r="E975" s="155"/>
      <c r="F975" s="22"/>
      <c r="G975" s="1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</row>
    <row r="976" spans="1:89" ht="15.75" customHeight="1" x14ac:dyDescent="0.45">
      <c r="A976" s="22"/>
      <c r="B976" s="22"/>
      <c r="C976" s="12"/>
      <c r="D976" s="12"/>
      <c r="E976" s="155"/>
      <c r="F976" s="22"/>
      <c r="G976" s="1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</row>
    <row r="977" spans="1:89" ht="15.75" customHeight="1" x14ac:dyDescent="0.45">
      <c r="A977" s="22"/>
      <c r="B977" s="22"/>
      <c r="C977" s="12"/>
      <c r="D977" s="12"/>
      <c r="E977" s="155"/>
      <c r="F977" s="22"/>
      <c r="G977" s="1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</row>
    <row r="978" spans="1:89" ht="15.75" customHeight="1" x14ac:dyDescent="0.45">
      <c r="A978" s="22"/>
      <c r="B978" s="22"/>
      <c r="C978" s="12"/>
      <c r="D978" s="12"/>
      <c r="E978" s="155"/>
      <c r="F978" s="22"/>
      <c r="G978" s="1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</row>
    <row r="979" spans="1:89" ht="15.75" customHeight="1" x14ac:dyDescent="0.45">
      <c r="A979" s="22"/>
      <c r="B979" s="22"/>
      <c r="C979" s="12"/>
      <c r="D979" s="12"/>
      <c r="E979" s="155"/>
      <c r="F979" s="22"/>
      <c r="G979" s="1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</row>
    <row r="980" spans="1:89" ht="15.75" customHeight="1" x14ac:dyDescent="0.45">
      <c r="A980" s="22"/>
      <c r="B980" s="22"/>
      <c r="C980" s="12"/>
      <c r="D980" s="12"/>
      <c r="E980" s="155"/>
      <c r="F980" s="22"/>
      <c r="G980" s="1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</row>
    <row r="981" spans="1:89" ht="15.75" customHeight="1" x14ac:dyDescent="0.45">
      <c r="A981" s="22"/>
      <c r="B981" s="22"/>
      <c r="C981" s="12"/>
      <c r="D981" s="12"/>
      <c r="E981" s="155"/>
      <c r="F981" s="22"/>
      <c r="G981" s="1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</row>
    <row r="982" spans="1:89" ht="15.75" customHeight="1" x14ac:dyDescent="0.45">
      <c r="A982" s="22"/>
      <c r="B982" s="22"/>
      <c r="C982" s="12"/>
      <c r="D982" s="12"/>
      <c r="E982" s="155"/>
      <c r="F982" s="22"/>
      <c r="G982" s="1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</row>
    <row r="983" spans="1:89" ht="15.75" customHeight="1" x14ac:dyDescent="0.45">
      <c r="A983" s="22"/>
      <c r="B983" s="22"/>
      <c r="C983" s="12"/>
      <c r="D983" s="12"/>
      <c r="E983" s="155"/>
      <c r="F983" s="22"/>
      <c r="G983" s="1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</row>
    <row r="984" spans="1:89" ht="15.75" customHeight="1" x14ac:dyDescent="0.45">
      <c r="A984" s="22"/>
      <c r="B984" s="22"/>
      <c r="C984" s="12"/>
      <c r="D984" s="12"/>
      <c r="E984" s="155"/>
      <c r="F984" s="22"/>
      <c r="G984" s="1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</row>
    <row r="985" spans="1:89" ht="15.75" customHeight="1" x14ac:dyDescent="0.45">
      <c r="A985" s="22"/>
      <c r="B985" s="22"/>
      <c r="C985" s="12"/>
      <c r="D985" s="12"/>
      <c r="E985" s="155"/>
      <c r="F985" s="22"/>
      <c r="G985" s="1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</row>
    <row r="986" spans="1:89" ht="15.75" customHeight="1" x14ac:dyDescent="0.45">
      <c r="A986" s="22"/>
      <c r="B986" s="22"/>
      <c r="C986" s="12"/>
      <c r="D986" s="12"/>
      <c r="E986" s="155"/>
      <c r="F986" s="22"/>
      <c r="G986" s="1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</row>
    <row r="987" spans="1:89" ht="15.75" customHeight="1" x14ac:dyDescent="0.45">
      <c r="A987" s="22"/>
      <c r="B987" s="22"/>
      <c r="C987" s="12"/>
      <c r="D987" s="12"/>
      <c r="E987" s="155"/>
      <c r="F987" s="22"/>
      <c r="G987" s="1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</row>
    <row r="988" spans="1:89" ht="15.75" customHeight="1" x14ac:dyDescent="0.45">
      <c r="A988" s="22"/>
      <c r="B988" s="22"/>
      <c r="C988" s="12"/>
      <c r="D988" s="12"/>
      <c r="E988" s="155"/>
      <c r="F988" s="22"/>
      <c r="G988" s="1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</row>
    <row r="989" spans="1:89" ht="15.75" customHeight="1" x14ac:dyDescent="0.45">
      <c r="A989" s="22"/>
      <c r="B989" s="22"/>
      <c r="C989" s="12"/>
      <c r="D989" s="12"/>
      <c r="E989" s="155"/>
      <c r="F989" s="22"/>
      <c r="G989" s="1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</row>
    <row r="990" spans="1:89" ht="15.75" customHeight="1" x14ac:dyDescent="0.45">
      <c r="A990" s="22"/>
      <c r="B990" s="22"/>
      <c r="C990" s="12"/>
      <c r="D990" s="12"/>
      <c r="E990" s="155"/>
      <c r="F990" s="22"/>
      <c r="G990" s="1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</row>
    <row r="991" spans="1:89" ht="15.75" customHeight="1" x14ac:dyDescent="0.45">
      <c r="A991" s="22"/>
      <c r="B991" s="22"/>
      <c r="C991" s="12"/>
      <c r="D991" s="12"/>
      <c r="E991" s="155"/>
      <c r="F991" s="22"/>
      <c r="G991" s="1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</row>
    <row r="992" spans="1:89" ht="15.75" customHeight="1" x14ac:dyDescent="0.45">
      <c r="A992" s="22"/>
      <c r="B992" s="22"/>
      <c r="C992" s="12"/>
      <c r="D992" s="12"/>
      <c r="E992" s="155"/>
      <c r="F992" s="22"/>
      <c r="G992" s="1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</row>
    <row r="993" spans="1:89" ht="15.75" customHeight="1" x14ac:dyDescent="0.45">
      <c r="A993" s="22"/>
      <c r="B993" s="22"/>
      <c r="C993" s="12"/>
      <c r="D993" s="12"/>
      <c r="E993" s="155"/>
      <c r="F993" s="22"/>
      <c r="G993" s="1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</row>
    <row r="994" spans="1:89" ht="15.75" customHeight="1" x14ac:dyDescent="0.45">
      <c r="A994" s="22"/>
      <c r="B994" s="22"/>
      <c r="C994" s="12"/>
      <c r="D994" s="12"/>
      <c r="E994" s="155"/>
      <c r="F994" s="22"/>
      <c r="G994" s="1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</row>
    <row r="995" spans="1:89" ht="15.75" customHeight="1" x14ac:dyDescent="0.45">
      <c r="A995" s="22"/>
      <c r="B995" s="22"/>
      <c r="C995" s="12"/>
      <c r="D995" s="12"/>
      <c r="E995" s="155"/>
      <c r="F995" s="22"/>
      <c r="G995" s="1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</row>
    <row r="996" spans="1:89" ht="15.75" customHeight="1" x14ac:dyDescent="0.45">
      <c r="A996" s="22"/>
      <c r="B996" s="22"/>
      <c r="C996" s="12"/>
      <c r="D996" s="12"/>
      <c r="E996" s="155"/>
      <c r="F996" s="22"/>
      <c r="G996" s="1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</row>
    <row r="997" spans="1:89" ht="15.75" customHeight="1" x14ac:dyDescent="0.45">
      <c r="A997" s="22"/>
      <c r="B997" s="22"/>
      <c r="C997" s="12"/>
      <c r="D997" s="12"/>
      <c r="E997" s="155"/>
      <c r="F997" s="22"/>
      <c r="G997" s="1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</row>
    <row r="998" spans="1:89" ht="15.75" customHeight="1" x14ac:dyDescent="0.45">
      <c r="A998" s="22"/>
      <c r="B998" s="22"/>
      <c r="C998" s="12"/>
      <c r="D998" s="12"/>
      <c r="E998" s="155"/>
      <c r="F998" s="22"/>
      <c r="G998" s="1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</row>
    <row r="999" spans="1:89" ht="15.75" customHeight="1" x14ac:dyDescent="0.45">
      <c r="A999" s="22"/>
      <c r="B999" s="22"/>
      <c r="C999" s="12"/>
      <c r="D999" s="12"/>
      <c r="E999" s="155"/>
      <c r="F999" s="22"/>
      <c r="G999" s="1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</row>
    <row r="1000" spans="1:89" ht="15.75" customHeight="1" x14ac:dyDescent="0.45">
      <c r="A1000" s="22"/>
      <c r="B1000" s="22"/>
      <c r="C1000" s="12"/>
      <c r="D1000" s="12"/>
      <c r="E1000" s="155"/>
      <c r="F1000" s="22"/>
      <c r="G1000" s="1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</row>
  </sheetData>
  <conditionalFormatting sqref="AK10:AK11 AN10:AN11 AQ10:AQ11 AT10:AT11">
    <cfRule type="cellIs" dxfId="174" priority="1" operator="greaterThan">
      <formula>0</formula>
    </cfRule>
  </conditionalFormatting>
  <conditionalFormatting sqref="AW10:AW11">
    <cfRule type="cellIs" dxfId="173" priority="2" operator="greaterThan">
      <formula>0</formula>
    </cfRule>
  </conditionalFormatting>
  <conditionalFormatting sqref="BR5">
    <cfRule type="cellIs" dxfId="172" priority="3" operator="greaterThan">
      <formula>0</formula>
    </cfRule>
  </conditionalFormatting>
  <conditionalFormatting sqref="BR4">
    <cfRule type="cellIs" dxfId="171" priority="4" operator="greaterThan">
      <formula>0</formula>
    </cfRule>
  </conditionalFormatting>
  <conditionalFormatting sqref="Y4:Y8 AC4:AC8 AH4:AH8 AK4:AK8 AN4:AN8 AQ4:AQ8 AT4:AT8 AW4:AW8">
    <cfRule type="cellIs" dxfId="170" priority="5" operator="greaterThan">
      <formula>0</formula>
    </cfRule>
  </conditionalFormatting>
  <conditionalFormatting sqref="BF10:BF11">
    <cfRule type="cellIs" dxfId="169" priority="6" operator="greaterThan">
      <formula>0</formula>
    </cfRule>
  </conditionalFormatting>
  <conditionalFormatting sqref="BF4:BF8">
    <cfRule type="cellIs" dxfId="168" priority="7" operator="greaterThan">
      <formula>0</formula>
    </cfRule>
  </conditionalFormatting>
  <conditionalFormatting sqref="BI4:BI8">
    <cfRule type="cellIs" dxfId="167" priority="8" operator="greaterThan">
      <formula>0</formula>
    </cfRule>
  </conditionalFormatting>
  <conditionalFormatting sqref="BI10:BI11">
    <cfRule type="cellIs" dxfId="166" priority="9" operator="greaterThan">
      <formula>0</formula>
    </cfRule>
  </conditionalFormatting>
  <conditionalFormatting sqref="BC10:BC11">
    <cfRule type="cellIs" dxfId="165" priority="10" operator="greaterThan">
      <formula>0</formula>
    </cfRule>
  </conditionalFormatting>
  <conditionalFormatting sqref="BC4:BC8">
    <cfRule type="cellIs" dxfId="164" priority="11" operator="greaterThan">
      <formula>0</formula>
    </cfRule>
  </conditionalFormatting>
  <conditionalFormatting sqref="AZ4:AZ8">
    <cfRule type="cellIs" dxfId="163" priority="12" operator="greaterThan">
      <formula>0</formula>
    </cfRule>
  </conditionalFormatting>
  <conditionalFormatting sqref="AZ10:AZ11">
    <cfRule type="cellIs" dxfId="162" priority="13" operator="greaterThan">
      <formula>0</formula>
    </cfRule>
  </conditionalFormatting>
  <conditionalFormatting sqref="BU5:BU8 BU10:BU11">
    <cfRule type="cellIs" dxfId="161" priority="14" operator="greaterThan">
      <formula>0</formula>
    </cfRule>
  </conditionalFormatting>
  <conditionalFormatting sqref="BU4">
    <cfRule type="cellIs" dxfId="160" priority="15" operator="greaterThan">
      <formula>0</formula>
    </cfRule>
  </conditionalFormatting>
  <conditionalFormatting sqref="BX5:BX8 BX10:BX11">
    <cfRule type="cellIs" dxfId="159" priority="16" operator="greaterThan">
      <formula>0</formula>
    </cfRule>
  </conditionalFormatting>
  <conditionalFormatting sqref="BX4">
    <cfRule type="cellIs" dxfId="158" priority="17" operator="greaterThan">
      <formula>0</formula>
    </cfRule>
  </conditionalFormatting>
  <conditionalFormatting sqref="CA5:CA8 CA10:CA11">
    <cfRule type="cellIs" dxfId="157" priority="18" operator="greaterThan">
      <formula>0</formula>
    </cfRule>
  </conditionalFormatting>
  <conditionalFormatting sqref="CA4">
    <cfRule type="cellIs" dxfId="156" priority="19" operator="greaterThan">
      <formula>0</formula>
    </cfRule>
  </conditionalFormatting>
  <conditionalFormatting sqref="CD5:CD8 CD10:CD11">
    <cfRule type="cellIs" dxfId="155" priority="20" operator="greaterThan">
      <formula>0</formula>
    </cfRule>
  </conditionalFormatting>
  <conditionalFormatting sqref="CD4">
    <cfRule type="cellIs" dxfId="154" priority="21" operator="greaterThan">
      <formula>0</formula>
    </cfRule>
  </conditionalFormatting>
  <conditionalFormatting sqref="BK10:BK11">
    <cfRule type="cellIs" dxfId="153" priority="22" operator="greaterThan">
      <formula>0</formula>
    </cfRule>
  </conditionalFormatting>
  <conditionalFormatting sqref="BK4:BK8">
    <cfRule type="cellIs" dxfId="152" priority="23" operator="greaterThan">
      <formula>0</formula>
    </cfRule>
  </conditionalFormatting>
  <conditionalFormatting sqref="CG5:CG8 CG10:CG11">
    <cfRule type="cellIs" dxfId="151" priority="24" operator="greaterThan">
      <formula>0</formula>
    </cfRule>
  </conditionalFormatting>
  <conditionalFormatting sqref="CG4">
    <cfRule type="cellIs" dxfId="150" priority="25" operator="greaterThan">
      <formula>0</formula>
    </cfRule>
  </conditionalFormatting>
  <conditionalFormatting sqref="CJ5:CJ8 CJ10:CJ11">
    <cfRule type="cellIs" dxfId="149" priority="26" operator="greaterThan">
      <formula>0</formula>
    </cfRule>
  </conditionalFormatting>
  <conditionalFormatting sqref="CJ4">
    <cfRule type="cellIs" dxfId="148" priority="27" operator="greaterThan">
      <formula>0</formula>
    </cfRule>
  </conditionalFormatting>
  <conditionalFormatting sqref="BN10:BN11">
    <cfRule type="cellIs" dxfId="147" priority="28" operator="greaterThan">
      <formula>0</formula>
    </cfRule>
  </conditionalFormatting>
  <conditionalFormatting sqref="BN4:BN8">
    <cfRule type="cellIs" dxfId="146" priority="29" operator="greaterThan">
      <formula>0</formula>
    </cfRule>
  </conditionalFormatting>
  <conditionalFormatting sqref="BR10:BR11">
    <cfRule type="cellIs" dxfId="145" priority="30" operator="greaterThan">
      <formula>0</formula>
    </cfRule>
  </conditionalFormatting>
  <conditionalFormatting sqref="BR6:BR8">
    <cfRule type="cellIs" dxfId="144" priority="31" operator="greaterThan">
      <formula>0</formula>
    </cfRule>
  </conditionalFormatting>
  <hyperlinks>
    <hyperlink ref="B13" r:id="rId1"/>
    <hyperlink ref="B14" r:id="rId2"/>
    <hyperlink ref="B15" r:id="rId3"/>
    <hyperlink ref="B16" r:id="rId4"/>
    <hyperlink ref="B17" r:id="rId5"/>
    <hyperlink ref="B18" r:id="rId6"/>
    <hyperlink ref="B19" r:id="rId7"/>
    <hyperlink ref="B20" r:id="rId8"/>
    <hyperlink ref="B21" r:id="rId9"/>
    <hyperlink ref="B22" r:id="rId10"/>
    <hyperlink ref="B23" r:id="rId11"/>
    <hyperlink ref="B24" r:id="rId12"/>
    <hyperlink ref="B25" r:id="rId13"/>
    <hyperlink ref="B26" r:id="rId14"/>
    <hyperlink ref="B28" r:id="rId15"/>
    <hyperlink ref="B29" r:id="rId16"/>
    <hyperlink ref="B30" r:id="rId17"/>
    <hyperlink ref="B31" r:id="rId18"/>
    <hyperlink ref="B32" r:id="rId19"/>
    <hyperlink ref="B33" r:id="rId20"/>
    <hyperlink ref="B34" r:id="rId21"/>
    <hyperlink ref="B35" r:id="rId22"/>
    <hyperlink ref="B36" r:id="rId23"/>
    <hyperlink ref="B37" r:id="rId24"/>
    <hyperlink ref="B38" r:id="rId25"/>
    <hyperlink ref="B39" r:id="rId26"/>
    <hyperlink ref="B40" r:id="rId27"/>
    <hyperlink ref="B41" r:id="rId28"/>
    <hyperlink ref="B42" r:id="rId29"/>
    <hyperlink ref="B43" r:id="rId30"/>
    <hyperlink ref="B44" r:id="rId31"/>
    <hyperlink ref="B45" r:id="rId32"/>
    <hyperlink ref="B46" r:id="rId33"/>
    <hyperlink ref="B47" r:id="rId34"/>
    <hyperlink ref="B48" r:id="rId35"/>
    <hyperlink ref="B49" r:id="rId36"/>
    <hyperlink ref="B50" r:id="rId37"/>
    <hyperlink ref="B51" r:id="rId38"/>
    <hyperlink ref="B52" r:id="rId39"/>
    <hyperlink ref="B53" r:id="rId40"/>
    <hyperlink ref="B54" r:id="rId41"/>
    <hyperlink ref="B55" r:id="rId42"/>
    <hyperlink ref="B56" r:id="rId43"/>
    <hyperlink ref="B57" r:id="rId44"/>
    <hyperlink ref="B58" r:id="rId45"/>
    <hyperlink ref="B59" r:id="rId46"/>
    <hyperlink ref="B60" r:id="rId47"/>
    <hyperlink ref="B61" r:id="rId48"/>
    <hyperlink ref="B62" r:id="rId49"/>
    <hyperlink ref="B63" r:id="rId50"/>
    <hyperlink ref="B64" r:id="rId51"/>
    <hyperlink ref="B65" r:id="rId52"/>
    <hyperlink ref="B66" r:id="rId53"/>
  </hyperlinks>
  <printOptions gridLines="1"/>
  <pageMargins left="0.25" right="0.25" top="0.75" bottom="0.75" header="0" footer="0"/>
  <pageSetup paperSize="5" fitToHeight="0" orientation="landscape"/>
  <headerFooter>
    <oddHeader>&amp;LSAGE LIBRARY SYSTEM Membership fee schedule</oddHeader>
    <oddFooter>&amp;R&amp;P of</oddFooter>
  </headerFooter>
  <legacyDrawing r:id="rId5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4.3984375" defaultRowHeight="15" customHeight="1" x14ac:dyDescent="0.45"/>
  <cols>
    <col min="1" max="1" width="45.86328125" customWidth="1"/>
    <col min="2" max="2" width="5.53125" customWidth="1"/>
    <col min="3" max="3" width="5.1328125" customWidth="1"/>
    <col min="4" max="4" width="13.73046875" customWidth="1"/>
    <col min="5" max="5" width="2.53125" customWidth="1"/>
    <col min="6" max="6" width="13.73046875" customWidth="1"/>
    <col min="7" max="7" width="23.1328125" hidden="1" customWidth="1"/>
    <col min="8" max="8" width="2.1328125" customWidth="1"/>
    <col min="9" max="9" width="13.73046875" customWidth="1"/>
    <col min="10" max="10" width="8.1328125" hidden="1" customWidth="1"/>
    <col min="11" max="11" width="1.86328125" customWidth="1"/>
    <col min="12" max="12" width="11.3984375" hidden="1" customWidth="1"/>
    <col min="13" max="13" width="8.1328125" hidden="1" customWidth="1"/>
    <col min="14" max="14" width="3" hidden="1" customWidth="1"/>
    <col min="15" max="15" width="11.53125" hidden="1" customWidth="1"/>
    <col min="16" max="16" width="15.265625" hidden="1" customWidth="1"/>
    <col min="17" max="17" width="13.73046875" customWidth="1"/>
    <col min="18" max="18" width="2.86328125" customWidth="1"/>
    <col min="19" max="19" width="15.3984375" customWidth="1"/>
    <col min="20" max="20" width="14" customWidth="1"/>
    <col min="21" max="21" width="10.1328125" customWidth="1"/>
    <col min="22" max="22" width="12.53125" customWidth="1"/>
    <col min="23" max="23" width="3" customWidth="1"/>
    <col min="24" max="24" width="15.86328125" customWidth="1"/>
    <col min="25" max="25" width="9.265625" hidden="1" customWidth="1"/>
    <col min="26" max="26" width="10.86328125" hidden="1" customWidth="1"/>
    <col min="27" max="27" width="21" customWidth="1"/>
    <col min="28" max="28" width="12.265625" customWidth="1"/>
    <col min="29" max="29" width="2.1328125" customWidth="1"/>
    <col min="30" max="30" width="15.86328125" customWidth="1"/>
    <col min="31" max="31" width="12.265625" customWidth="1"/>
    <col min="32" max="32" width="14.3984375" customWidth="1"/>
  </cols>
  <sheetData>
    <row r="1" spans="1:32" ht="21" x14ac:dyDescent="0.65">
      <c r="A1" s="163" t="s">
        <v>191</v>
      </c>
      <c r="B1" s="163"/>
      <c r="C1" s="163"/>
      <c r="D1" s="164"/>
      <c r="E1" s="22"/>
      <c r="F1" s="165"/>
      <c r="G1" s="22"/>
      <c r="H1" s="22"/>
      <c r="I1" s="166"/>
      <c r="J1" s="167"/>
      <c r="K1" s="22"/>
      <c r="L1" s="168" t="s">
        <v>192</v>
      </c>
      <c r="M1" s="167"/>
      <c r="N1" s="167"/>
      <c r="O1" s="169" t="s">
        <v>193</v>
      </c>
      <c r="P1" s="170" t="s">
        <v>194</v>
      </c>
      <c r="Q1" s="171" t="s">
        <v>193</v>
      </c>
      <c r="R1" s="22"/>
      <c r="S1" s="172" t="s">
        <v>195</v>
      </c>
      <c r="T1" s="173" t="s">
        <v>193</v>
      </c>
      <c r="U1" s="174"/>
      <c r="V1" s="174"/>
      <c r="W1" s="175"/>
      <c r="X1" s="176" t="s">
        <v>196</v>
      </c>
      <c r="Y1" s="177"/>
      <c r="Z1" s="177"/>
      <c r="AA1" s="175"/>
      <c r="AB1" s="178" t="s">
        <v>197</v>
      </c>
      <c r="AC1" s="178"/>
      <c r="AD1" s="179" t="s">
        <v>198</v>
      </c>
      <c r="AE1" s="178"/>
      <c r="AF1" s="22"/>
    </row>
    <row r="2" spans="1:32" ht="15.75" x14ac:dyDescent="0.5">
      <c r="A2" s="22"/>
      <c r="B2" s="22"/>
      <c r="C2" s="22"/>
      <c r="D2" s="180" t="s">
        <v>199</v>
      </c>
      <c r="E2" s="181"/>
      <c r="F2" s="182" t="s">
        <v>200</v>
      </c>
      <c r="G2" s="181"/>
      <c r="H2" s="181"/>
      <c r="I2" s="183" t="s">
        <v>201</v>
      </c>
      <c r="J2" s="184"/>
      <c r="K2" s="181"/>
      <c r="L2" s="185" t="s">
        <v>202</v>
      </c>
      <c r="M2" s="184"/>
      <c r="N2" s="184"/>
      <c r="O2" s="186">
        <v>43178</v>
      </c>
      <c r="P2" s="185" t="s">
        <v>202</v>
      </c>
      <c r="Q2" s="184" t="s">
        <v>203</v>
      </c>
      <c r="R2" s="181"/>
      <c r="S2" s="187" t="s">
        <v>204</v>
      </c>
      <c r="T2" s="188">
        <v>43678</v>
      </c>
      <c r="U2" s="189" t="s">
        <v>205</v>
      </c>
      <c r="V2" s="189" t="s">
        <v>206</v>
      </c>
      <c r="W2" s="190"/>
      <c r="X2" s="191" t="s">
        <v>207</v>
      </c>
      <c r="Y2" s="192" t="s">
        <v>208</v>
      </c>
      <c r="Z2" s="192" t="s">
        <v>209</v>
      </c>
      <c r="AA2" s="190"/>
      <c r="AB2" s="193">
        <v>43843</v>
      </c>
      <c r="AC2" s="193"/>
      <c r="AD2" s="194" t="s">
        <v>210</v>
      </c>
      <c r="AE2" s="195" t="s">
        <v>211</v>
      </c>
      <c r="AF2" s="22"/>
    </row>
    <row r="3" spans="1:32" ht="14.25" x14ac:dyDescent="0.45">
      <c r="A3" s="196" t="s">
        <v>212</v>
      </c>
      <c r="B3" s="52"/>
      <c r="C3" s="52"/>
      <c r="D3" s="164"/>
      <c r="E3" s="52"/>
      <c r="F3" s="197"/>
      <c r="G3" s="52"/>
      <c r="H3" s="52"/>
      <c r="I3" s="198"/>
      <c r="J3" s="199"/>
      <c r="K3" s="52"/>
      <c r="L3" s="200"/>
      <c r="M3" s="199"/>
      <c r="N3" s="199"/>
      <c r="O3" s="201"/>
      <c r="P3" s="202"/>
      <c r="Q3" s="203"/>
      <c r="R3" s="52"/>
      <c r="S3" s="204"/>
      <c r="T3" s="205"/>
      <c r="U3" s="206"/>
      <c r="V3" s="206"/>
      <c r="W3" s="207"/>
      <c r="X3" s="208"/>
      <c r="Y3" s="209"/>
      <c r="Z3" s="209"/>
      <c r="AA3" s="207"/>
      <c r="AB3" s="74"/>
      <c r="AC3" s="74"/>
      <c r="AD3" s="210">
        <v>0.03</v>
      </c>
      <c r="AE3" s="74"/>
      <c r="AF3" s="22"/>
    </row>
    <row r="4" spans="1:32" ht="14.25" x14ac:dyDescent="0.45">
      <c r="A4" s="196" t="s">
        <v>213</v>
      </c>
      <c r="B4" s="52"/>
      <c r="C4" s="52"/>
      <c r="D4" s="164"/>
      <c r="E4" s="52"/>
      <c r="F4" s="197"/>
      <c r="G4" s="52"/>
      <c r="H4" s="52"/>
      <c r="I4" s="198"/>
      <c r="J4" s="199"/>
      <c r="K4" s="52"/>
      <c r="L4" s="200"/>
      <c r="M4" s="199"/>
      <c r="N4" s="199"/>
      <c r="O4" s="201"/>
      <c r="P4" s="202"/>
      <c r="Q4" s="203"/>
      <c r="R4" s="52"/>
      <c r="S4" s="204"/>
      <c r="T4" s="205"/>
      <c r="U4" s="206"/>
      <c r="V4" s="206"/>
      <c r="W4" s="207"/>
      <c r="X4" s="208"/>
      <c r="Y4" s="209"/>
      <c r="Z4" s="209"/>
      <c r="AA4" s="207"/>
      <c r="AB4" s="74"/>
      <c r="AC4" s="74"/>
      <c r="AD4" s="211"/>
      <c r="AE4" s="74"/>
      <c r="AF4" s="22"/>
    </row>
    <row r="5" spans="1:32" ht="14.25" x14ac:dyDescent="0.45">
      <c r="A5" s="196" t="s">
        <v>214</v>
      </c>
      <c r="B5" s="52"/>
      <c r="C5" s="52"/>
      <c r="D5" s="164"/>
      <c r="E5" s="52"/>
      <c r="F5" s="197"/>
      <c r="G5" s="52"/>
      <c r="H5" s="52"/>
      <c r="I5" s="198"/>
      <c r="J5" s="199"/>
      <c r="K5" s="52"/>
      <c r="L5" s="200"/>
      <c r="M5" s="199"/>
      <c r="N5" s="199"/>
      <c r="O5" s="201"/>
      <c r="P5" s="202"/>
      <c r="Q5" s="203"/>
      <c r="R5" s="52"/>
      <c r="S5" s="204"/>
      <c r="T5" s="205"/>
      <c r="U5" s="206"/>
      <c r="V5" s="206"/>
      <c r="W5" s="207"/>
      <c r="X5" s="208"/>
      <c r="Y5" s="209"/>
      <c r="Z5" s="209"/>
      <c r="AA5" s="207"/>
      <c r="AB5" s="74"/>
      <c r="AC5" s="74"/>
      <c r="AD5" s="211"/>
      <c r="AE5" s="74"/>
      <c r="AF5" s="22"/>
    </row>
    <row r="6" spans="1:32" ht="14.25" x14ac:dyDescent="0.45">
      <c r="A6" s="196" t="s">
        <v>215</v>
      </c>
      <c r="B6" s="52"/>
      <c r="C6" s="52"/>
      <c r="D6" s="164"/>
      <c r="E6" s="52"/>
      <c r="F6" s="197"/>
      <c r="G6" s="52"/>
      <c r="H6" s="52"/>
      <c r="I6" s="198"/>
      <c r="J6" s="199"/>
      <c r="K6" s="52"/>
      <c r="L6" s="200"/>
      <c r="M6" s="199"/>
      <c r="N6" s="199"/>
      <c r="O6" s="201"/>
      <c r="P6" s="202"/>
      <c r="Q6" s="203"/>
      <c r="R6" s="52"/>
      <c r="S6" s="204"/>
      <c r="T6" s="205"/>
      <c r="U6" s="206"/>
      <c r="V6" s="206"/>
      <c r="W6" s="207"/>
      <c r="X6" s="208"/>
      <c r="Y6" s="209"/>
      <c r="Z6" s="209"/>
      <c r="AA6" s="207"/>
      <c r="AB6" s="74"/>
      <c r="AC6" s="74"/>
      <c r="AD6" s="211"/>
      <c r="AE6" s="74"/>
      <c r="AF6" s="22"/>
    </row>
    <row r="7" spans="1:32" ht="14.25" x14ac:dyDescent="0.45">
      <c r="A7" s="212" t="s">
        <v>216</v>
      </c>
      <c r="B7" s="22"/>
      <c r="C7" s="22"/>
      <c r="D7" s="164"/>
      <c r="E7" s="22"/>
      <c r="F7" s="197"/>
      <c r="G7" s="22"/>
      <c r="H7" s="22"/>
      <c r="I7" s="198"/>
      <c r="J7" s="22"/>
      <c r="K7" s="22"/>
      <c r="L7" s="200"/>
      <c r="M7" s="22"/>
      <c r="N7" s="199"/>
      <c r="O7" s="201"/>
      <c r="P7" s="202"/>
      <c r="Q7" s="203"/>
      <c r="R7" s="22"/>
      <c r="S7" s="204"/>
      <c r="T7" s="205"/>
      <c r="U7" s="206"/>
      <c r="V7" s="206"/>
      <c r="W7" s="190"/>
      <c r="X7" s="213"/>
      <c r="Y7" s="209"/>
      <c r="Z7" s="209"/>
      <c r="AA7" s="190"/>
      <c r="AB7" s="145"/>
      <c r="AC7" s="145"/>
      <c r="AD7" s="214"/>
      <c r="AE7" s="145"/>
      <c r="AF7" s="22"/>
    </row>
    <row r="8" spans="1:32" ht="15.75" x14ac:dyDescent="0.5">
      <c r="A8" s="215"/>
      <c r="B8" s="181"/>
      <c r="C8" s="181"/>
      <c r="D8" s="164"/>
      <c r="E8" s="22"/>
      <c r="F8" s="197"/>
      <c r="G8" s="22"/>
      <c r="H8" s="22"/>
      <c r="I8" s="198"/>
      <c r="J8" s="22"/>
      <c r="K8" s="22"/>
      <c r="L8" s="200"/>
      <c r="M8" s="22"/>
      <c r="N8" s="199"/>
      <c r="O8" s="201"/>
      <c r="P8" s="202"/>
      <c r="Q8" s="203"/>
      <c r="R8" s="22"/>
      <c r="S8" s="204"/>
      <c r="T8" s="205"/>
      <c r="U8" s="206"/>
      <c r="V8" s="206"/>
      <c r="W8" s="216"/>
      <c r="X8" s="217"/>
      <c r="Y8" s="209"/>
      <c r="Z8" s="209"/>
      <c r="AA8" s="216"/>
      <c r="AB8" s="218"/>
      <c r="AC8" s="218"/>
      <c r="AD8" s="219"/>
      <c r="AE8" s="218"/>
      <c r="AF8" s="22"/>
    </row>
    <row r="9" spans="1:32" ht="14.25" x14ac:dyDescent="0.45">
      <c r="A9" s="196" t="s">
        <v>217</v>
      </c>
      <c r="B9" s="22"/>
      <c r="C9" s="22"/>
      <c r="D9" s="164"/>
      <c r="E9" s="22"/>
      <c r="F9" s="165"/>
      <c r="G9" s="22"/>
      <c r="H9" s="22"/>
      <c r="I9" s="198"/>
      <c r="J9" s="167"/>
      <c r="K9" s="22"/>
      <c r="L9" s="220"/>
      <c r="M9" s="167"/>
      <c r="N9" s="167"/>
      <c r="O9" s="221"/>
      <c r="P9" s="222"/>
      <c r="Q9" s="223"/>
      <c r="R9" s="22"/>
      <c r="S9" s="224"/>
      <c r="T9" s="225"/>
      <c r="U9" s="174"/>
      <c r="V9" s="174"/>
      <c r="W9" s="190"/>
      <c r="X9" s="213"/>
      <c r="Y9" s="177"/>
      <c r="Z9" s="177"/>
      <c r="AA9" s="190"/>
      <c r="AB9" s="145"/>
      <c r="AC9" s="145"/>
      <c r="AD9" s="214"/>
      <c r="AE9" s="145"/>
      <c r="AF9" s="22"/>
    </row>
    <row r="10" spans="1:32" ht="42.75" x14ac:dyDescent="0.45">
      <c r="A10" s="212" t="s">
        <v>218</v>
      </c>
      <c r="B10" s="22"/>
      <c r="C10" s="22"/>
      <c r="D10" s="226">
        <v>95000</v>
      </c>
      <c r="E10" s="227"/>
      <c r="F10" s="228">
        <v>135422</v>
      </c>
      <c r="G10" s="22"/>
      <c r="H10" s="22"/>
      <c r="I10" s="229">
        <v>148801</v>
      </c>
      <c r="J10" s="167"/>
      <c r="K10" s="22"/>
      <c r="L10" s="222">
        <v>160350</v>
      </c>
      <c r="M10" s="167"/>
      <c r="N10" s="167"/>
      <c r="O10" s="230">
        <v>190981</v>
      </c>
      <c r="P10" s="222">
        <v>191000</v>
      </c>
      <c r="Q10" s="223">
        <v>190981</v>
      </c>
      <c r="R10" s="22"/>
      <c r="S10" s="231">
        <v>201500</v>
      </c>
      <c r="T10" s="232">
        <v>201284</v>
      </c>
      <c r="U10" s="233">
        <f t="shared" ref="U10:U12" si="0">SUM(T10-S10)</f>
        <v>-216</v>
      </c>
      <c r="V10" s="234">
        <f t="shared" ref="V10:V12" si="1">SUM(T10-S10)/S10</f>
        <v>-1.0719602977667495E-3</v>
      </c>
      <c r="W10" s="190"/>
      <c r="X10" s="235">
        <v>195000</v>
      </c>
      <c r="Y10" s="236">
        <f t="shared" ref="Y10:Y12" si="2">SUM(X10-S10)</f>
        <v>-6500</v>
      </c>
      <c r="Z10" s="237">
        <f t="shared" ref="Z10:Z12" si="3">SUM(X10-S10)/S10</f>
        <v>-3.2258064516129031E-2</v>
      </c>
      <c r="AA10" s="190" t="s">
        <v>219</v>
      </c>
      <c r="AB10" s="145">
        <v>204944</v>
      </c>
      <c r="AC10" s="145"/>
      <c r="AD10" s="238">
        <v>205000</v>
      </c>
      <c r="AE10" s="44">
        <f t="shared" ref="AE10:AE11" si="4">SUM(AD10-X10)/X10</f>
        <v>5.128205128205128E-2</v>
      </c>
      <c r="AF10" s="22"/>
    </row>
    <row r="11" spans="1:32" ht="57" x14ac:dyDescent="0.45">
      <c r="A11" s="212" t="s">
        <v>220</v>
      </c>
      <c r="B11" s="22"/>
      <c r="C11" s="22"/>
      <c r="D11" s="226">
        <v>193160</v>
      </c>
      <c r="E11" s="227"/>
      <c r="F11" s="228">
        <v>197097</v>
      </c>
      <c r="G11" s="22"/>
      <c r="H11" s="22"/>
      <c r="I11" s="229">
        <v>203697</v>
      </c>
      <c r="J11" s="167"/>
      <c r="K11" s="22"/>
      <c r="L11" s="222">
        <v>211000</v>
      </c>
      <c r="M11" s="167"/>
      <c r="N11" s="167"/>
      <c r="O11" s="230">
        <v>209506</v>
      </c>
      <c r="P11" s="222">
        <v>211000</v>
      </c>
      <c r="Q11" s="223">
        <v>209006</v>
      </c>
      <c r="R11" s="22"/>
      <c r="S11" s="239">
        <v>214571</v>
      </c>
      <c r="T11" s="232">
        <v>203300</v>
      </c>
      <c r="U11" s="233">
        <f t="shared" si="0"/>
        <v>-11271</v>
      </c>
      <c r="V11" s="240">
        <f t="shared" si="1"/>
        <v>-5.2528067632625096E-2</v>
      </c>
      <c r="W11" s="190"/>
      <c r="X11" s="235">
        <v>217520</v>
      </c>
      <c r="Y11" s="236">
        <f t="shared" si="2"/>
        <v>2949</v>
      </c>
      <c r="Z11" s="237">
        <f t="shared" si="3"/>
        <v>1.3743702550670873E-2</v>
      </c>
      <c r="AA11" s="190" t="s">
        <v>221</v>
      </c>
      <c r="AB11" s="145">
        <v>217517</v>
      </c>
      <c r="AC11" s="145"/>
      <c r="AD11" s="238">
        <v>221000</v>
      </c>
      <c r="AE11" s="44">
        <f t="shared" si="4"/>
        <v>1.5998528870908423E-2</v>
      </c>
      <c r="AF11" s="22"/>
    </row>
    <row r="12" spans="1:32" ht="14.25" x14ac:dyDescent="0.45">
      <c r="A12" s="212" t="s">
        <v>222</v>
      </c>
      <c r="B12" s="22"/>
      <c r="C12" s="22"/>
      <c r="D12" s="226">
        <v>0</v>
      </c>
      <c r="E12" s="227"/>
      <c r="F12" s="241">
        <v>0</v>
      </c>
      <c r="G12" s="22"/>
      <c r="H12" s="22"/>
      <c r="I12" s="242">
        <v>0</v>
      </c>
      <c r="J12" s="167"/>
      <c r="K12" s="22"/>
      <c r="L12" s="220">
        <v>10</v>
      </c>
      <c r="M12" s="167"/>
      <c r="N12" s="167"/>
      <c r="O12" s="221"/>
      <c r="P12" s="222"/>
      <c r="Q12" s="223"/>
      <c r="R12" s="22"/>
      <c r="S12" s="224">
        <v>10</v>
      </c>
      <c r="T12" s="225"/>
      <c r="U12" s="233">
        <f t="shared" si="0"/>
        <v>-10</v>
      </c>
      <c r="V12" s="240">
        <f t="shared" si="1"/>
        <v>-1</v>
      </c>
      <c r="W12" s="190"/>
      <c r="X12" s="235">
        <v>10</v>
      </c>
      <c r="Y12" s="236">
        <f t="shared" si="2"/>
        <v>0</v>
      </c>
      <c r="Z12" s="237">
        <f t="shared" si="3"/>
        <v>0</v>
      </c>
      <c r="AA12" s="190"/>
      <c r="AB12" s="145">
        <v>0</v>
      </c>
      <c r="AC12" s="145"/>
      <c r="AD12" s="238"/>
      <c r="AE12" s="145"/>
      <c r="AF12" s="22"/>
    </row>
    <row r="13" spans="1:32" ht="14.25" x14ac:dyDescent="0.45">
      <c r="A13" s="196" t="s">
        <v>223</v>
      </c>
      <c r="B13" s="22"/>
      <c r="C13" s="22"/>
      <c r="D13" s="164"/>
      <c r="E13" s="22"/>
      <c r="F13" s="243"/>
      <c r="G13" s="22"/>
      <c r="H13" s="22"/>
      <c r="I13" s="244"/>
      <c r="J13" s="167"/>
      <c r="K13" s="22"/>
      <c r="L13" s="222"/>
      <c r="M13" s="167"/>
      <c r="N13" s="167"/>
      <c r="O13" s="221"/>
      <c r="P13" s="222"/>
      <c r="Q13" s="223"/>
      <c r="R13" s="22"/>
      <c r="S13" s="231"/>
      <c r="T13" s="225"/>
      <c r="U13" s="233"/>
      <c r="V13" s="240"/>
      <c r="W13" s="190"/>
      <c r="X13" s="235"/>
      <c r="Y13" s="236"/>
      <c r="Z13" s="237"/>
      <c r="AA13" s="190"/>
      <c r="AB13" s="145">
        <v>0</v>
      </c>
      <c r="AC13" s="145"/>
      <c r="AD13" s="238"/>
      <c r="AE13" s="145"/>
      <c r="AF13" s="22"/>
    </row>
    <row r="14" spans="1:32" ht="14.25" x14ac:dyDescent="0.45">
      <c r="A14" s="245" t="s">
        <v>224</v>
      </c>
      <c r="B14" s="22"/>
      <c r="C14" s="22"/>
      <c r="D14" s="246"/>
      <c r="E14" s="227"/>
      <c r="F14" s="228">
        <v>47700</v>
      </c>
      <c r="G14" s="22"/>
      <c r="H14" s="22"/>
      <c r="I14" s="229">
        <v>45242</v>
      </c>
      <c r="J14" s="167"/>
      <c r="K14" s="22"/>
      <c r="L14" s="222">
        <v>50000</v>
      </c>
      <c r="M14" s="167"/>
      <c r="N14" s="167"/>
      <c r="O14" s="230">
        <v>53562</v>
      </c>
      <c r="P14" s="222">
        <v>54000</v>
      </c>
      <c r="Q14" s="223">
        <f>55620+1620</f>
        <v>57240</v>
      </c>
      <c r="R14" s="22"/>
      <c r="S14" s="231">
        <v>55000</v>
      </c>
      <c r="T14" s="232">
        <v>55000</v>
      </c>
      <c r="U14" s="233">
        <f t="shared" ref="U14:U17" si="5">SUM(T14-S14)</f>
        <v>0</v>
      </c>
      <c r="V14" s="240">
        <f>SUM(T14-S14)/S14</f>
        <v>0</v>
      </c>
      <c r="W14" s="190"/>
      <c r="X14" s="235">
        <v>58000</v>
      </c>
      <c r="Y14" s="236">
        <f>SUM(X14-S14)</f>
        <v>3000</v>
      </c>
      <c r="Z14" s="237">
        <f>SUM(X14-S14)/S14</f>
        <v>5.4545454545454543E-2</v>
      </c>
      <c r="AA14" s="190" t="s">
        <v>225</v>
      </c>
      <c r="AB14" s="145">
        <v>27500</v>
      </c>
      <c r="AC14" s="145"/>
      <c r="AD14" s="238">
        <v>58000</v>
      </c>
      <c r="AE14" s="44">
        <f>SUM(AD14-X14)/X14</f>
        <v>0</v>
      </c>
      <c r="AF14" s="22"/>
    </row>
    <row r="15" spans="1:32" ht="14.25" x14ac:dyDescent="0.45">
      <c r="A15" s="245" t="s">
        <v>226</v>
      </c>
      <c r="B15" s="22"/>
      <c r="C15" s="22"/>
      <c r="D15" s="246"/>
      <c r="E15" s="227"/>
      <c r="F15" s="228">
        <v>47704</v>
      </c>
      <c r="G15" s="22"/>
      <c r="H15" s="22"/>
      <c r="I15" s="229">
        <v>0</v>
      </c>
      <c r="J15" s="167"/>
      <c r="K15" s="22"/>
      <c r="L15" s="222">
        <v>0</v>
      </c>
      <c r="M15" s="167"/>
      <c r="N15" s="167"/>
      <c r="O15" s="230">
        <v>0</v>
      </c>
      <c r="P15" s="222">
        <v>0</v>
      </c>
      <c r="Q15" s="223"/>
      <c r="R15" s="22"/>
      <c r="S15" s="231">
        <v>0</v>
      </c>
      <c r="T15" s="232">
        <v>0</v>
      </c>
      <c r="U15" s="233">
        <f t="shared" si="5"/>
        <v>0</v>
      </c>
      <c r="V15" s="240"/>
      <c r="W15" s="190"/>
      <c r="X15" s="235">
        <v>0</v>
      </c>
      <c r="Y15" s="236"/>
      <c r="Z15" s="237"/>
      <c r="AA15" s="190" t="s">
        <v>227</v>
      </c>
      <c r="AB15" s="145">
        <v>0</v>
      </c>
      <c r="AC15" s="145"/>
      <c r="AD15" s="238">
        <v>0</v>
      </c>
      <c r="AE15" s="145"/>
      <c r="AF15" s="22"/>
    </row>
    <row r="16" spans="1:32" ht="14.25" x14ac:dyDescent="0.45">
      <c r="A16" s="247" t="s">
        <v>228</v>
      </c>
      <c r="B16" s="22"/>
      <c r="C16" s="22"/>
      <c r="D16" s="248">
        <v>118811</v>
      </c>
      <c r="E16" s="249"/>
      <c r="F16" s="250">
        <v>95404</v>
      </c>
      <c r="G16" s="22"/>
      <c r="H16" s="22"/>
      <c r="I16" s="251">
        <v>45242</v>
      </c>
      <c r="J16" s="167"/>
      <c r="K16" s="22"/>
      <c r="L16" s="202">
        <f>SUM(L14:L15)</f>
        <v>50000</v>
      </c>
      <c r="M16" s="167"/>
      <c r="N16" s="167"/>
      <c r="O16" s="230">
        <v>53562</v>
      </c>
      <c r="P16" s="252">
        <f t="shared" ref="P16:Q16" si="6">SUM(P14:P15)</f>
        <v>54000</v>
      </c>
      <c r="Q16" s="253">
        <f t="shared" si="6"/>
        <v>57240</v>
      </c>
      <c r="R16" s="22"/>
      <c r="S16" s="254">
        <f t="shared" ref="S16:T16" si="7">SUM(S14:S15)</f>
        <v>55000</v>
      </c>
      <c r="T16" s="255">
        <f t="shared" si="7"/>
        <v>55000</v>
      </c>
      <c r="U16" s="233">
        <f t="shared" si="5"/>
        <v>0</v>
      </c>
      <c r="V16" s="240">
        <f t="shared" ref="V16:V17" si="8">SUM(T16-S16)/S16</f>
        <v>0</v>
      </c>
      <c r="W16" s="190"/>
      <c r="X16" s="254">
        <f>SUM(X14:X15)</f>
        <v>58000</v>
      </c>
      <c r="Y16" s="236">
        <f t="shared" ref="Y16:Y17" si="9">SUM(X16-S16)</f>
        <v>3000</v>
      </c>
      <c r="Z16" s="237"/>
      <c r="AA16" s="190"/>
      <c r="AB16" s="256">
        <f>SUM(AB14:AB15)</f>
        <v>27500</v>
      </c>
      <c r="AC16" s="257"/>
      <c r="AD16" s="258">
        <f>SUM(AD14:AD15)</f>
        <v>58000</v>
      </c>
      <c r="AE16" s="44">
        <f t="shared" ref="AE16:AE17" si="10">SUM(AD16-X16)/X16</f>
        <v>0</v>
      </c>
      <c r="AF16" s="22"/>
    </row>
    <row r="17" spans="1:32" ht="28.5" x14ac:dyDescent="0.45">
      <c r="A17" s="212" t="s">
        <v>229</v>
      </c>
      <c r="B17" s="22"/>
      <c r="C17" s="22"/>
      <c r="D17" s="259">
        <v>13148</v>
      </c>
      <c r="E17" s="22"/>
      <c r="F17" s="241">
        <v>772</v>
      </c>
      <c r="G17" s="22"/>
      <c r="H17" s="22"/>
      <c r="I17" s="229">
        <v>1580</v>
      </c>
      <c r="J17" s="167"/>
      <c r="K17" s="22"/>
      <c r="L17" s="222">
        <v>2575</v>
      </c>
      <c r="M17" s="167"/>
      <c r="N17" s="167"/>
      <c r="O17" s="221"/>
      <c r="P17" s="222">
        <v>2575</v>
      </c>
      <c r="Q17" s="223">
        <v>1260</v>
      </c>
      <c r="R17" s="22"/>
      <c r="S17" s="231">
        <v>2600</v>
      </c>
      <c r="T17" s="225">
        <v>1668</v>
      </c>
      <c r="U17" s="233">
        <f t="shared" si="5"/>
        <v>-932</v>
      </c>
      <c r="V17" s="240">
        <f t="shared" si="8"/>
        <v>-0.35846153846153844</v>
      </c>
      <c r="W17" s="190"/>
      <c r="X17" s="235">
        <v>1500</v>
      </c>
      <c r="Y17" s="236">
        <f t="shared" si="9"/>
        <v>-1100</v>
      </c>
      <c r="Z17" s="237">
        <f>SUM(X17-S17)/S17</f>
        <v>-0.42307692307692307</v>
      </c>
      <c r="AA17" s="190" t="s">
        <v>230</v>
      </c>
      <c r="AB17" s="145">
        <v>0</v>
      </c>
      <c r="AC17" s="145"/>
      <c r="AD17" s="238">
        <v>1500</v>
      </c>
      <c r="AE17" s="44">
        <f t="shared" si="10"/>
        <v>0</v>
      </c>
      <c r="AF17" s="22"/>
    </row>
    <row r="18" spans="1:32" ht="14.25" x14ac:dyDescent="0.45">
      <c r="A18" s="212" t="s">
        <v>231</v>
      </c>
      <c r="B18" s="22"/>
      <c r="C18" s="22"/>
      <c r="D18" s="164"/>
      <c r="E18" s="22"/>
      <c r="F18" s="165"/>
      <c r="G18" s="22"/>
      <c r="H18" s="22"/>
      <c r="I18" s="260"/>
      <c r="J18" s="167"/>
      <c r="K18" s="22"/>
      <c r="L18" s="220"/>
      <c r="M18" s="167"/>
      <c r="N18" s="167"/>
      <c r="O18" s="221"/>
      <c r="P18" s="222"/>
      <c r="Q18" s="223"/>
      <c r="R18" s="22"/>
      <c r="S18" s="224"/>
      <c r="T18" s="225"/>
      <c r="U18" s="233"/>
      <c r="V18" s="240"/>
      <c r="W18" s="190"/>
      <c r="X18" s="235"/>
      <c r="Y18" s="236"/>
      <c r="Z18" s="237"/>
      <c r="AA18" s="190"/>
      <c r="AB18" s="145"/>
      <c r="AC18" s="145"/>
      <c r="AD18" s="238"/>
      <c r="AE18" s="145"/>
      <c r="AF18" s="22"/>
    </row>
    <row r="19" spans="1:32" ht="14.25" x14ac:dyDescent="0.45">
      <c r="A19" s="212" t="s">
        <v>232</v>
      </c>
      <c r="B19" s="22"/>
      <c r="C19" s="22"/>
      <c r="D19" s="164"/>
      <c r="E19" s="22"/>
      <c r="F19" s="165"/>
      <c r="G19" s="22"/>
      <c r="H19" s="22"/>
      <c r="I19" s="260"/>
      <c r="J19" s="167"/>
      <c r="K19" s="22"/>
      <c r="L19" s="220"/>
      <c r="M19" s="167"/>
      <c r="N19" s="167"/>
      <c r="O19" s="221"/>
      <c r="P19" s="222"/>
      <c r="Q19" s="223"/>
      <c r="R19" s="22"/>
      <c r="S19" s="224"/>
      <c r="T19" s="225"/>
      <c r="U19" s="233"/>
      <c r="V19" s="240"/>
      <c r="W19" s="190"/>
      <c r="X19" s="235"/>
      <c r="Y19" s="236"/>
      <c r="Z19" s="237"/>
      <c r="AA19" s="190"/>
      <c r="AB19" s="145"/>
      <c r="AC19" s="145"/>
      <c r="AD19" s="238"/>
      <c r="AE19" s="145"/>
      <c r="AF19" s="22"/>
    </row>
    <row r="20" spans="1:32" ht="14.25" x14ac:dyDescent="0.45">
      <c r="A20" s="212" t="s">
        <v>233</v>
      </c>
      <c r="B20" s="22"/>
      <c r="C20" s="22"/>
      <c r="D20" s="164"/>
      <c r="E20" s="22"/>
      <c r="F20" s="165"/>
      <c r="G20" s="22"/>
      <c r="H20" s="22"/>
      <c r="I20" s="260"/>
      <c r="J20" s="167"/>
      <c r="K20" s="22"/>
      <c r="L20" s="220"/>
      <c r="M20" s="167"/>
      <c r="N20" s="167"/>
      <c r="O20" s="221"/>
      <c r="P20" s="222"/>
      <c r="Q20" s="223"/>
      <c r="R20" s="22"/>
      <c r="S20" s="224"/>
      <c r="T20" s="225"/>
      <c r="U20" s="233"/>
      <c r="V20" s="240"/>
      <c r="W20" s="190"/>
      <c r="X20" s="235"/>
      <c r="Y20" s="236"/>
      <c r="Z20" s="237"/>
      <c r="AA20" s="190"/>
      <c r="AB20" s="145"/>
      <c r="AC20" s="145"/>
      <c r="AD20" s="238"/>
      <c r="AE20" s="145"/>
      <c r="AF20" s="22"/>
    </row>
    <row r="21" spans="1:32" ht="15.75" customHeight="1" x14ac:dyDescent="0.5">
      <c r="A21" s="261" t="s">
        <v>234</v>
      </c>
      <c r="B21" s="129"/>
      <c r="C21" s="129"/>
      <c r="D21" s="262">
        <v>420119</v>
      </c>
      <c r="E21" s="263"/>
      <c r="F21" s="264">
        <v>428695</v>
      </c>
      <c r="G21" s="129"/>
      <c r="H21" s="129"/>
      <c r="I21" s="265">
        <v>399320</v>
      </c>
      <c r="J21" s="266"/>
      <c r="K21" s="129"/>
      <c r="L21" s="267">
        <f>SUM(L10:L12,L16:L20)</f>
        <v>423935</v>
      </c>
      <c r="M21" s="266"/>
      <c r="N21" s="266"/>
      <c r="O21" s="268">
        <v>454049</v>
      </c>
      <c r="P21" s="269">
        <f t="shared" ref="P21:Q21" si="11">SUM(P10:P12,P16:P20)</f>
        <v>458575</v>
      </c>
      <c r="Q21" s="270">
        <f t="shared" si="11"/>
        <v>458487</v>
      </c>
      <c r="R21" s="129"/>
      <c r="S21" s="271">
        <f t="shared" ref="S21:T21" si="12">SUM(S10:S12,S16:S20)</f>
        <v>473681</v>
      </c>
      <c r="T21" s="272">
        <f t="shared" si="12"/>
        <v>461252</v>
      </c>
      <c r="U21" s="233">
        <f>SUM(T21-S21)</f>
        <v>-12429</v>
      </c>
      <c r="V21" s="240">
        <f>SUM(T21-S21)/S21</f>
        <v>-2.6239177843316492E-2</v>
      </c>
      <c r="W21" s="273"/>
      <c r="X21" s="274">
        <f>SUM(X10:X12,X16:X20)</f>
        <v>472030</v>
      </c>
      <c r="Y21" s="236">
        <f>SUM(X21-S21)</f>
        <v>-1651</v>
      </c>
      <c r="Z21" s="237">
        <f>SUM(X21-S21)/S21</f>
        <v>-3.4854680681724618E-3</v>
      </c>
      <c r="AA21" s="273"/>
      <c r="AB21" s="275">
        <f>SUM(AB10:AB12,AB16:AB20)</f>
        <v>449961</v>
      </c>
      <c r="AC21" s="276"/>
      <c r="AD21" s="277">
        <f>SUM(AD10:AD12,AD16:AD20)</f>
        <v>485500</v>
      </c>
      <c r="AE21" s="44">
        <f>SUM(AD21-X21)/X21</f>
        <v>2.8536321843950597E-2</v>
      </c>
      <c r="AF21" s="22"/>
    </row>
    <row r="22" spans="1:32" ht="15.75" customHeight="1" x14ac:dyDescent="0.45">
      <c r="A22" s="227"/>
      <c r="B22" s="22"/>
      <c r="C22" s="22"/>
      <c r="D22" s="164"/>
      <c r="E22" s="22"/>
      <c r="F22" s="165"/>
      <c r="G22" s="22"/>
      <c r="H22" s="22"/>
      <c r="I22" s="260"/>
      <c r="J22" s="167"/>
      <c r="K22" s="22"/>
      <c r="L22" s="220"/>
      <c r="M22" s="167"/>
      <c r="N22" s="167"/>
      <c r="O22" s="221"/>
      <c r="P22" s="222"/>
      <c r="Q22" s="223"/>
      <c r="R22" s="22"/>
      <c r="S22" s="224"/>
      <c r="T22" s="225"/>
      <c r="U22" s="233"/>
      <c r="V22" s="174"/>
      <c r="W22" s="190"/>
      <c r="X22" s="235"/>
      <c r="Y22" s="236"/>
      <c r="Z22" s="237"/>
      <c r="AA22" s="190"/>
      <c r="AB22" s="145"/>
      <c r="AC22" s="145"/>
      <c r="AD22" s="238"/>
      <c r="AE22" s="145"/>
      <c r="AF22" s="22"/>
    </row>
    <row r="23" spans="1:32" ht="15.75" customHeight="1" x14ac:dyDescent="0.45">
      <c r="A23" s="212"/>
      <c r="B23" s="22"/>
      <c r="C23" s="22"/>
      <c r="D23" s="164"/>
      <c r="E23" s="22"/>
      <c r="F23" s="165"/>
      <c r="G23" s="22"/>
      <c r="H23" s="22"/>
      <c r="I23" s="260"/>
      <c r="J23" s="167"/>
      <c r="K23" s="22"/>
      <c r="L23" s="220"/>
      <c r="M23" s="167"/>
      <c r="N23" s="167"/>
      <c r="O23" s="221"/>
      <c r="P23" s="222"/>
      <c r="Q23" s="223"/>
      <c r="R23" s="22"/>
      <c r="S23" s="224"/>
      <c r="T23" s="225"/>
      <c r="U23" s="233"/>
      <c r="V23" s="174"/>
      <c r="W23" s="190"/>
      <c r="X23" s="235"/>
      <c r="Y23" s="236"/>
      <c r="Z23" s="237"/>
      <c r="AA23" s="190"/>
      <c r="AB23" s="145"/>
      <c r="AC23" s="145"/>
      <c r="AD23" s="238"/>
      <c r="AE23" s="145"/>
      <c r="AF23" s="22"/>
    </row>
    <row r="24" spans="1:32" ht="15.75" customHeight="1" x14ac:dyDescent="0.45">
      <c r="A24" s="196" t="s">
        <v>235</v>
      </c>
      <c r="B24" s="52"/>
      <c r="C24" s="52"/>
      <c r="D24" s="164"/>
      <c r="E24" s="52"/>
      <c r="F24" s="165"/>
      <c r="G24" s="52"/>
      <c r="H24" s="52"/>
      <c r="I24" s="260"/>
      <c r="J24" s="199"/>
      <c r="K24" s="52"/>
      <c r="L24" s="200"/>
      <c r="M24" s="199"/>
      <c r="N24" s="199"/>
      <c r="O24" s="221"/>
      <c r="P24" s="202"/>
      <c r="Q24" s="203"/>
      <c r="R24" s="52"/>
      <c r="S24" s="204"/>
      <c r="T24" s="225"/>
      <c r="U24" s="233"/>
      <c r="V24" s="206"/>
      <c r="W24" s="207"/>
      <c r="X24" s="278"/>
      <c r="Y24" s="236"/>
      <c r="Z24" s="237"/>
      <c r="AA24" s="207"/>
      <c r="AB24" s="74"/>
      <c r="AC24" s="74"/>
      <c r="AD24" s="279"/>
      <c r="AE24" s="145"/>
      <c r="AF24" s="22"/>
    </row>
    <row r="25" spans="1:32" ht="15.75" customHeight="1" x14ac:dyDescent="0.45">
      <c r="A25" s="196" t="s">
        <v>236</v>
      </c>
      <c r="B25" s="52"/>
      <c r="C25" s="52"/>
      <c r="D25" s="164"/>
      <c r="E25" s="52"/>
      <c r="F25" s="165"/>
      <c r="G25" s="52"/>
      <c r="H25" s="52"/>
      <c r="I25" s="260"/>
      <c r="J25" s="199"/>
      <c r="K25" s="52"/>
      <c r="L25" s="200"/>
      <c r="M25" s="199"/>
      <c r="N25" s="199"/>
      <c r="O25" s="221"/>
      <c r="P25" s="202"/>
      <c r="Q25" s="203"/>
      <c r="R25" s="52"/>
      <c r="S25" s="204"/>
      <c r="T25" s="225"/>
      <c r="U25" s="233"/>
      <c r="V25" s="206"/>
      <c r="W25" s="207"/>
      <c r="X25" s="278"/>
      <c r="Y25" s="236"/>
      <c r="Z25" s="237"/>
      <c r="AA25" s="207"/>
      <c r="AB25" s="74"/>
      <c r="AC25" s="74"/>
      <c r="AD25" s="279"/>
      <c r="AE25" s="145"/>
      <c r="AF25" s="22"/>
    </row>
    <row r="26" spans="1:32" ht="15.75" customHeight="1" x14ac:dyDescent="0.45">
      <c r="A26" s="247" t="s">
        <v>237</v>
      </c>
      <c r="B26" s="22"/>
      <c r="C26" s="22"/>
      <c r="D26" s="164"/>
      <c r="E26" s="22"/>
      <c r="F26" s="165"/>
      <c r="G26" s="22"/>
      <c r="H26" s="22"/>
      <c r="I26" s="260"/>
      <c r="J26" s="167"/>
      <c r="K26" s="22"/>
      <c r="L26" s="220"/>
      <c r="M26" s="167"/>
      <c r="N26" s="167"/>
      <c r="O26" s="221"/>
      <c r="P26" s="222"/>
      <c r="Q26" s="223"/>
      <c r="R26" s="22"/>
      <c r="S26" s="224"/>
      <c r="T26" s="225"/>
      <c r="U26" s="233"/>
      <c r="V26" s="174"/>
      <c r="W26" s="190"/>
      <c r="X26" s="235"/>
      <c r="Y26" s="236"/>
      <c r="Z26" s="237"/>
      <c r="AA26" s="190"/>
      <c r="AB26" s="145"/>
      <c r="AC26" s="145"/>
      <c r="AD26" s="238"/>
      <c r="AE26" s="145"/>
      <c r="AF26" s="22"/>
    </row>
    <row r="27" spans="1:32" ht="15.75" customHeight="1" x14ac:dyDescent="0.45">
      <c r="A27" s="245" t="s">
        <v>238</v>
      </c>
      <c r="B27" s="22"/>
      <c r="C27" s="22"/>
      <c r="D27" s="226">
        <v>49643</v>
      </c>
      <c r="E27" s="227"/>
      <c r="F27" s="280">
        <v>55708</v>
      </c>
      <c r="G27" s="22"/>
      <c r="H27" s="22"/>
      <c r="I27" s="281">
        <v>56730</v>
      </c>
      <c r="J27" s="167"/>
      <c r="K27" s="22"/>
      <c r="L27" s="282">
        <v>58000</v>
      </c>
      <c r="M27" s="167"/>
      <c r="N27" s="167"/>
      <c r="O27" s="230">
        <v>43375</v>
      </c>
      <c r="P27" s="222">
        <v>58000</v>
      </c>
      <c r="Q27" s="223">
        <v>62717</v>
      </c>
      <c r="R27" s="22"/>
      <c r="S27" s="283">
        <v>59700</v>
      </c>
      <c r="T27" s="232">
        <v>54414</v>
      </c>
      <c r="U27" s="233">
        <f t="shared" ref="U27:U28" si="13">SUM(T27-S27)</f>
        <v>-5286</v>
      </c>
      <c r="V27" s="240">
        <f t="shared" ref="V27:V28" si="14">SUM(T27-S27)/S27</f>
        <v>-8.8542713567839201E-2</v>
      </c>
      <c r="W27" s="190"/>
      <c r="X27" s="235">
        <v>60900</v>
      </c>
      <c r="Y27" s="236">
        <f t="shared" ref="Y27:Y28" si="15">SUM(X27-S27)</f>
        <v>1200</v>
      </c>
      <c r="Z27" s="237">
        <f t="shared" ref="Z27:Z28" si="16">SUM(X27-S27)/S27</f>
        <v>2.0100502512562814E-2</v>
      </c>
      <c r="AA27" s="284" t="str">
        <f>HYPERLINK("https://www.bls.gov/regions/west/news-release/consumerpriceindex_west.htm","Assumes 3% COLI")</f>
        <v>Assumes 3% COLI</v>
      </c>
      <c r="AB27" s="145">
        <v>30298</v>
      </c>
      <c r="AC27" s="145"/>
      <c r="AD27" s="238">
        <f t="shared" ref="AD27:AD28" si="17">SUM(X27*SUM(1+$AD$3))</f>
        <v>62727</v>
      </c>
      <c r="AE27" s="44">
        <f t="shared" ref="AE27:AE28" si="18">SUM(AD27-X27)/X27</f>
        <v>0.03</v>
      </c>
      <c r="AF27" s="22"/>
    </row>
    <row r="28" spans="1:32" ht="15.75" customHeight="1" x14ac:dyDescent="0.45">
      <c r="A28" s="245" t="s">
        <v>239</v>
      </c>
      <c r="B28" s="22"/>
      <c r="C28" s="22"/>
      <c r="D28" s="285">
        <v>5165</v>
      </c>
      <c r="E28" s="286"/>
      <c r="F28" s="243">
        <v>5310</v>
      </c>
      <c r="G28" s="145"/>
      <c r="H28" s="145"/>
      <c r="I28" s="244">
        <v>4936</v>
      </c>
      <c r="J28" s="223"/>
      <c r="K28" s="145"/>
      <c r="L28" s="222">
        <v>5750</v>
      </c>
      <c r="M28" s="223"/>
      <c r="N28" s="223"/>
      <c r="O28" s="230">
        <v>4355</v>
      </c>
      <c r="P28" s="222">
        <v>5750</v>
      </c>
      <c r="Q28" s="223">
        <v>6167</v>
      </c>
      <c r="R28" s="145"/>
      <c r="S28" s="231">
        <v>5850</v>
      </c>
      <c r="T28" s="232">
        <v>5144</v>
      </c>
      <c r="U28" s="233">
        <f t="shared" si="13"/>
        <v>-706</v>
      </c>
      <c r="V28" s="240">
        <f t="shared" si="14"/>
        <v>-0.12068376068376069</v>
      </c>
      <c r="W28" s="287"/>
      <c r="X28" s="235">
        <v>6000</v>
      </c>
      <c r="Y28" s="236">
        <f t="shared" si="15"/>
        <v>150</v>
      </c>
      <c r="Z28" s="237">
        <f t="shared" si="16"/>
        <v>2.564102564102564E-2</v>
      </c>
      <c r="AA28" s="287" t="s">
        <v>240</v>
      </c>
      <c r="AB28" s="145">
        <v>2968</v>
      </c>
      <c r="AC28" s="145"/>
      <c r="AD28" s="238">
        <f t="shared" si="17"/>
        <v>6180</v>
      </c>
      <c r="AE28" s="44">
        <f t="shared" si="18"/>
        <v>0.03</v>
      </c>
      <c r="AF28" s="22"/>
    </row>
    <row r="29" spans="1:32" ht="15.75" customHeight="1" x14ac:dyDescent="0.45">
      <c r="A29" s="245"/>
      <c r="B29" s="22"/>
      <c r="C29" s="22"/>
      <c r="D29" s="288"/>
      <c r="E29" s="286"/>
      <c r="F29" s="243"/>
      <c r="G29" s="145"/>
      <c r="H29" s="145"/>
      <c r="I29" s="244"/>
      <c r="J29" s="223"/>
      <c r="K29" s="145"/>
      <c r="L29" s="222"/>
      <c r="M29" s="223"/>
      <c r="N29" s="223"/>
      <c r="O29" s="221"/>
      <c r="P29" s="222"/>
      <c r="Q29" s="223"/>
      <c r="R29" s="145"/>
      <c r="S29" s="231"/>
      <c r="T29" s="225"/>
      <c r="U29" s="233"/>
      <c r="V29" s="240"/>
      <c r="W29" s="190"/>
      <c r="X29" s="235"/>
      <c r="Y29" s="236"/>
      <c r="Z29" s="237"/>
      <c r="AA29" s="190"/>
      <c r="AB29" s="145"/>
      <c r="AC29" s="145"/>
      <c r="AD29" s="238"/>
      <c r="AE29" s="145"/>
      <c r="AF29" s="22"/>
    </row>
    <row r="30" spans="1:32" ht="15.75" customHeight="1" x14ac:dyDescent="0.45">
      <c r="A30" s="247" t="s">
        <v>241</v>
      </c>
      <c r="B30" s="22"/>
      <c r="C30" s="22"/>
      <c r="D30" s="289">
        <v>54808</v>
      </c>
      <c r="E30" s="290"/>
      <c r="F30" s="291">
        <v>61018</v>
      </c>
      <c r="G30" s="53"/>
      <c r="H30" s="53"/>
      <c r="I30" s="292">
        <v>61666</v>
      </c>
      <c r="J30" s="293"/>
      <c r="K30" s="53"/>
      <c r="L30" s="294">
        <f>SUM(L27:L28)</f>
        <v>63750</v>
      </c>
      <c r="M30" s="293"/>
      <c r="N30" s="293"/>
      <c r="O30" s="295">
        <v>47730</v>
      </c>
      <c r="P30" s="296">
        <f t="shared" ref="P30:Q30" si="19">SUM(P27:P28)</f>
        <v>63750</v>
      </c>
      <c r="Q30" s="297">
        <f t="shared" si="19"/>
        <v>68884</v>
      </c>
      <c r="R30" s="53"/>
      <c r="S30" s="298">
        <f t="shared" ref="S30:T30" si="20">SUM(S27:S28)</f>
        <v>65550</v>
      </c>
      <c r="T30" s="299">
        <f t="shared" si="20"/>
        <v>59558</v>
      </c>
      <c r="U30" s="233">
        <f>SUM(T30-S30)</f>
        <v>-5992</v>
      </c>
      <c r="V30" s="240">
        <f>SUM(T30-S30)/S30</f>
        <v>-9.1411136536994661E-2</v>
      </c>
      <c r="W30" s="190"/>
      <c r="X30" s="300">
        <f>SUM(X27:X28)</f>
        <v>66900</v>
      </c>
      <c r="Y30" s="301">
        <f>SUM(X30-S30)</f>
        <v>1350</v>
      </c>
      <c r="Z30" s="237">
        <f>SUM(X30-S30)/S30</f>
        <v>2.0594965675057208E-2</v>
      </c>
      <c r="AA30" s="190"/>
      <c r="AB30" s="302">
        <f>SUM(AB27:AB28)</f>
        <v>33266</v>
      </c>
      <c r="AC30" s="303"/>
      <c r="AD30" s="304">
        <f>SUM(AD27:AD28)</f>
        <v>68907</v>
      </c>
      <c r="AE30" s="44">
        <f>SUM(AD30-X30)/X30</f>
        <v>0.03</v>
      </c>
      <c r="AF30" s="22"/>
    </row>
    <row r="31" spans="1:32" ht="15.75" customHeight="1" x14ac:dyDescent="0.45">
      <c r="A31" s="245"/>
      <c r="B31" s="22"/>
      <c r="C31" s="22"/>
      <c r="D31" s="246"/>
      <c r="E31" s="227"/>
      <c r="F31" s="280"/>
      <c r="G31" s="22"/>
      <c r="H31" s="22"/>
      <c r="I31" s="281"/>
      <c r="J31" s="167"/>
      <c r="K31" s="22"/>
      <c r="L31" s="282"/>
      <c r="M31" s="167"/>
      <c r="N31" s="167"/>
      <c r="O31" s="221"/>
      <c r="P31" s="222"/>
      <c r="Q31" s="223"/>
      <c r="R31" s="22"/>
      <c r="S31" s="283"/>
      <c r="T31" s="225"/>
      <c r="U31" s="233"/>
      <c r="V31" s="305"/>
      <c r="W31" s="190"/>
      <c r="X31" s="235"/>
      <c r="Y31" s="236"/>
      <c r="Z31" s="237"/>
      <c r="AA31" s="190"/>
      <c r="AB31" s="145"/>
      <c r="AC31" s="145"/>
      <c r="AD31" s="238"/>
      <c r="AE31" s="145"/>
      <c r="AF31" s="22"/>
    </row>
    <row r="32" spans="1:32" ht="15.75" customHeight="1" x14ac:dyDescent="0.45">
      <c r="A32" s="247" t="s">
        <v>242</v>
      </c>
      <c r="B32" s="22"/>
      <c r="C32" s="22"/>
      <c r="D32" s="164"/>
      <c r="E32" s="22"/>
      <c r="F32" s="280"/>
      <c r="G32" s="22"/>
      <c r="H32" s="22"/>
      <c r="I32" s="281"/>
      <c r="J32" s="167"/>
      <c r="K32" s="22"/>
      <c r="L32" s="282"/>
      <c r="M32" s="167"/>
      <c r="N32" s="167"/>
      <c r="O32" s="221"/>
      <c r="P32" s="222"/>
      <c r="Q32" s="223"/>
      <c r="R32" s="22"/>
      <c r="S32" s="283"/>
      <c r="T32" s="225"/>
      <c r="U32" s="233"/>
      <c r="V32" s="305"/>
      <c r="W32" s="190"/>
      <c r="X32" s="235"/>
      <c r="Y32" s="236"/>
      <c r="Z32" s="237"/>
      <c r="AA32" s="190"/>
      <c r="AB32" s="145"/>
      <c r="AC32" s="145"/>
      <c r="AD32" s="238"/>
      <c r="AE32" s="145"/>
      <c r="AF32" s="22"/>
    </row>
    <row r="33" spans="1:32" ht="15.75" customHeight="1" x14ac:dyDescent="0.45">
      <c r="A33" s="245" t="s">
        <v>243</v>
      </c>
      <c r="B33" s="22"/>
      <c r="C33" s="22"/>
      <c r="D33" s="285">
        <v>7206</v>
      </c>
      <c r="E33" s="286"/>
      <c r="F33" s="243">
        <v>8069</v>
      </c>
      <c r="G33" s="145"/>
      <c r="H33" s="145"/>
      <c r="I33" s="244">
        <v>8600</v>
      </c>
      <c r="J33" s="223"/>
      <c r="K33" s="145"/>
      <c r="L33" s="222">
        <v>13100</v>
      </c>
      <c r="M33" s="223"/>
      <c r="N33" s="223"/>
      <c r="O33" s="230">
        <v>9497</v>
      </c>
      <c r="P33" s="306">
        <v>13100</v>
      </c>
      <c r="Q33" s="307">
        <v>12746</v>
      </c>
      <c r="R33" s="145"/>
      <c r="S33" s="231">
        <v>13840</v>
      </c>
      <c r="T33" s="232">
        <v>12163</v>
      </c>
      <c r="U33" s="233">
        <f t="shared" ref="U33:U41" si="21">SUM(T33-S33)</f>
        <v>-1677</v>
      </c>
      <c r="V33" s="240">
        <f t="shared" ref="V33:V41" si="22">SUM(T33-S33)/S33</f>
        <v>-0.12117052023121387</v>
      </c>
      <c r="W33" s="190"/>
      <c r="X33" s="308">
        <v>16925</v>
      </c>
      <c r="Y33" s="236">
        <f t="shared" ref="Y33:Y41" si="23">SUM(X33-S33)</f>
        <v>3085</v>
      </c>
      <c r="Z33" s="237">
        <f t="shared" ref="Z33:Z41" si="24">SUM(X33-S33)/S33</f>
        <v>0.22290462427745664</v>
      </c>
      <c r="AA33" s="309" t="s">
        <v>244</v>
      </c>
      <c r="AB33" s="145">
        <v>8420</v>
      </c>
      <c r="AC33" s="145"/>
      <c r="AD33" s="310">
        <v>19000</v>
      </c>
      <c r="AE33" s="44">
        <f t="shared" ref="AE33:AE41" si="25">SUM(AD33-X33)/X33</f>
        <v>0.12259970457902511</v>
      </c>
      <c r="AF33" s="311" t="s">
        <v>245</v>
      </c>
    </row>
    <row r="34" spans="1:32" ht="15.75" customHeight="1" x14ac:dyDescent="0.45">
      <c r="A34" s="245" t="s">
        <v>246</v>
      </c>
      <c r="B34" s="22"/>
      <c r="C34" s="22"/>
      <c r="D34" s="285">
        <v>4096</v>
      </c>
      <c r="E34" s="286"/>
      <c r="F34" s="243">
        <v>4240</v>
      </c>
      <c r="G34" s="145"/>
      <c r="H34" s="145"/>
      <c r="I34" s="244">
        <v>4717</v>
      </c>
      <c r="J34" s="223"/>
      <c r="K34" s="145"/>
      <c r="L34" s="222">
        <v>4900</v>
      </c>
      <c r="M34" s="223"/>
      <c r="N34" s="223"/>
      <c r="O34" s="230">
        <v>3651</v>
      </c>
      <c r="P34" s="222">
        <v>4900</v>
      </c>
      <c r="Q34" s="223">
        <v>5270</v>
      </c>
      <c r="R34" s="145"/>
      <c r="S34" s="231">
        <v>5011</v>
      </c>
      <c r="T34" s="232">
        <v>4556</v>
      </c>
      <c r="U34" s="233">
        <f t="shared" si="21"/>
        <v>-455</v>
      </c>
      <c r="V34" s="240">
        <f t="shared" si="22"/>
        <v>-9.0800239473159045E-2</v>
      </c>
      <c r="W34" s="190"/>
      <c r="X34" s="235">
        <v>5115</v>
      </c>
      <c r="Y34" s="236">
        <f t="shared" si="23"/>
        <v>104</v>
      </c>
      <c r="Z34" s="237">
        <f t="shared" si="24"/>
        <v>2.0754340451007783E-2</v>
      </c>
      <c r="AA34" s="190"/>
      <c r="AB34" s="145">
        <v>2545</v>
      </c>
      <c r="AC34" s="145"/>
      <c r="AD34" s="238">
        <f t="shared" ref="AD34:AD39" si="26">SUM(X34*SUM(1+$AD$3))</f>
        <v>5268.45</v>
      </c>
      <c r="AE34" s="44">
        <f t="shared" si="25"/>
        <v>2.9999999999999964E-2</v>
      </c>
      <c r="AF34" s="22"/>
    </row>
    <row r="35" spans="1:32" ht="15.75" customHeight="1" x14ac:dyDescent="0.45">
      <c r="A35" s="245" t="s">
        <v>247</v>
      </c>
      <c r="B35" s="22"/>
      <c r="C35" s="22"/>
      <c r="D35" s="285">
        <v>30</v>
      </c>
      <c r="E35" s="286"/>
      <c r="F35" s="243">
        <v>47</v>
      </c>
      <c r="G35" s="145"/>
      <c r="H35" s="145"/>
      <c r="I35" s="244">
        <v>33</v>
      </c>
      <c r="J35" s="223"/>
      <c r="K35" s="145"/>
      <c r="L35" s="222">
        <v>80</v>
      </c>
      <c r="M35" s="223"/>
      <c r="N35" s="223"/>
      <c r="O35" s="230">
        <v>22</v>
      </c>
      <c r="P35" s="222">
        <v>80</v>
      </c>
      <c r="Q35" s="223">
        <v>31</v>
      </c>
      <c r="R35" s="145"/>
      <c r="S35" s="231">
        <v>35</v>
      </c>
      <c r="T35" s="232">
        <v>26</v>
      </c>
      <c r="U35" s="233">
        <f t="shared" si="21"/>
        <v>-9</v>
      </c>
      <c r="V35" s="240">
        <f t="shared" si="22"/>
        <v>-0.25714285714285712</v>
      </c>
      <c r="W35" s="190"/>
      <c r="X35" s="235">
        <v>35</v>
      </c>
      <c r="Y35" s="236">
        <f t="shared" si="23"/>
        <v>0</v>
      </c>
      <c r="Z35" s="237">
        <f t="shared" si="24"/>
        <v>0</v>
      </c>
      <c r="AA35" s="190"/>
      <c r="AB35" s="145">
        <v>12</v>
      </c>
      <c r="AC35" s="145"/>
      <c r="AD35" s="238">
        <f t="shared" si="26"/>
        <v>36.050000000000004</v>
      </c>
      <c r="AE35" s="44">
        <f t="shared" si="25"/>
        <v>3.000000000000012E-2</v>
      </c>
      <c r="AF35" s="22"/>
    </row>
    <row r="36" spans="1:32" ht="15.75" customHeight="1" x14ac:dyDescent="0.45">
      <c r="A36" s="245" t="s">
        <v>248</v>
      </c>
      <c r="B36" s="22"/>
      <c r="C36" s="22"/>
      <c r="D36" s="285">
        <v>9810</v>
      </c>
      <c r="E36" s="286"/>
      <c r="F36" s="243">
        <v>7215</v>
      </c>
      <c r="G36" s="145"/>
      <c r="H36" s="145"/>
      <c r="I36" s="244">
        <v>7226</v>
      </c>
      <c r="J36" s="223"/>
      <c r="K36" s="145"/>
      <c r="L36" s="222">
        <v>7550</v>
      </c>
      <c r="M36" s="223"/>
      <c r="N36" s="223"/>
      <c r="O36" s="230">
        <v>5653</v>
      </c>
      <c r="P36" s="222">
        <v>7550</v>
      </c>
      <c r="Q36" s="223">
        <v>7538</v>
      </c>
      <c r="R36" s="145"/>
      <c r="S36" s="231">
        <v>7725</v>
      </c>
      <c r="T36" s="232">
        <v>7665</v>
      </c>
      <c r="U36" s="233">
        <f t="shared" si="21"/>
        <v>-60</v>
      </c>
      <c r="V36" s="240">
        <f t="shared" si="22"/>
        <v>-7.7669902912621356E-3</v>
      </c>
      <c r="W36" s="190"/>
      <c r="X36" s="235">
        <v>8215</v>
      </c>
      <c r="Y36" s="236">
        <f t="shared" si="23"/>
        <v>490</v>
      </c>
      <c r="Z36" s="237">
        <f t="shared" si="24"/>
        <v>6.3430420711974106E-2</v>
      </c>
      <c r="AA36" s="312" t="s">
        <v>249</v>
      </c>
      <c r="AB36" s="145">
        <v>4894</v>
      </c>
      <c r="AC36" s="145"/>
      <c r="AD36" s="238">
        <f t="shared" si="26"/>
        <v>8461.4500000000007</v>
      </c>
      <c r="AE36" s="44">
        <f t="shared" si="25"/>
        <v>3.0000000000000089E-2</v>
      </c>
      <c r="AF36" s="22"/>
    </row>
    <row r="37" spans="1:32" ht="15.75" customHeight="1" x14ac:dyDescent="0.45">
      <c r="A37" s="245" t="s">
        <v>250</v>
      </c>
      <c r="B37" s="22"/>
      <c r="C37" s="22"/>
      <c r="D37" s="285">
        <v>48</v>
      </c>
      <c r="E37" s="286"/>
      <c r="F37" s="243">
        <v>47</v>
      </c>
      <c r="G37" s="145"/>
      <c r="H37" s="145"/>
      <c r="I37" s="244">
        <v>57</v>
      </c>
      <c r="J37" s="223"/>
      <c r="K37" s="145"/>
      <c r="L37" s="222">
        <v>65</v>
      </c>
      <c r="M37" s="223"/>
      <c r="N37" s="223"/>
      <c r="O37" s="230">
        <v>48</v>
      </c>
      <c r="P37" s="222">
        <v>65</v>
      </c>
      <c r="Q37" s="223">
        <v>69</v>
      </c>
      <c r="R37" s="145"/>
      <c r="S37" s="231">
        <v>250</v>
      </c>
      <c r="T37" s="232">
        <v>275</v>
      </c>
      <c r="U37" s="233">
        <f t="shared" si="21"/>
        <v>25</v>
      </c>
      <c r="V37" s="313">
        <f t="shared" si="22"/>
        <v>0.1</v>
      </c>
      <c r="W37" s="190"/>
      <c r="X37" s="308">
        <v>267</v>
      </c>
      <c r="Y37" s="236">
        <f t="shared" si="23"/>
        <v>17</v>
      </c>
      <c r="Z37" s="237">
        <f t="shared" si="24"/>
        <v>6.8000000000000005E-2</v>
      </c>
      <c r="AA37" s="190" t="s">
        <v>251</v>
      </c>
      <c r="AB37" s="145">
        <v>156</v>
      </c>
      <c r="AC37" s="145"/>
      <c r="AD37" s="238">
        <f t="shared" si="26"/>
        <v>275.01</v>
      </c>
      <c r="AE37" s="44">
        <f t="shared" si="25"/>
        <v>2.9999999999999968E-2</v>
      </c>
      <c r="AF37" s="22"/>
    </row>
    <row r="38" spans="1:32" ht="15.75" customHeight="1" x14ac:dyDescent="0.45">
      <c r="A38" s="245" t="s">
        <v>252</v>
      </c>
      <c r="B38" s="22"/>
      <c r="C38" s="22"/>
      <c r="D38" s="285">
        <v>72</v>
      </c>
      <c r="E38" s="286"/>
      <c r="F38" s="243">
        <v>95</v>
      </c>
      <c r="G38" s="145"/>
      <c r="H38" s="145"/>
      <c r="I38" s="244">
        <v>72</v>
      </c>
      <c r="J38" s="223"/>
      <c r="K38" s="145"/>
      <c r="L38" s="222">
        <v>100</v>
      </c>
      <c r="M38" s="223"/>
      <c r="N38" s="223"/>
      <c r="O38" s="230">
        <v>48</v>
      </c>
      <c r="P38" s="222">
        <v>100</v>
      </c>
      <c r="Q38" s="223">
        <v>71</v>
      </c>
      <c r="R38" s="145"/>
      <c r="S38" s="231">
        <v>75</v>
      </c>
      <c r="T38" s="232">
        <v>95</v>
      </c>
      <c r="U38" s="233">
        <f t="shared" si="21"/>
        <v>20</v>
      </c>
      <c r="V38" s="240">
        <f t="shared" si="22"/>
        <v>0.26666666666666666</v>
      </c>
      <c r="W38" s="190"/>
      <c r="X38" s="235">
        <v>75</v>
      </c>
      <c r="Y38" s="236">
        <f t="shared" si="23"/>
        <v>0</v>
      </c>
      <c r="Z38" s="237">
        <f t="shared" si="24"/>
        <v>0</v>
      </c>
      <c r="AA38" s="190"/>
      <c r="AB38" s="145">
        <v>62</v>
      </c>
      <c r="AC38" s="145"/>
      <c r="AD38" s="238">
        <f t="shared" si="26"/>
        <v>77.25</v>
      </c>
      <c r="AE38" s="44">
        <f t="shared" si="25"/>
        <v>0.03</v>
      </c>
      <c r="AF38" s="22"/>
    </row>
    <row r="39" spans="1:32" ht="15.75" customHeight="1" x14ac:dyDescent="0.45">
      <c r="A39" s="245" t="s">
        <v>253</v>
      </c>
      <c r="B39" s="22"/>
      <c r="C39" s="22"/>
      <c r="D39" s="285">
        <v>96</v>
      </c>
      <c r="E39" s="286"/>
      <c r="F39" s="243">
        <v>1652</v>
      </c>
      <c r="G39" s="145"/>
      <c r="H39" s="145"/>
      <c r="I39" s="244">
        <v>72</v>
      </c>
      <c r="J39" s="223"/>
      <c r="K39" s="145"/>
      <c r="L39" s="222">
        <v>85</v>
      </c>
      <c r="M39" s="223"/>
      <c r="N39" s="223"/>
      <c r="O39" s="230">
        <v>67</v>
      </c>
      <c r="P39" s="222">
        <v>85</v>
      </c>
      <c r="Q39" s="223">
        <v>100</v>
      </c>
      <c r="R39" s="145"/>
      <c r="S39" s="231">
        <v>100</v>
      </c>
      <c r="T39" s="232">
        <v>91</v>
      </c>
      <c r="U39" s="233">
        <f t="shared" si="21"/>
        <v>-9</v>
      </c>
      <c r="V39" s="240">
        <f t="shared" si="22"/>
        <v>-0.09</v>
      </c>
      <c r="W39" s="190"/>
      <c r="X39" s="235">
        <v>110</v>
      </c>
      <c r="Y39" s="236">
        <f t="shared" si="23"/>
        <v>10</v>
      </c>
      <c r="Z39" s="237">
        <f t="shared" si="24"/>
        <v>0.1</v>
      </c>
      <c r="AA39" s="190"/>
      <c r="AB39" s="145">
        <v>50</v>
      </c>
      <c r="AC39" s="145"/>
      <c r="AD39" s="238">
        <f t="shared" si="26"/>
        <v>113.3</v>
      </c>
      <c r="AE39" s="44">
        <f t="shared" si="25"/>
        <v>2.9999999999999975E-2</v>
      </c>
      <c r="AF39" s="22"/>
    </row>
    <row r="40" spans="1:32" ht="15.75" customHeight="1" x14ac:dyDescent="0.45">
      <c r="A40" s="247" t="s">
        <v>254</v>
      </c>
      <c r="B40" s="22"/>
      <c r="C40" s="22"/>
      <c r="D40" s="314">
        <v>21358</v>
      </c>
      <c r="E40" s="286"/>
      <c r="F40" s="315">
        <v>21365</v>
      </c>
      <c r="G40" s="145"/>
      <c r="H40" s="145"/>
      <c r="I40" s="316">
        <v>20778</v>
      </c>
      <c r="J40" s="223"/>
      <c r="K40" s="145"/>
      <c r="L40" s="222">
        <f>SUM(L33:L39)</f>
        <v>25880</v>
      </c>
      <c r="M40" s="223"/>
      <c r="N40" s="223"/>
      <c r="O40" s="221">
        <v>18986</v>
      </c>
      <c r="P40" s="317">
        <f t="shared" ref="P40:Q40" si="27">SUM(P33:P39)</f>
        <v>25880</v>
      </c>
      <c r="Q40" s="318">
        <f t="shared" si="27"/>
        <v>25825</v>
      </c>
      <c r="R40" s="145"/>
      <c r="S40" s="319">
        <f t="shared" ref="S40:T40" si="28">SUM(S33:S39)</f>
        <v>27036</v>
      </c>
      <c r="T40" s="320">
        <f t="shared" si="28"/>
        <v>24871</v>
      </c>
      <c r="U40" s="233">
        <f t="shared" si="21"/>
        <v>-2165</v>
      </c>
      <c r="V40" s="240">
        <f t="shared" si="22"/>
        <v>-8.0078413966563095E-2</v>
      </c>
      <c r="W40" s="190"/>
      <c r="X40" s="321">
        <f>SUM(X33:X39)</f>
        <v>30742</v>
      </c>
      <c r="Y40" s="236">
        <f t="shared" si="23"/>
        <v>3706</v>
      </c>
      <c r="Z40" s="237">
        <f t="shared" si="24"/>
        <v>0.13707649060511909</v>
      </c>
      <c r="AA40" s="190"/>
      <c r="AB40" s="322">
        <f>SUM(AB33:AB39)</f>
        <v>16139</v>
      </c>
      <c r="AC40" s="323"/>
      <c r="AD40" s="324">
        <f>SUM(AD33:AD39)</f>
        <v>33231.51</v>
      </c>
      <c r="AE40" s="44">
        <f t="shared" si="25"/>
        <v>8.0980742957517463E-2</v>
      </c>
      <c r="AF40" s="22"/>
    </row>
    <row r="41" spans="1:32" ht="15.75" customHeight="1" x14ac:dyDescent="0.55000000000000004">
      <c r="A41" s="325" t="s">
        <v>255</v>
      </c>
      <c r="B41" s="326"/>
      <c r="C41" s="326"/>
      <c r="D41" s="327">
        <v>76166</v>
      </c>
      <c r="E41" s="328"/>
      <c r="F41" s="329">
        <v>82383</v>
      </c>
      <c r="G41" s="330" t="s">
        <v>256</v>
      </c>
      <c r="H41" s="330"/>
      <c r="I41" s="331">
        <v>82444</v>
      </c>
      <c r="J41" s="332" t="s">
        <v>256</v>
      </c>
      <c r="K41" s="330"/>
      <c r="L41" s="333">
        <f>SUM(L30,L40)</f>
        <v>89630</v>
      </c>
      <c r="M41" s="332" t="s">
        <v>256</v>
      </c>
      <c r="N41" s="332"/>
      <c r="O41" s="334">
        <v>66716</v>
      </c>
      <c r="P41" s="335">
        <f t="shared" ref="P41:Q41" si="29">SUM(P30,P40)</f>
        <v>89630</v>
      </c>
      <c r="Q41" s="336">
        <f t="shared" si="29"/>
        <v>94709</v>
      </c>
      <c r="R41" s="337"/>
      <c r="S41" s="338">
        <f t="shared" ref="S41:T41" si="30">SUM(S30,S40)</f>
        <v>92586</v>
      </c>
      <c r="T41" s="339">
        <f t="shared" si="30"/>
        <v>84429</v>
      </c>
      <c r="U41" s="233">
        <f t="shared" si="21"/>
        <v>-8157</v>
      </c>
      <c r="V41" s="240">
        <f t="shared" si="22"/>
        <v>-8.8101872853347155E-2</v>
      </c>
      <c r="W41" s="287"/>
      <c r="X41" s="340">
        <f>SUM(X30,X40)</f>
        <v>97642</v>
      </c>
      <c r="Y41" s="301">
        <f t="shared" si="23"/>
        <v>5056</v>
      </c>
      <c r="Z41" s="237">
        <f t="shared" si="24"/>
        <v>5.4608688138595471E-2</v>
      </c>
      <c r="AA41" s="287" t="s">
        <v>256</v>
      </c>
      <c r="AB41" s="341">
        <f>SUM(AB30,AB40)</f>
        <v>49405</v>
      </c>
      <c r="AC41" s="342"/>
      <c r="AD41" s="343">
        <f>SUM(AD30,AD40)</f>
        <v>102138.51000000001</v>
      </c>
      <c r="AE41" s="44">
        <f t="shared" si="25"/>
        <v>4.6050982159316786E-2</v>
      </c>
      <c r="AF41" s="22"/>
    </row>
    <row r="42" spans="1:32" ht="15.75" customHeight="1" x14ac:dyDescent="0.45">
      <c r="A42" s="22"/>
      <c r="B42" s="22"/>
      <c r="C42" s="22"/>
      <c r="D42" s="164"/>
      <c r="E42" s="22"/>
      <c r="F42" s="165"/>
      <c r="G42" s="22"/>
      <c r="H42" s="22"/>
      <c r="I42" s="260"/>
      <c r="J42" s="167"/>
      <c r="K42" s="22"/>
      <c r="L42" s="220"/>
      <c r="M42" s="167"/>
      <c r="N42" s="167"/>
      <c r="O42" s="221"/>
      <c r="P42" s="222"/>
      <c r="Q42" s="223"/>
      <c r="R42" s="22"/>
      <c r="S42" s="224"/>
      <c r="T42" s="225"/>
      <c r="U42" s="233"/>
      <c r="V42" s="174"/>
      <c r="W42" s="190"/>
      <c r="X42" s="235"/>
      <c r="Y42" s="236"/>
      <c r="Z42" s="237"/>
      <c r="AA42" s="190"/>
      <c r="AB42" s="145"/>
      <c r="AC42" s="145"/>
      <c r="AD42" s="238"/>
      <c r="AE42" s="145"/>
      <c r="AF42" s="22"/>
    </row>
    <row r="43" spans="1:32" ht="15.75" customHeight="1" x14ac:dyDescent="0.45">
      <c r="A43" s="196" t="s">
        <v>257</v>
      </c>
      <c r="B43" s="52"/>
      <c r="C43" s="52"/>
      <c r="D43" s="164"/>
      <c r="E43" s="52"/>
      <c r="F43" s="165"/>
      <c r="G43" s="52"/>
      <c r="H43" s="52"/>
      <c r="I43" s="260"/>
      <c r="J43" s="199"/>
      <c r="K43" s="52"/>
      <c r="L43" s="200"/>
      <c r="M43" s="199"/>
      <c r="N43" s="199"/>
      <c r="O43" s="221"/>
      <c r="P43" s="202"/>
      <c r="Q43" s="203"/>
      <c r="R43" s="52"/>
      <c r="S43" s="204"/>
      <c r="T43" s="225"/>
      <c r="U43" s="233"/>
      <c r="V43" s="206"/>
      <c r="W43" s="207"/>
      <c r="X43" s="278"/>
      <c r="Y43" s="236"/>
      <c r="Z43" s="237"/>
      <c r="AA43" s="207"/>
      <c r="AB43" s="74"/>
      <c r="AC43" s="74"/>
      <c r="AD43" s="279"/>
      <c r="AE43" s="145"/>
      <c r="AF43" s="22"/>
    </row>
    <row r="44" spans="1:32" ht="15.75" customHeight="1" x14ac:dyDescent="0.45">
      <c r="A44" s="245" t="s">
        <v>258</v>
      </c>
      <c r="B44" s="22"/>
      <c r="C44" s="22"/>
      <c r="D44" s="285">
        <v>745</v>
      </c>
      <c r="E44" s="286"/>
      <c r="F44" s="228">
        <v>260</v>
      </c>
      <c r="G44" s="145" t="s">
        <v>259</v>
      </c>
      <c r="H44" s="145"/>
      <c r="I44" s="229">
        <v>294</v>
      </c>
      <c r="J44" s="223" t="s">
        <v>260</v>
      </c>
      <c r="K44" s="145"/>
      <c r="L44" s="222">
        <v>250</v>
      </c>
      <c r="M44" s="223" t="s">
        <v>260</v>
      </c>
      <c r="N44" s="223"/>
      <c r="O44" s="230">
        <v>234</v>
      </c>
      <c r="P44" s="222">
        <v>250</v>
      </c>
      <c r="Q44" s="223">
        <v>234</v>
      </c>
      <c r="R44" s="145"/>
      <c r="S44" s="231">
        <v>250</v>
      </c>
      <c r="T44" s="344">
        <v>384</v>
      </c>
      <c r="U44" s="345">
        <f t="shared" ref="U44:U45" si="31">SUM(T44-S44)</f>
        <v>134</v>
      </c>
      <c r="V44" s="240">
        <f t="shared" ref="V44:V45" si="32">SUM(T44-S44)/S44</f>
        <v>0.53600000000000003</v>
      </c>
      <c r="W44" s="190"/>
      <c r="X44" s="235">
        <v>250</v>
      </c>
      <c r="Y44" s="236">
        <f t="shared" ref="Y44:Y45" si="33">SUM(X44-S44)</f>
        <v>0</v>
      </c>
      <c r="Z44" s="237">
        <f t="shared" ref="Z44:Z45" si="34">SUM(X44-S44)/S44</f>
        <v>0</v>
      </c>
      <c r="AA44" s="190" t="s">
        <v>260</v>
      </c>
      <c r="AB44" s="145">
        <v>352</v>
      </c>
      <c r="AC44" s="145"/>
      <c r="AD44" s="238">
        <v>400</v>
      </c>
      <c r="AE44" s="44">
        <f t="shared" ref="AE44:AE45" si="35">SUM(AD44-X44)/X44</f>
        <v>0.6</v>
      </c>
      <c r="AF44" s="22"/>
    </row>
    <row r="45" spans="1:32" ht="15.75" customHeight="1" x14ac:dyDescent="0.45">
      <c r="A45" s="245" t="s">
        <v>261</v>
      </c>
      <c r="B45" s="22"/>
      <c r="C45" s="157"/>
      <c r="D45" s="285">
        <v>5309</v>
      </c>
      <c r="E45" s="286"/>
      <c r="F45" s="228">
        <v>1733</v>
      </c>
      <c r="G45" s="145" t="s">
        <v>262</v>
      </c>
      <c r="H45" s="145"/>
      <c r="I45" s="229">
        <v>3233</v>
      </c>
      <c r="J45" s="223" t="s">
        <v>262</v>
      </c>
      <c r="K45" s="145"/>
      <c r="L45" s="222">
        <v>4500</v>
      </c>
      <c r="M45" s="223" t="s">
        <v>262</v>
      </c>
      <c r="N45" s="223"/>
      <c r="O45" s="230">
        <v>3233</v>
      </c>
      <c r="P45" s="222">
        <v>4500</v>
      </c>
      <c r="Q45" s="203">
        <f>2500+733</f>
        <v>3233</v>
      </c>
      <c r="R45" s="145"/>
      <c r="S45" s="231">
        <v>7000</v>
      </c>
      <c r="T45" s="344">
        <f>6250+1983</f>
        <v>8233</v>
      </c>
      <c r="U45" s="345">
        <f t="shared" si="31"/>
        <v>1233</v>
      </c>
      <c r="V45" s="240">
        <f t="shared" si="32"/>
        <v>0.17614285714285716</v>
      </c>
      <c r="W45" s="190"/>
      <c r="X45" s="235">
        <v>4500</v>
      </c>
      <c r="Y45" s="236">
        <f t="shared" si="33"/>
        <v>-2500</v>
      </c>
      <c r="Z45" s="237">
        <f t="shared" si="34"/>
        <v>-0.35714285714285715</v>
      </c>
      <c r="AA45" s="190" t="s">
        <v>262</v>
      </c>
      <c r="AB45" s="145">
        <f>2500+733</f>
        <v>3233</v>
      </c>
      <c r="AC45" s="145"/>
      <c r="AD45" s="238">
        <v>4500</v>
      </c>
      <c r="AE45" s="44">
        <f t="shared" si="35"/>
        <v>0</v>
      </c>
      <c r="AF45" s="22"/>
    </row>
    <row r="46" spans="1:32" ht="15.75" customHeight="1" x14ac:dyDescent="0.45">
      <c r="A46" s="346" t="s">
        <v>263</v>
      </c>
      <c r="B46" s="311"/>
      <c r="C46" s="311"/>
      <c r="D46" s="285">
        <v>0</v>
      </c>
      <c r="E46" s="347"/>
      <c r="F46" s="228">
        <v>0</v>
      </c>
      <c r="G46" s="348" t="s">
        <v>264</v>
      </c>
      <c r="H46" s="348"/>
      <c r="I46" s="229">
        <v>0</v>
      </c>
      <c r="J46" s="349"/>
      <c r="K46" s="348"/>
      <c r="L46" s="350">
        <v>0</v>
      </c>
      <c r="M46" s="349"/>
      <c r="N46" s="349"/>
      <c r="O46" s="230">
        <v>0</v>
      </c>
      <c r="P46" s="350">
        <v>0</v>
      </c>
      <c r="Q46" s="349">
        <v>0</v>
      </c>
      <c r="R46" s="348"/>
      <c r="S46" s="351">
        <v>0</v>
      </c>
      <c r="T46" s="232">
        <v>0</v>
      </c>
      <c r="U46" s="233"/>
      <c r="V46" s="240"/>
      <c r="W46" s="309"/>
      <c r="X46" s="352">
        <v>0</v>
      </c>
      <c r="Y46" s="236"/>
      <c r="Z46" s="237"/>
      <c r="AA46" s="353" t="s">
        <v>265</v>
      </c>
      <c r="AB46" s="348">
        <v>0</v>
      </c>
      <c r="AC46" s="348"/>
      <c r="AD46" s="354">
        <v>0</v>
      </c>
      <c r="AE46" s="44"/>
      <c r="AF46" s="22"/>
    </row>
    <row r="47" spans="1:32" ht="15.75" customHeight="1" x14ac:dyDescent="0.45">
      <c r="A47" s="346" t="s">
        <v>266</v>
      </c>
      <c r="B47" s="311"/>
      <c r="C47" s="311"/>
      <c r="D47" s="285">
        <v>0</v>
      </c>
      <c r="E47" s="347"/>
      <c r="F47" s="228">
        <v>300</v>
      </c>
      <c r="G47" s="348" t="s">
        <v>264</v>
      </c>
      <c r="H47" s="348"/>
      <c r="I47" s="229">
        <v>0</v>
      </c>
      <c r="J47" s="349"/>
      <c r="K47" s="348"/>
      <c r="L47" s="350">
        <v>2560</v>
      </c>
      <c r="M47" s="349"/>
      <c r="N47" s="349"/>
      <c r="O47" s="230">
        <v>0</v>
      </c>
      <c r="P47" s="222">
        <v>2560</v>
      </c>
      <c r="Q47" s="223">
        <v>2560</v>
      </c>
      <c r="R47" s="348"/>
      <c r="S47" s="351">
        <f>S86</f>
        <v>3623.6200000000008</v>
      </c>
      <c r="T47" s="232">
        <v>2000</v>
      </c>
      <c r="U47" s="233">
        <f t="shared" ref="U47:U48" si="36">SUM(T47-S47)</f>
        <v>-1623.6200000000008</v>
      </c>
      <c r="V47" s="240">
        <f t="shared" ref="V47:V48" si="37">SUM(T47-S47)/S47</f>
        <v>-0.44806574640828795</v>
      </c>
      <c r="W47" s="309"/>
      <c r="X47" s="352">
        <f>X86</f>
        <v>1940.6000000000004</v>
      </c>
      <c r="Y47" s="236">
        <f t="shared" ref="Y47:Y48" si="38">SUM(X47-S47)</f>
        <v>-1683.0200000000004</v>
      </c>
      <c r="Z47" s="237">
        <f t="shared" ref="Z47:Z48" si="39">SUM(X47-S47)/S47</f>
        <v>-0.46445819373996172</v>
      </c>
      <c r="AA47" s="353" t="s">
        <v>267</v>
      </c>
      <c r="AB47" s="348">
        <v>0</v>
      </c>
      <c r="AC47" s="348"/>
      <c r="AD47" s="354">
        <f>AD86</f>
        <v>2530</v>
      </c>
      <c r="AE47" s="44">
        <f t="shared" ref="AE47:AE48" si="40">SUM(AD47-X47)/X47</f>
        <v>0.30372049881479929</v>
      </c>
      <c r="AF47" s="22"/>
    </row>
    <row r="48" spans="1:32" ht="15.75" customHeight="1" x14ac:dyDescent="0.45">
      <c r="A48" s="245" t="s">
        <v>268</v>
      </c>
      <c r="B48" s="22"/>
      <c r="C48" s="22"/>
      <c r="D48" s="285">
        <v>59505</v>
      </c>
      <c r="E48" s="286"/>
      <c r="F48" s="228">
        <v>54908</v>
      </c>
      <c r="G48" s="145" t="s">
        <v>269</v>
      </c>
      <c r="H48" s="145"/>
      <c r="I48" s="229">
        <v>45925</v>
      </c>
      <c r="J48" s="223" t="s">
        <v>270</v>
      </c>
      <c r="K48" s="145"/>
      <c r="L48" s="222">
        <v>57783</v>
      </c>
      <c r="M48" s="223" t="s">
        <v>270</v>
      </c>
      <c r="N48" s="223"/>
      <c r="O48" s="230">
        <v>28000</v>
      </c>
      <c r="P48" s="222">
        <v>43000</v>
      </c>
      <c r="Q48" s="223">
        <f>48000</f>
        <v>48000</v>
      </c>
      <c r="R48" s="145"/>
      <c r="S48" s="231">
        <v>61800</v>
      </c>
      <c r="T48" s="344">
        <v>55900</v>
      </c>
      <c r="U48" s="233">
        <f t="shared" si="36"/>
        <v>-5900</v>
      </c>
      <c r="V48" s="240">
        <f t="shared" si="37"/>
        <v>-9.5469255663430425E-2</v>
      </c>
      <c r="W48" s="190"/>
      <c r="X48" s="235">
        <v>63660</v>
      </c>
      <c r="Y48" s="301">
        <f t="shared" si="38"/>
        <v>1860</v>
      </c>
      <c r="Z48" s="237">
        <f t="shared" si="39"/>
        <v>3.0097087378640777E-2</v>
      </c>
      <c r="AA48" s="190" t="s">
        <v>271</v>
      </c>
      <c r="AB48" s="145">
        <v>31420</v>
      </c>
      <c r="AC48" s="145"/>
      <c r="AD48" s="238">
        <f>SUM(X48*SUM(1+$AD$3))</f>
        <v>65569.8</v>
      </c>
      <c r="AE48" s="44">
        <f t="shared" si="40"/>
        <v>3.0000000000000044E-2</v>
      </c>
      <c r="AF48" s="22"/>
    </row>
    <row r="49" spans="1:32" ht="15.75" customHeight="1" x14ac:dyDescent="0.45">
      <c r="A49" s="247" t="s">
        <v>272</v>
      </c>
      <c r="B49" s="22"/>
      <c r="C49" s="22"/>
      <c r="D49" s="288"/>
      <c r="E49" s="145"/>
      <c r="F49" s="243"/>
      <c r="G49" s="145"/>
      <c r="H49" s="145"/>
      <c r="I49" s="244"/>
      <c r="J49" s="223"/>
      <c r="K49" s="145"/>
      <c r="L49" s="222"/>
      <c r="M49" s="223"/>
      <c r="N49" s="223"/>
      <c r="O49" s="221"/>
      <c r="P49" s="222"/>
      <c r="Q49" s="223"/>
      <c r="R49" s="145"/>
      <c r="S49" s="231"/>
      <c r="T49" s="225"/>
      <c r="U49" s="233"/>
      <c r="V49" s="240"/>
      <c r="W49" s="190"/>
      <c r="X49" s="235"/>
      <c r="Y49" s="236"/>
      <c r="Z49" s="237"/>
      <c r="AA49" s="190"/>
      <c r="AB49" s="145"/>
      <c r="AC49" s="145"/>
      <c r="AD49" s="238"/>
      <c r="AE49" s="145"/>
      <c r="AF49" s="22"/>
    </row>
    <row r="50" spans="1:32" ht="15.75" customHeight="1" x14ac:dyDescent="0.45">
      <c r="A50" s="355" t="s">
        <v>273</v>
      </c>
      <c r="B50" s="22"/>
      <c r="C50" s="22"/>
      <c r="D50" s="288"/>
      <c r="E50" s="286"/>
      <c r="F50" s="228">
        <v>2181</v>
      </c>
      <c r="G50" s="145" t="s">
        <v>274</v>
      </c>
      <c r="H50" s="145"/>
      <c r="I50" s="229">
        <v>205</v>
      </c>
      <c r="J50" s="223" t="s">
        <v>273</v>
      </c>
      <c r="K50" s="145"/>
      <c r="L50" s="222">
        <v>2500</v>
      </c>
      <c r="M50" s="223" t="s">
        <v>273</v>
      </c>
      <c r="N50" s="223"/>
      <c r="O50" s="230">
        <v>3113</v>
      </c>
      <c r="P50" s="222">
        <v>5000</v>
      </c>
      <c r="Q50" s="223">
        <v>5113</v>
      </c>
      <c r="R50" s="145"/>
      <c r="S50" s="231">
        <v>2500</v>
      </c>
      <c r="T50" s="232">
        <v>2000</v>
      </c>
      <c r="U50" s="233">
        <f>SUM(T50-S50)</f>
        <v>-500</v>
      </c>
      <c r="V50" s="240">
        <f>SUM(T50-S50)/S50</f>
        <v>-0.2</v>
      </c>
      <c r="W50" s="190"/>
      <c r="X50" s="235">
        <v>2500</v>
      </c>
      <c r="Y50" s="236">
        <f>SUM(X50-S50)</f>
        <v>0</v>
      </c>
      <c r="Z50" s="237">
        <f>SUM(X50-S50)/S50</f>
        <v>0</v>
      </c>
      <c r="AA50" s="190" t="s">
        <v>275</v>
      </c>
      <c r="AB50" s="145">
        <v>0</v>
      </c>
      <c r="AC50" s="145"/>
      <c r="AD50" s="238">
        <v>2500</v>
      </c>
      <c r="AE50" s="44">
        <f>SUM(AD50-X50)/X50</f>
        <v>0</v>
      </c>
      <c r="AF50" s="22"/>
    </row>
    <row r="51" spans="1:32" ht="15.75" customHeight="1" x14ac:dyDescent="0.45">
      <c r="A51" s="355" t="s">
        <v>276</v>
      </c>
      <c r="B51" s="22"/>
      <c r="C51" s="22"/>
      <c r="D51" s="285">
        <v>45835</v>
      </c>
      <c r="E51" s="286"/>
      <c r="F51" s="228">
        <v>43741</v>
      </c>
      <c r="G51" s="145" t="s">
        <v>277</v>
      </c>
      <c r="H51" s="145"/>
      <c r="I51" s="229">
        <v>4380</v>
      </c>
      <c r="J51" s="223"/>
      <c r="K51" s="145"/>
      <c r="L51" s="222"/>
      <c r="M51" s="223"/>
      <c r="N51" s="223"/>
      <c r="O51" s="230">
        <v>0</v>
      </c>
      <c r="P51" s="222"/>
      <c r="Q51" s="223"/>
      <c r="R51" s="145"/>
      <c r="S51" s="231"/>
      <c r="T51" s="232">
        <v>0</v>
      </c>
      <c r="U51" s="233"/>
      <c r="V51" s="240"/>
      <c r="W51" s="190"/>
      <c r="X51" s="235"/>
      <c r="Y51" s="236"/>
      <c r="Z51" s="237"/>
      <c r="AA51" s="190" t="s">
        <v>276</v>
      </c>
      <c r="AB51" s="145"/>
      <c r="AC51" s="145"/>
      <c r="AD51" s="238"/>
      <c r="AE51" s="145"/>
      <c r="AF51" s="22"/>
    </row>
    <row r="52" spans="1:32" ht="15.75" customHeight="1" x14ac:dyDescent="0.45">
      <c r="A52" s="247" t="s">
        <v>278</v>
      </c>
      <c r="B52" s="52"/>
      <c r="C52" s="52"/>
      <c r="D52" s="314">
        <v>45835</v>
      </c>
      <c r="E52" s="356"/>
      <c r="F52" s="250">
        <v>45922</v>
      </c>
      <c r="G52" s="74"/>
      <c r="H52" s="74"/>
      <c r="I52" s="251">
        <v>4585</v>
      </c>
      <c r="J52" s="203"/>
      <c r="K52" s="74"/>
      <c r="L52" s="202">
        <f>SUM(L50:L51)</f>
        <v>2500</v>
      </c>
      <c r="M52" s="203"/>
      <c r="N52" s="203"/>
      <c r="O52" s="230">
        <v>3113</v>
      </c>
      <c r="P52" s="252">
        <f t="shared" ref="P52:Q52" si="41">SUM(P50:P51)</f>
        <v>5000</v>
      </c>
      <c r="Q52" s="253">
        <f t="shared" si="41"/>
        <v>5113</v>
      </c>
      <c r="R52" s="74"/>
      <c r="S52" s="254">
        <f t="shared" ref="S52:T52" si="42">SUM(S50:S51)</f>
        <v>2500</v>
      </c>
      <c r="T52" s="255">
        <f t="shared" si="42"/>
        <v>2000</v>
      </c>
      <c r="U52" s="233">
        <f t="shared" ref="U52:U59" si="43">SUM(T52-S52)</f>
        <v>-500</v>
      </c>
      <c r="V52" s="240">
        <f t="shared" ref="V52:V59" si="44">SUM(T52-S52)/S52</f>
        <v>-0.2</v>
      </c>
      <c r="W52" s="207"/>
      <c r="X52" s="357">
        <f>SUM(X50:X51)</f>
        <v>2500</v>
      </c>
      <c r="Y52" s="236">
        <f t="shared" ref="Y52:Y59" si="45">SUM(X52-S52)</f>
        <v>0</v>
      </c>
      <c r="Z52" s="237">
        <f t="shared" ref="Z52:Z59" si="46">SUM(X52-S52)/S52</f>
        <v>0</v>
      </c>
      <c r="AA52" s="207"/>
      <c r="AB52" s="256">
        <f>SUM(AB50:AB51)</f>
        <v>0</v>
      </c>
      <c r="AC52" s="257"/>
      <c r="AD52" s="258">
        <f>SUM(AD50:AD51)</f>
        <v>2500</v>
      </c>
      <c r="AE52" s="44">
        <f t="shared" ref="AE52:AE59" si="47">SUM(AD52-X52)/X52</f>
        <v>0</v>
      </c>
      <c r="AF52" s="22"/>
    </row>
    <row r="53" spans="1:32" ht="15.75" customHeight="1" x14ac:dyDescent="0.45">
      <c r="A53" s="245" t="s">
        <v>279</v>
      </c>
      <c r="B53" s="22"/>
      <c r="C53" s="22"/>
      <c r="D53" s="285">
        <v>0</v>
      </c>
      <c r="E53" s="286"/>
      <c r="F53" s="228">
        <v>0</v>
      </c>
      <c r="G53" s="145" t="s">
        <v>280</v>
      </c>
      <c r="H53" s="145"/>
      <c r="I53" s="229">
        <v>0</v>
      </c>
      <c r="J53" s="223" t="s">
        <v>280</v>
      </c>
      <c r="K53" s="145"/>
      <c r="L53" s="222">
        <v>50</v>
      </c>
      <c r="M53" s="223" t="s">
        <v>280</v>
      </c>
      <c r="N53" s="223"/>
      <c r="O53" s="230">
        <v>0</v>
      </c>
      <c r="P53" s="222"/>
      <c r="Q53" s="223"/>
      <c r="R53" s="145"/>
      <c r="S53" s="231">
        <v>250</v>
      </c>
      <c r="T53" s="232">
        <v>0</v>
      </c>
      <c r="U53" s="233">
        <f t="shared" si="43"/>
        <v>-250</v>
      </c>
      <c r="V53" s="240">
        <f t="shared" si="44"/>
        <v>-1</v>
      </c>
      <c r="W53" s="190"/>
      <c r="X53" s="235">
        <v>250</v>
      </c>
      <c r="Y53" s="236">
        <f t="shared" si="45"/>
        <v>0</v>
      </c>
      <c r="Z53" s="237">
        <f t="shared" si="46"/>
        <v>0</v>
      </c>
      <c r="AA53" s="190" t="s">
        <v>281</v>
      </c>
      <c r="AB53" s="145">
        <v>0</v>
      </c>
      <c r="AC53" s="145"/>
      <c r="AD53" s="238">
        <v>250</v>
      </c>
      <c r="AE53" s="44">
        <f t="shared" si="47"/>
        <v>0</v>
      </c>
      <c r="AF53" s="22"/>
    </row>
    <row r="54" spans="1:32" ht="15.75" customHeight="1" x14ac:dyDescent="0.45">
      <c r="A54" s="245" t="s">
        <v>282</v>
      </c>
      <c r="B54" s="22"/>
      <c r="C54" s="22"/>
      <c r="D54" s="285">
        <v>2583</v>
      </c>
      <c r="E54" s="286"/>
      <c r="F54" s="228">
        <v>1013</v>
      </c>
      <c r="G54" s="145" t="s">
        <v>283</v>
      </c>
      <c r="H54" s="145"/>
      <c r="I54" s="229">
        <v>3661</v>
      </c>
      <c r="J54" s="223" t="s">
        <v>284</v>
      </c>
      <c r="K54" s="145"/>
      <c r="L54" s="222">
        <v>3750</v>
      </c>
      <c r="M54" s="223" t="s">
        <v>284</v>
      </c>
      <c r="N54" s="223"/>
      <c r="O54" s="230">
        <v>1536</v>
      </c>
      <c r="P54" s="222">
        <v>3750</v>
      </c>
      <c r="Q54" s="223">
        <v>1554</v>
      </c>
      <c r="R54" s="145"/>
      <c r="S54" s="231">
        <v>3750</v>
      </c>
      <c r="T54" s="344">
        <v>2784</v>
      </c>
      <c r="U54" s="233">
        <f t="shared" si="43"/>
        <v>-966</v>
      </c>
      <c r="V54" s="240">
        <f t="shared" si="44"/>
        <v>-0.2576</v>
      </c>
      <c r="W54" s="190"/>
      <c r="X54" s="235">
        <v>3750</v>
      </c>
      <c r="Y54" s="236">
        <f t="shared" si="45"/>
        <v>0</v>
      </c>
      <c r="Z54" s="237">
        <f t="shared" si="46"/>
        <v>0</v>
      </c>
      <c r="AA54" s="190" t="s">
        <v>285</v>
      </c>
      <c r="AB54" s="145">
        <v>3507</v>
      </c>
      <c r="AC54" s="145"/>
      <c r="AD54" s="238">
        <v>3750</v>
      </c>
      <c r="AE54" s="44">
        <f t="shared" si="47"/>
        <v>0</v>
      </c>
      <c r="AF54" s="22"/>
    </row>
    <row r="55" spans="1:32" ht="15.75" customHeight="1" x14ac:dyDescent="0.45">
      <c r="A55" s="245" t="s">
        <v>286</v>
      </c>
      <c r="B55" s="22"/>
      <c r="C55" s="22"/>
      <c r="D55" s="285">
        <v>91</v>
      </c>
      <c r="E55" s="286"/>
      <c r="F55" s="228">
        <v>64</v>
      </c>
      <c r="G55" s="145" t="s">
        <v>280</v>
      </c>
      <c r="H55" s="145"/>
      <c r="I55" s="229">
        <v>27</v>
      </c>
      <c r="J55" s="223" t="s">
        <v>280</v>
      </c>
      <c r="K55" s="145"/>
      <c r="L55" s="222">
        <v>50</v>
      </c>
      <c r="M55" s="223" t="s">
        <v>280</v>
      </c>
      <c r="N55" s="223"/>
      <c r="O55" s="230">
        <v>39</v>
      </c>
      <c r="P55" s="222">
        <v>50</v>
      </c>
      <c r="Q55" s="223">
        <v>39</v>
      </c>
      <c r="R55" s="145"/>
      <c r="S55" s="231">
        <v>50</v>
      </c>
      <c r="T55" s="344">
        <v>7</v>
      </c>
      <c r="U55" s="233">
        <f t="shared" si="43"/>
        <v>-43</v>
      </c>
      <c r="V55" s="240">
        <f t="shared" si="44"/>
        <v>-0.86</v>
      </c>
      <c r="W55" s="190"/>
      <c r="X55" s="235">
        <v>50</v>
      </c>
      <c r="Y55" s="236">
        <f t="shared" si="45"/>
        <v>0</v>
      </c>
      <c r="Z55" s="237">
        <f t="shared" si="46"/>
        <v>0</v>
      </c>
      <c r="AA55" s="190" t="s">
        <v>280</v>
      </c>
      <c r="AB55" s="145">
        <v>7.35</v>
      </c>
      <c r="AC55" s="145"/>
      <c r="AD55" s="238">
        <v>50</v>
      </c>
      <c r="AE55" s="44">
        <f t="shared" si="47"/>
        <v>0</v>
      </c>
      <c r="AF55" s="22"/>
    </row>
    <row r="56" spans="1:32" ht="15.75" customHeight="1" x14ac:dyDescent="0.45">
      <c r="A56" s="245" t="s">
        <v>287</v>
      </c>
      <c r="B56" s="22"/>
      <c r="C56" s="22"/>
      <c r="D56" s="285">
        <v>0</v>
      </c>
      <c r="E56" s="286"/>
      <c r="F56" s="228">
        <v>0</v>
      </c>
      <c r="G56" s="145" t="s">
        <v>280</v>
      </c>
      <c r="H56" s="145"/>
      <c r="I56" s="229">
        <v>0</v>
      </c>
      <c r="J56" s="223" t="s">
        <v>280</v>
      </c>
      <c r="K56" s="145"/>
      <c r="L56" s="222">
        <v>25</v>
      </c>
      <c r="M56" s="223" t="s">
        <v>280</v>
      </c>
      <c r="N56" s="223"/>
      <c r="O56" s="230">
        <v>0</v>
      </c>
      <c r="P56" s="222">
        <v>25</v>
      </c>
      <c r="Q56" s="223">
        <v>0</v>
      </c>
      <c r="R56" s="145"/>
      <c r="S56" s="231">
        <v>25</v>
      </c>
      <c r="T56" s="232">
        <v>0</v>
      </c>
      <c r="U56" s="233">
        <f t="shared" si="43"/>
        <v>-25</v>
      </c>
      <c r="V56" s="240">
        <f t="shared" si="44"/>
        <v>-1</v>
      </c>
      <c r="W56" s="190"/>
      <c r="X56" s="235">
        <v>25</v>
      </c>
      <c r="Y56" s="236">
        <f t="shared" si="45"/>
        <v>0</v>
      </c>
      <c r="Z56" s="237">
        <f t="shared" si="46"/>
        <v>0</v>
      </c>
      <c r="AA56" s="190" t="s">
        <v>280</v>
      </c>
      <c r="AB56" s="145">
        <v>0</v>
      </c>
      <c r="AC56" s="145"/>
      <c r="AD56" s="238">
        <v>25</v>
      </c>
      <c r="AE56" s="44">
        <f t="shared" si="47"/>
        <v>0</v>
      </c>
      <c r="AF56" s="22"/>
    </row>
    <row r="57" spans="1:32" ht="15.75" customHeight="1" x14ac:dyDescent="0.45">
      <c r="A57" s="245" t="s">
        <v>288</v>
      </c>
      <c r="B57" s="22"/>
      <c r="C57" s="22"/>
      <c r="D57" s="285">
        <v>624</v>
      </c>
      <c r="E57" s="286"/>
      <c r="F57" s="228">
        <v>586</v>
      </c>
      <c r="G57" s="145" t="s">
        <v>280</v>
      </c>
      <c r="H57" s="145"/>
      <c r="I57" s="229">
        <v>94</v>
      </c>
      <c r="J57" s="223" t="s">
        <v>280</v>
      </c>
      <c r="K57" s="145"/>
      <c r="L57" s="222">
        <v>500</v>
      </c>
      <c r="M57" s="223" t="s">
        <v>280</v>
      </c>
      <c r="N57" s="223"/>
      <c r="O57" s="230">
        <v>1381</v>
      </c>
      <c r="P57" s="222">
        <v>500</v>
      </c>
      <c r="Q57" s="223">
        <v>297</v>
      </c>
      <c r="R57" s="145"/>
      <c r="S57" s="231">
        <v>1500</v>
      </c>
      <c r="T57" s="344">
        <v>369</v>
      </c>
      <c r="U57" s="233">
        <f t="shared" si="43"/>
        <v>-1131</v>
      </c>
      <c r="V57" s="240">
        <f t="shared" si="44"/>
        <v>-0.754</v>
      </c>
      <c r="W57" s="190"/>
      <c r="X57" s="235">
        <v>400</v>
      </c>
      <c r="Y57" s="236">
        <f t="shared" si="45"/>
        <v>-1100</v>
      </c>
      <c r="Z57" s="237">
        <f t="shared" si="46"/>
        <v>-0.73333333333333328</v>
      </c>
      <c r="AA57" s="190" t="s">
        <v>289</v>
      </c>
      <c r="AB57" s="145">
        <v>1250</v>
      </c>
      <c r="AC57" s="145"/>
      <c r="AD57" s="238">
        <v>400</v>
      </c>
      <c r="AE57" s="44">
        <f t="shared" si="47"/>
        <v>0</v>
      </c>
      <c r="AF57" s="22"/>
    </row>
    <row r="58" spans="1:32" ht="15.75" customHeight="1" x14ac:dyDescent="0.45">
      <c r="A58" s="245" t="s">
        <v>290</v>
      </c>
      <c r="B58" s="22"/>
      <c r="C58" s="22"/>
      <c r="D58" s="285">
        <v>3489</v>
      </c>
      <c r="E58" s="286"/>
      <c r="F58" s="228">
        <v>2460</v>
      </c>
      <c r="G58" s="145" t="s">
        <v>291</v>
      </c>
      <c r="H58" s="145"/>
      <c r="I58" s="229">
        <v>2112</v>
      </c>
      <c r="J58" s="223"/>
      <c r="K58" s="145"/>
      <c r="L58" s="222">
        <v>2500</v>
      </c>
      <c r="M58" s="223"/>
      <c r="N58" s="223"/>
      <c r="O58" s="230">
        <v>250</v>
      </c>
      <c r="P58" s="222">
        <v>2500</v>
      </c>
      <c r="Q58" s="223">
        <v>2967</v>
      </c>
      <c r="R58" s="145"/>
      <c r="S58" s="231">
        <v>2500</v>
      </c>
      <c r="T58" s="232">
        <v>3040</v>
      </c>
      <c r="U58" s="233">
        <f t="shared" si="43"/>
        <v>540</v>
      </c>
      <c r="V58" s="240">
        <f t="shared" si="44"/>
        <v>0.216</v>
      </c>
      <c r="W58" s="190"/>
      <c r="X58" s="235">
        <v>2500</v>
      </c>
      <c r="Y58" s="236">
        <f t="shared" si="45"/>
        <v>0</v>
      </c>
      <c r="Z58" s="237">
        <f t="shared" si="46"/>
        <v>0</v>
      </c>
      <c r="AA58" s="190"/>
      <c r="AB58" s="145">
        <v>2107</v>
      </c>
      <c r="AC58" s="145"/>
      <c r="AD58" s="238">
        <v>3500</v>
      </c>
      <c r="AE58" s="44">
        <f t="shared" si="47"/>
        <v>0.4</v>
      </c>
      <c r="AF58" s="22"/>
    </row>
    <row r="59" spans="1:32" ht="15.75" customHeight="1" x14ac:dyDescent="0.45">
      <c r="A59" s="245" t="s">
        <v>292</v>
      </c>
      <c r="B59" s="22"/>
      <c r="C59" s="22"/>
      <c r="D59" s="285">
        <v>2961</v>
      </c>
      <c r="E59" s="286"/>
      <c r="F59" s="228">
        <v>4115</v>
      </c>
      <c r="G59" s="145" t="s">
        <v>293</v>
      </c>
      <c r="H59" s="145"/>
      <c r="I59" s="229">
        <v>1330</v>
      </c>
      <c r="J59" s="223" t="s">
        <v>293</v>
      </c>
      <c r="K59" s="145"/>
      <c r="L59" s="222">
        <v>5000</v>
      </c>
      <c r="M59" s="223" t="s">
        <v>293</v>
      </c>
      <c r="N59" s="223"/>
      <c r="O59" s="230">
        <v>575</v>
      </c>
      <c r="P59" s="222">
        <v>5000</v>
      </c>
      <c r="Q59" s="223">
        <v>937</v>
      </c>
      <c r="R59" s="145"/>
      <c r="S59" s="231">
        <v>5000</v>
      </c>
      <c r="T59" s="232">
        <v>705</v>
      </c>
      <c r="U59" s="233">
        <f t="shared" si="43"/>
        <v>-4295</v>
      </c>
      <c r="V59" s="240">
        <f t="shared" si="44"/>
        <v>-0.85899999999999999</v>
      </c>
      <c r="W59" s="190"/>
      <c r="X59" s="235">
        <v>2500</v>
      </c>
      <c r="Y59" s="236">
        <f t="shared" si="45"/>
        <v>-2500</v>
      </c>
      <c r="Z59" s="237">
        <f t="shared" si="46"/>
        <v>-0.5</v>
      </c>
      <c r="AA59" s="190" t="s">
        <v>294</v>
      </c>
      <c r="AB59" s="145">
        <v>0</v>
      </c>
      <c r="AC59" s="145"/>
      <c r="AD59" s="238">
        <v>2500</v>
      </c>
      <c r="AE59" s="44">
        <f t="shared" si="47"/>
        <v>0</v>
      </c>
      <c r="AF59" s="22"/>
    </row>
    <row r="60" spans="1:32" ht="15.75" customHeight="1" x14ac:dyDescent="0.45">
      <c r="A60" s="245" t="s">
        <v>295</v>
      </c>
      <c r="B60" s="22"/>
      <c r="C60" s="22"/>
      <c r="D60" s="285">
        <v>0</v>
      </c>
      <c r="E60" s="286"/>
      <c r="F60" s="243"/>
      <c r="G60" s="145"/>
      <c r="H60" s="145"/>
      <c r="I60" s="244"/>
      <c r="J60" s="223"/>
      <c r="K60" s="145"/>
      <c r="L60" s="222"/>
      <c r="M60" s="223"/>
      <c r="N60" s="223"/>
      <c r="O60" s="221"/>
      <c r="P60" s="222"/>
      <c r="Q60" s="223"/>
      <c r="R60" s="145"/>
      <c r="S60" s="231"/>
      <c r="T60" s="225">
        <v>0</v>
      </c>
      <c r="U60" s="233"/>
      <c r="V60" s="240"/>
      <c r="W60" s="190"/>
      <c r="X60" s="235"/>
      <c r="Y60" s="236"/>
      <c r="Z60" s="237"/>
      <c r="AA60" s="190"/>
      <c r="AB60" s="145">
        <v>0</v>
      </c>
      <c r="AC60" s="145"/>
      <c r="AD60" s="238"/>
      <c r="AE60" s="145"/>
      <c r="AF60" s="22"/>
    </row>
    <row r="61" spans="1:32" ht="15.75" customHeight="1" x14ac:dyDescent="0.45">
      <c r="A61" s="245" t="s">
        <v>296</v>
      </c>
      <c r="B61" s="22"/>
      <c r="C61" s="22"/>
      <c r="D61" s="285">
        <v>0</v>
      </c>
      <c r="E61" s="286"/>
      <c r="F61" s="228">
        <v>0</v>
      </c>
      <c r="G61" s="145" t="s">
        <v>280</v>
      </c>
      <c r="H61" s="145"/>
      <c r="I61" s="229">
        <v>0</v>
      </c>
      <c r="J61" s="223"/>
      <c r="K61" s="145"/>
      <c r="L61" s="222">
        <v>0</v>
      </c>
      <c r="M61" s="223"/>
      <c r="N61" s="223"/>
      <c r="O61" s="221"/>
      <c r="P61" s="222">
        <v>0</v>
      </c>
      <c r="Q61" s="223"/>
      <c r="R61" s="145"/>
      <c r="S61" s="231">
        <v>0</v>
      </c>
      <c r="T61" s="225">
        <v>0</v>
      </c>
      <c r="U61" s="233"/>
      <c r="V61" s="240"/>
      <c r="W61" s="190"/>
      <c r="X61" s="235">
        <v>0</v>
      </c>
      <c r="Y61" s="236"/>
      <c r="Z61" s="237"/>
      <c r="AA61" s="190"/>
      <c r="AB61" s="145">
        <v>0</v>
      </c>
      <c r="AC61" s="145"/>
      <c r="AD61" s="238">
        <v>0</v>
      </c>
      <c r="AE61" s="145"/>
      <c r="AF61" s="22"/>
    </row>
    <row r="62" spans="1:32" ht="15.75" customHeight="1" x14ac:dyDescent="0.45">
      <c r="A62" s="247" t="s">
        <v>297</v>
      </c>
      <c r="B62" s="22"/>
      <c r="C62" s="22"/>
      <c r="D62" s="288"/>
      <c r="E62" s="145"/>
      <c r="F62" s="243"/>
      <c r="G62" s="145"/>
      <c r="H62" s="145"/>
      <c r="I62" s="244"/>
      <c r="J62" s="223"/>
      <c r="K62" s="145"/>
      <c r="L62" s="222"/>
      <c r="M62" s="223"/>
      <c r="N62" s="223"/>
      <c r="O62" s="221"/>
      <c r="P62" s="222"/>
      <c r="Q62" s="223"/>
      <c r="R62" s="145"/>
      <c r="S62" s="231"/>
      <c r="T62" s="225"/>
      <c r="U62" s="233"/>
      <c r="V62" s="240"/>
      <c r="W62" s="190"/>
      <c r="X62" s="235"/>
      <c r="Y62" s="236"/>
      <c r="Z62" s="237"/>
      <c r="AA62" s="190"/>
      <c r="AB62" s="145"/>
      <c r="AC62" s="145"/>
      <c r="AD62" s="238"/>
      <c r="AE62" s="145"/>
      <c r="AF62" s="22"/>
    </row>
    <row r="63" spans="1:32" ht="15.75" customHeight="1" x14ac:dyDescent="0.45">
      <c r="A63" s="245" t="s">
        <v>298</v>
      </c>
      <c r="B63" s="22"/>
      <c r="C63" s="22"/>
      <c r="D63" s="285">
        <v>45000</v>
      </c>
      <c r="E63" s="286"/>
      <c r="F63" s="228">
        <v>47700</v>
      </c>
      <c r="G63" s="145" t="s">
        <v>299</v>
      </c>
      <c r="H63" s="145"/>
      <c r="I63" s="229">
        <v>45242</v>
      </c>
      <c r="J63" s="223" t="s">
        <v>299</v>
      </c>
      <c r="K63" s="145"/>
      <c r="L63" s="222">
        <v>50000</v>
      </c>
      <c r="M63" s="223" t="s">
        <v>299</v>
      </c>
      <c r="N63" s="223"/>
      <c r="O63" s="230">
        <v>54013</v>
      </c>
      <c r="P63" s="222">
        <v>53600</v>
      </c>
      <c r="Q63" s="223">
        <v>54013</v>
      </c>
      <c r="R63" s="145"/>
      <c r="S63" s="231">
        <v>55000</v>
      </c>
      <c r="T63" s="232">
        <v>55000</v>
      </c>
      <c r="U63" s="233">
        <f t="shared" ref="U63:U67" si="48">SUM(T63-S63)</f>
        <v>0</v>
      </c>
      <c r="V63" s="240">
        <f t="shared" ref="V63:V67" si="49">SUM(T63-S63)/S63</f>
        <v>0</v>
      </c>
      <c r="W63" s="190"/>
      <c r="X63" s="235">
        <v>58000</v>
      </c>
      <c r="Y63" s="301">
        <f t="shared" ref="Y63:Y67" si="50">SUM(X63-S63)</f>
        <v>3000</v>
      </c>
      <c r="Z63" s="237">
        <f t="shared" ref="Z63:Z67" si="51">SUM(X63-S63)/S63</f>
        <v>5.4545454545454543E-2</v>
      </c>
      <c r="AA63" s="190" t="s">
        <v>225</v>
      </c>
      <c r="AB63" s="145">
        <v>55000</v>
      </c>
      <c r="AC63" s="145"/>
      <c r="AD63" s="238">
        <v>58000</v>
      </c>
      <c r="AE63" s="44">
        <f t="shared" ref="AE63:AE65" si="52">SUM(AD63-X63)/X63</f>
        <v>0</v>
      </c>
      <c r="AF63" s="22"/>
    </row>
    <row r="64" spans="1:32" ht="15.75" customHeight="1" x14ac:dyDescent="0.45">
      <c r="A64" s="245" t="s">
        <v>300</v>
      </c>
      <c r="B64" s="22"/>
      <c r="C64" s="22"/>
      <c r="D64" s="285">
        <f>87389-D63</f>
        <v>42389</v>
      </c>
      <c r="E64" s="286"/>
      <c r="F64" s="228">
        <v>33989</v>
      </c>
      <c r="G64" s="145" t="s">
        <v>301</v>
      </c>
      <c r="H64" s="145"/>
      <c r="I64" s="229">
        <v>23360</v>
      </c>
      <c r="J64" s="223" t="s">
        <v>301</v>
      </c>
      <c r="K64" s="145"/>
      <c r="L64" s="350">
        <v>40000</v>
      </c>
      <c r="M64" s="223" t="s">
        <v>301</v>
      </c>
      <c r="N64" s="223"/>
      <c r="O64" s="230">
        <v>4719</v>
      </c>
      <c r="P64" s="222">
        <v>40000</v>
      </c>
      <c r="Q64" s="223">
        <f>22545+5571</f>
        <v>28116</v>
      </c>
      <c r="R64" s="145"/>
      <c r="S64" s="351">
        <v>40000</v>
      </c>
      <c r="T64" s="232">
        <f>26015+1776</f>
        <v>27791</v>
      </c>
      <c r="U64" s="233">
        <f t="shared" si="48"/>
        <v>-12209</v>
      </c>
      <c r="V64" s="240">
        <f t="shared" si="49"/>
        <v>-0.30522500000000002</v>
      </c>
      <c r="W64" s="190"/>
      <c r="X64" s="352">
        <v>35000</v>
      </c>
      <c r="Y64" s="236">
        <f t="shared" si="50"/>
        <v>-5000</v>
      </c>
      <c r="Z64" s="237">
        <f t="shared" si="51"/>
        <v>-0.125</v>
      </c>
      <c r="AA64" s="190" t="s">
        <v>302</v>
      </c>
      <c r="AB64" s="145">
        <f>12650+920</f>
        <v>13570</v>
      </c>
      <c r="AC64" s="145"/>
      <c r="AD64" s="354">
        <v>35000</v>
      </c>
      <c r="AE64" s="44">
        <f t="shared" si="52"/>
        <v>0</v>
      </c>
      <c r="AF64" s="22"/>
    </row>
    <row r="65" spans="1:32" ht="15.75" customHeight="1" x14ac:dyDescent="0.45">
      <c r="A65" s="247" t="s">
        <v>303</v>
      </c>
      <c r="B65" s="52"/>
      <c r="C65" s="52"/>
      <c r="D65" s="314">
        <v>87389</v>
      </c>
      <c r="E65" s="286"/>
      <c r="F65" s="250">
        <v>81689</v>
      </c>
      <c r="G65" s="74"/>
      <c r="H65" s="74"/>
      <c r="I65" s="251">
        <v>68602</v>
      </c>
      <c r="J65" s="203"/>
      <c r="K65" s="74"/>
      <c r="L65" s="358">
        <f>SUM(L63:L64)</f>
        <v>90000</v>
      </c>
      <c r="M65" s="203"/>
      <c r="N65" s="203"/>
      <c r="O65" s="230">
        <v>58732</v>
      </c>
      <c r="P65" s="359">
        <f t="shared" ref="P65:Q65" si="53">SUM(P63:P64)</f>
        <v>93600</v>
      </c>
      <c r="Q65" s="360">
        <f t="shared" si="53"/>
        <v>82129</v>
      </c>
      <c r="R65" s="74"/>
      <c r="S65" s="361">
        <f t="shared" ref="S65:T65" si="54">SUM(S63:S64)</f>
        <v>95000</v>
      </c>
      <c r="T65" s="362">
        <f t="shared" si="54"/>
        <v>82791</v>
      </c>
      <c r="U65" s="233">
        <f t="shared" si="48"/>
        <v>-12209</v>
      </c>
      <c r="V65" s="240">
        <f t="shared" si="49"/>
        <v>-0.12851578947368422</v>
      </c>
      <c r="W65" s="207"/>
      <c r="X65" s="363">
        <f>SUM(X63:X64)</f>
        <v>93000</v>
      </c>
      <c r="Y65" s="236">
        <f t="shared" si="50"/>
        <v>-2000</v>
      </c>
      <c r="Z65" s="237">
        <f t="shared" si="51"/>
        <v>-2.1052631578947368E-2</v>
      </c>
      <c r="AA65" s="207"/>
      <c r="AB65" s="364">
        <f>SUM(AB63:AB64)</f>
        <v>68570</v>
      </c>
      <c r="AC65" s="365"/>
      <c r="AD65" s="366">
        <f>SUM(AD63:AD64)</f>
        <v>93000</v>
      </c>
      <c r="AE65" s="44">
        <f t="shared" si="52"/>
        <v>0</v>
      </c>
      <c r="AF65" s="22"/>
    </row>
    <row r="66" spans="1:32" ht="15.75" customHeight="1" x14ac:dyDescent="0.45">
      <c r="A66" s="245" t="s">
        <v>304</v>
      </c>
      <c r="B66" s="52"/>
      <c r="C66" s="52"/>
      <c r="D66" s="288"/>
      <c r="E66" s="286"/>
      <c r="F66" s="243"/>
      <c r="G66" s="74"/>
      <c r="H66" s="74"/>
      <c r="I66" s="244"/>
      <c r="J66" s="203"/>
      <c r="K66" s="74"/>
      <c r="L66" s="367">
        <v>12520</v>
      </c>
      <c r="M66" s="203"/>
      <c r="N66" s="203"/>
      <c r="O66" s="230">
        <v>500</v>
      </c>
      <c r="P66" s="358">
        <v>12520</v>
      </c>
      <c r="Q66" s="368">
        <v>6931</v>
      </c>
      <c r="R66" s="74"/>
      <c r="S66" s="369">
        <v>12000</v>
      </c>
      <c r="T66" s="232">
        <v>2962</v>
      </c>
      <c r="U66" s="233">
        <f t="shared" si="48"/>
        <v>-9038</v>
      </c>
      <c r="V66" s="240">
        <f t="shared" si="49"/>
        <v>-0.75316666666666665</v>
      </c>
      <c r="W66" s="190"/>
      <c r="X66" s="235">
        <v>0</v>
      </c>
      <c r="Y66" s="236">
        <f t="shared" si="50"/>
        <v>-12000</v>
      </c>
      <c r="Z66" s="237">
        <f t="shared" si="51"/>
        <v>-1</v>
      </c>
      <c r="AA66" s="190" t="s">
        <v>305</v>
      </c>
      <c r="AB66" s="74">
        <v>0</v>
      </c>
      <c r="AC66" s="74"/>
      <c r="AD66" s="238">
        <v>0</v>
      </c>
      <c r="AE66" s="145"/>
      <c r="AF66" s="22"/>
    </row>
    <row r="67" spans="1:32" ht="15.75" customHeight="1" x14ac:dyDescent="0.55000000000000004">
      <c r="A67" s="325" t="s">
        <v>306</v>
      </c>
      <c r="B67" s="326"/>
      <c r="C67" s="326"/>
      <c r="D67" s="370">
        <v>208531</v>
      </c>
      <c r="E67" s="371"/>
      <c r="F67" s="372">
        <v>193050</v>
      </c>
      <c r="G67" s="371"/>
      <c r="H67" s="371"/>
      <c r="I67" s="373">
        <v>129863</v>
      </c>
      <c r="J67" s="374"/>
      <c r="K67" s="371"/>
      <c r="L67" s="375">
        <f>SUM(L44:L48,L52:L61,L65,L66)</f>
        <v>181988</v>
      </c>
      <c r="M67" s="374"/>
      <c r="N67" s="374"/>
      <c r="O67" s="376">
        <v>97593</v>
      </c>
      <c r="P67" s="377">
        <f t="shared" ref="P67:Q67" si="55">SUM(P44:P48,P52:P61,P65,P66)</f>
        <v>173255</v>
      </c>
      <c r="Q67" s="378">
        <f t="shared" si="55"/>
        <v>153994</v>
      </c>
      <c r="R67" s="371"/>
      <c r="S67" s="379">
        <f t="shared" ref="S67:T67" si="56">SUM(S44:S48,S52:S61,S65,S66)</f>
        <v>195248.62</v>
      </c>
      <c r="T67" s="380">
        <f t="shared" si="56"/>
        <v>161175</v>
      </c>
      <c r="U67" s="233">
        <f t="shared" si="48"/>
        <v>-34073.619999999995</v>
      </c>
      <c r="V67" s="240">
        <f t="shared" si="49"/>
        <v>-0.17451401193002028</v>
      </c>
      <c r="W67" s="381"/>
      <c r="X67" s="382">
        <f>SUM(X44:X48,X52:X61,X65,X66)</f>
        <v>175325.6</v>
      </c>
      <c r="Y67" s="236">
        <f t="shared" si="50"/>
        <v>-19923.01999999999</v>
      </c>
      <c r="Z67" s="237">
        <f t="shared" si="51"/>
        <v>-0.10203923592392095</v>
      </c>
      <c r="AA67" s="381"/>
      <c r="AB67" s="383">
        <f>SUM(AB44:AB48,AB52:AB61,AB65,AB66)</f>
        <v>110446.35</v>
      </c>
      <c r="AC67" s="384"/>
      <c r="AD67" s="385">
        <f>SUM(AD44:AD48,AD52:AD61,AD65,AD66)</f>
        <v>178974.8</v>
      </c>
      <c r="AE67" s="44">
        <f>SUM(AD67-X67)/X67</f>
        <v>2.0813845781791036E-2</v>
      </c>
      <c r="AF67" s="22"/>
    </row>
    <row r="68" spans="1:32" ht="15.75" customHeight="1" x14ac:dyDescent="0.45">
      <c r="A68" s="22"/>
      <c r="B68" s="22"/>
      <c r="C68" s="22"/>
      <c r="D68" s="164"/>
      <c r="E68" s="22"/>
      <c r="F68" s="165"/>
      <c r="G68" s="22"/>
      <c r="H68" s="22"/>
      <c r="I68" s="260"/>
      <c r="J68" s="167"/>
      <c r="K68" s="22"/>
      <c r="L68" s="220"/>
      <c r="M68" s="167"/>
      <c r="N68" s="167"/>
      <c r="O68" s="221"/>
      <c r="P68" s="222"/>
      <c r="Q68" s="223"/>
      <c r="R68" s="22"/>
      <c r="S68" s="224"/>
      <c r="T68" s="225"/>
      <c r="U68" s="233"/>
      <c r="V68" s="240"/>
      <c r="W68" s="190"/>
      <c r="X68" s="235"/>
      <c r="Y68" s="236"/>
      <c r="Z68" s="237"/>
      <c r="AA68" s="190"/>
      <c r="AB68" s="145"/>
      <c r="AC68" s="145"/>
      <c r="AD68" s="238"/>
      <c r="AE68" s="145"/>
      <c r="AF68" s="22"/>
    </row>
    <row r="69" spans="1:32" ht="15.75" customHeight="1" x14ac:dyDescent="0.5">
      <c r="A69" s="261" t="s">
        <v>307</v>
      </c>
      <c r="B69" s="326"/>
      <c r="C69" s="326"/>
      <c r="D69" s="386">
        <f>SUM(D30+D67)</f>
        <v>263339</v>
      </c>
      <c r="E69" s="68"/>
      <c r="F69" s="387">
        <f>SUM(F30+F67)</f>
        <v>254068</v>
      </c>
      <c r="G69" s="326"/>
      <c r="H69" s="326"/>
      <c r="I69" s="386">
        <f>SUM(I41+I67)</f>
        <v>212307</v>
      </c>
      <c r="J69" s="388"/>
      <c r="K69" s="326"/>
      <c r="L69" s="389"/>
      <c r="M69" s="388"/>
      <c r="N69" s="388"/>
      <c r="O69" s="221"/>
      <c r="P69" s="389"/>
      <c r="Q69" s="386">
        <f>SUM(Q41+Q67)</f>
        <v>248703</v>
      </c>
      <c r="R69" s="326"/>
      <c r="S69" s="390">
        <f t="shared" ref="S69:T69" si="57">SUM(S41+S67)</f>
        <v>287834.62</v>
      </c>
      <c r="T69" s="205">
        <f t="shared" si="57"/>
        <v>245604</v>
      </c>
      <c r="U69" s="233"/>
      <c r="V69" s="240"/>
      <c r="W69" s="381"/>
      <c r="X69" s="391">
        <f>SUM(X41+X67)</f>
        <v>272967.59999999998</v>
      </c>
      <c r="Y69" s="236"/>
      <c r="Z69" s="237"/>
      <c r="AA69" s="381"/>
      <c r="AB69" s="68"/>
      <c r="AC69" s="68"/>
      <c r="AD69" s="392">
        <f>SUM(AD41+AD67)</f>
        <v>281113.31</v>
      </c>
      <c r="AE69" s="44">
        <f>SUM(AD69-X69)/X69</f>
        <v>2.9841307173452167E-2</v>
      </c>
      <c r="AF69" s="22"/>
    </row>
    <row r="70" spans="1:32" ht="15.75" customHeight="1" x14ac:dyDescent="0.5">
      <c r="A70" s="261"/>
      <c r="B70" s="326"/>
      <c r="C70" s="326"/>
      <c r="D70" s="288"/>
      <c r="E70" s="68"/>
      <c r="F70" s="243"/>
      <c r="G70" s="326"/>
      <c r="H70" s="326"/>
      <c r="I70" s="244"/>
      <c r="J70" s="388"/>
      <c r="K70" s="326"/>
      <c r="L70" s="389"/>
      <c r="M70" s="388"/>
      <c r="N70" s="388"/>
      <c r="O70" s="221"/>
      <c r="P70" s="389"/>
      <c r="Q70" s="393"/>
      <c r="R70" s="326"/>
      <c r="S70" s="394"/>
      <c r="T70" s="225"/>
      <c r="U70" s="233"/>
      <c r="V70" s="240"/>
      <c r="W70" s="381"/>
      <c r="X70" s="395"/>
      <c r="Y70" s="236"/>
      <c r="Z70" s="237"/>
      <c r="AA70" s="381"/>
      <c r="AB70" s="68"/>
      <c r="AC70" s="68"/>
      <c r="AD70" s="396"/>
      <c r="AE70" s="145"/>
      <c r="AF70" s="22"/>
    </row>
    <row r="71" spans="1:32" ht="15.75" customHeight="1" x14ac:dyDescent="0.45">
      <c r="A71" s="212" t="s">
        <v>308</v>
      </c>
      <c r="B71" s="22"/>
      <c r="C71" s="22"/>
      <c r="D71" s="285">
        <v>0</v>
      </c>
      <c r="E71" s="286"/>
      <c r="F71" s="228">
        <v>0</v>
      </c>
      <c r="G71" s="145"/>
      <c r="H71" s="145"/>
      <c r="I71" s="229">
        <v>0</v>
      </c>
      <c r="J71" s="223"/>
      <c r="K71" s="145"/>
      <c r="L71" s="397">
        <v>21000</v>
      </c>
      <c r="M71" s="223"/>
      <c r="N71" s="223"/>
      <c r="O71" s="230">
        <v>1076</v>
      </c>
      <c r="P71" s="222">
        <v>21000</v>
      </c>
      <c r="Q71" s="223">
        <v>2182</v>
      </c>
      <c r="R71" s="145"/>
      <c r="S71" s="398">
        <v>25000</v>
      </c>
      <c r="T71" s="232">
        <f t="shared" ref="T71:T73" si="58">S71</f>
        <v>25000</v>
      </c>
      <c r="U71" s="233">
        <f t="shared" ref="U71:U73" si="59">SUM(T71-S71)</f>
        <v>0</v>
      </c>
      <c r="V71" s="240">
        <f t="shared" ref="V71:V73" si="60">SUM(T71-S71)/S71</f>
        <v>0</v>
      </c>
      <c r="W71" s="190"/>
      <c r="X71" s="235">
        <v>25000</v>
      </c>
      <c r="Y71" s="236">
        <f t="shared" ref="Y71:Y73" si="61">SUM(X71-S71)</f>
        <v>0</v>
      </c>
      <c r="Z71" s="237">
        <f t="shared" ref="Z71:Z73" si="62">SUM(X71-S71)/S71</f>
        <v>0</v>
      </c>
      <c r="AA71" s="190" t="s">
        <v>309</v>
      </c>
      <c r="AB71" s="145">
        <v>0</v>
      </c>
      <c r="AC71" s="145"/>
      <c r="AD71" s="238">
        <v>25000</v>
      </c>
      <c r="AE71" s="145"/>
      <c r="AF71" s="22"/>
    </row>
    <row r="72" spans="1:32" ht="15.75" customHeight="1" x14ac:dyDescent="0.45">
      <c r="A72" s="212" t="s">
        <v>310</v>
      </c>
      <c r="B72" s="22"/>
      <c r="C72" s="22"/>
      <c r="D72" s="285">
        <v>0</v>
      </c>
      <c r="E72" s="286"/>
      <c r="F72" s="228">
        <v>0</v>
      </c>
      <c r="G72" s="145"/>
      <c r="H72" s="145"/>
      <c r="I72" s="229">
        <v>0</v>
      </c>
      <c r="J72" s="223"/>
      <c r="K72" s="145"/>
      <c r="L72" s="397">
        <v>11000</v>
      </c>
      <c r="M72" s="223"/>
      <c r="N72" s="223"/>
      <c r="O72" s="230">
        <v>0</v>
      </c>
      <c r="P72" s="222">
        <v>11000</v>
      </c>
      <c r="Q72" s="223">
        <v>11000</v>
      </c>
      <c r="R72" s="145"/>
      <c r="S72" s="231">
        <v>25846</v>
      </c>
      <c r="T72" s="232">
        <f t="shared" si="58"/>
        <v>25846</v>
      </c>
      <c r="U72" s="233">
        <f t="shared" si="59"/>
        <v>0</v>
      </c>
      <c r="V72" s="240">
        <f t="shared" si="60"/>
        <v>0</v>
      </c>
      <c r="W72" s="190"/>
      <c r="X72" s="352">
        <f>36477+1048</f>
        <v>37525</v>
      </c>
      <c r="Y72" s="399">
        <f t="shared" si="61"/>
        <v>11679</v>
      </c>
      <c r="Z72" s="237">
        <f t="shared" si="62"/>
        <v>0.4518687611235781</v>
      </c>
      <c r="AA72" s="400" t="s">
        <v>311</v>
      </c>
      <c r="AB72" s="145">
        <v>0</v>
      </c>
      <c r="AC72" s="145"/>
      <c r="AD72" s="354">
        <v>25000</v>
      </c>
      <c r="AE72" s="145"/>
      <c r="AF72" s="22"/>
    </row>
    <row r="73" spans="1:32" ht="15.75" customHeight="1" x14ac:dyDescent="0.45">
      <c r="A73" s="212" t="s">
        <v>312</v>
      </c>
      <c r="B73" s="22"/>
      <c r="C73" s="22"/>
      <c r="D73" s="288">
        <f>SUM(D21-D41-D67-D71-D72)</f>
        <v>135422</v>
      </c>
      <c r="E73" s="286"/>
      <c r="F73" s="243">
        <f>SUM(F21-F41-F67-F71-F72)</f>
        <v>153262</v>
      </c>
      <c r="G73" s="145"/>
      <c r="H73" s="145"/>
      <c r="I73" s="401">
        <f>SUM(I21-I41-I67-I71-I72)</f>
        <v>187013</v>
      </c>
      <c r="J73" s="223"/>
      <c r="K73" s="145"/>
      <c r="L73" s="397">
        <v>120317</v>
      </c>
      <c r="M73" s="223"/>
      <c r="N73" s="223"/>
      <c r="O73" s="230">
        <v>288664</v>
      </c>
      <c r="P73" s="222">
        <f t="shared" ref="P73:Q73" si="63">SUM(P21-P41-P67-P71-P72)</f>
        <v>163690</v>
      </c>
      <c r="Q73" s="223">
        <f t="shared" si="63"/>
        <v>196602</v>
      </c>
      <c r="R73" s="145"/>
      <c r="S73" s="231">
        <v>135000</v>
      </c>
      <c r="T73" s="225">
        <f t="shared" si="58"/>
        <v>135000</v>
      </c>
      <c r="U73" s="233">
        <f t="shared" si="59"/>
        <v>0</v>
      </c>
      <c r="V73" s="240">
        <f t="shared" si="60"/>
        <v>0</v>
      </c>
      <c r="W73" s="309"/>
      <c r="X73" s="402">
        <v>135000</v>
      </c>
      <c r="Y73" s="236">
        <f t="shared" si="61"/>
        <v>0</v>
      </c>
      <c r="Z73" s="237">
        <f t="shared" si="62"/>
        <v>0</v>
      </c>
      <c r="AA73" s="353" t="s">
        <v>313</v>
      </c>
      <c r="AB73" s="145">
        <v>0</v>
      </c>
      <c r="AC73" s="145"/>
      <c r="AD73" s="403">
        <v>150000</v>
      </c>
      <c r="AE73" s="145"/>
      <c r="AF73" s="22"/>
    </row>
    <row r="74" spans="1:32" ht="15.75" customHeight="1" x14ac:dyDescent="0.45">
      <c r="A74" s="212"/>
      <c r="B74" s="22"/>
      <c r="C74" s="22"/>
      <c r="D74" s="288"/>
      <c r="E74" s="145"/>
      <c r="F74" s="243"/>
      <c r="G74" s="145"/>
      <c r="H74" s="145"/>
      <c r="I74" s="244"/>
      <c r="J74" s="223"/>
      <c r="K74" s="145"/>
      <c r="L74" s="222"/>
      <c r="M74" s="223"/>
      <c r="N74" s="223"/>
      <c r="O74" s="221"/>
      <c r="P74" s="222"/>
      <c r="Q74" s="223"/>
      <c r="R74" s="145"/>
      <c r="S74" s="231"/>
      <c r="T74" s="225"/>
      <c r="U74" s="233"/>
      <c r="V74" s="240"/>
      <c r="W74" s="190"/>
      <c r="X74" s="235"/>
      <c r="Y74" s="236"/>
      <c r="Z74" s="237"/>
      <c r="AA74" s="190"/>
      <c r="AB74" s="145"/>
      <c r="AC74" s="145"/>
      <c r="AD74" s="238"/>
      <c r="AE74" s="145"/>
      <c r="AF74" s="22"/>
    </row>
    <row r="75" spans="1:32" ht="15.75" customHeight="1" x14ac:dyDescent="0.45">
      <c r="A75" s="196" t="s">
        <v>314</v>
      </c>
      <c r="B75" s="52"/>
      <c r="C75" s="52"/>
      <c r="D75" s="404">
        <f>SUM(D73,D67,D71,D72,D41)</f>
        <v>420119</v>
      </c>
      <c r="E75" s="249"/>
      <c r="F75" s="405">
        <f>SUM(F73,F67,F71,F72,F41)</f>
        <v>428695</v>
      </c>
      <c r="G75" s="52"/>
      <c r="H75" s="52"/>
      <c r="I75" s="406">
        <f>SUM(I73,I67,I71,I72,I41)</f>
        <v>399320</v>
      </c>
      <c r="J75" s="199"/>
      <c r="K75" s="52"/>
      <c r="L75" s="407">
        <f>SUM(L73,L67,L71,L72,L41)</f>
        <v>423935</v>
      </c>
      <c r="M75" s="199"/>
      <c r="N75" s="199"/>
      <c r="O75" s="408">
        <v>454049</v>
      </c>
      <c r="P75" s="409">
        <f t="shared" ref="P75:Q75" si="64">SUM(P73,P67,P71,P72,P41)</f>
        <v>458575</v>
      </c>
      <c r="Q75" s="410">
        <f t="shared" si="64"/>
        <v>458487</v>
      </c>
      <c r="R75" s="52"/>
      <c r="S75" s="411">
        <f t="shared" ref="S75:T75" si="65">SUM(S73,S67,S71,S72,S41)</f>
        <v>473680.62</v>
      </c>
      <c r="T75" s="412">
        <f t="shared" si="65"/>
        <v>431450</v>
      </c>
      <c r="U75" s="233">
        <f>SUM(T75-S75)</f>
        <v>-42230.619999999995</v>
      </c>
      <c r="V75" s="240">
        <f>SUM(T75-S75)/S75</f>
        <v>-8.9154206899999408E-2</v>
      </c>
      <c r="W75" s="207"/>
      <c r="X75" s="413">
        <f>SUM(X73,X67,X71,X72,X41)</f>
        <v>470492.6</v>
      </c>
      <c r="Y75" s="236">
        <f>SUM(X75-S75)</f>
        <v>-3188.0200000000186</v>
      </c>
      <c r="Z75" s="237">
        <f>SUM(X75-S75)/S75</f>
        <v>-6.7303154602356722E-3</v>
      </c>
      <c r="AA75" s="207"/>
      <c r="AB75" s="414">
        <f>SUM(AB73,AB67,AB71,AB72,AB41)</f>
        <v>159851.35</v>
      </c>
      <c r="AC75" s="415"/>
      <c r="AD75" s="416">
        <f>SUM(AD73,AD67,AD71,AD72,AD41)</f>
        <v>481113.31</v>
      </c>
      <c r="AE75" s="145"/>
      <c r="AF75" s="22"/>
    </row>
    <row r="76" spans="1:32" ht="15.75" customHeight="1" x14ac:dyDescent="0.45">
      <c r="A76" s="22"/>
      <c r="B76" s="22"/>
      <c r="C76" s="22"/>
      <c r="D76" s="164"/>
      <c r="E76" s="22"/>
      <c r="F76" s="165"/>
      <c r="G76" s="22"/>
      <c r="H76" s="22"/>
      <c r="I76" s="260"/>
      <c r="J76" s="167"/>
      <c r="K76" s="22"/>
      <c r="L76" s="220"/>
      <c r="M76" s="167"/>
      <c r="N76" s="167"/>
      <c r="O76" s="221"/>
      <c r="P76" s="222"/>
      <c r="Q76" s="223"/>
      <c r="R76" s="22"/>
      <c r="S76" s="224"/>
      <c r="T76" s="225"/>
      <c r="U76" s="233"/>
      <c r="V76" s="240"/>
      <c r="W76" s="190"/>
      <c r="X76" s="235"/>
      <c r="Y76" s="236"/>
      <c r="Z76" s="237"/>
      <c r="AA76" s="190"/>
      <c r="AB76" s="145"/>
      <c r="AC76" s="145"/>
      <c r="AD76" s="238"/>
      <c r="AE76" s="145"/>
      <c r="AF76" s="22"/>
    </row>
    <row r="77" spans="1:32" ht="15.75" customHeight="1" x14ac:dyDescent="0.45">
      <c r="A77" s="417" t="s">
        <v>315</v>
      </c>
      <c r="B77" s="22"/>
      <c r="C77" s="22"/>
      <c r="D77" s="226">
        <v>0</v>
      </c>
      <c r="E77" s="418"/>
      <c r="F77" s="419">
        <v>0</v>
      </c>
      <c r="G77" s="22"/>
      <c r="H77" s="22"/>
      <c r="I77" s="420">
        <v>-1</v>
      </c>
      <c r="J77" s="167"/>
      <c r="K77" s="22"/>
      <c r="L77" s="421">
        <f>SUM(L21-L75)</f>
        <v>0</v>
      </c>
      <c r="M77" s="167"/>
      <c r="N77" s="167"/>
      <c r="O77" s="422">
        <v>0</v>
      </c>
      <c r="P77" s="421">
        <f t="shared" ref="P77:Q77" si="66">SUM(P21-P75)</f>
        <v>0</v>
      </c>
      <c r="Q77" s="423">
        <f t="shared" si="66"/>
        <v>0</v>
      </c>
      <c r="R77" s="22"/>
      <c r="S77" s="424">
        <f t="shared" ref="S77:T77" si="67">SUM(S21-S75)</f>
        <v>0.38000000000465661</v>
      </c>
      <c r="T77" s="425">
        <f t="shared" si="67"/>
        <v>29802</v>
      </c>
      <c r="U77" s="233"/>
      <c r="V77" s="240"/>
      <c r="W77" s="190"/>
      <c r="X77" s="426">
        <f>SUM(X21-X75)</f>
        <v>1537.4000000000233</v>
      </c>
      <c r="Y77" s="236">
        <f>SUM(X77-S77)</f>
        <v>1537.0200000000186</v>
      </c>
      <c r="Z77" s="237">
        <f>SUM(X77-S77)/S77</f>
        <v>4044.7894736346939</v>
      </c>
      <c r="AA77" s="190"/>
      <c r="AB77" s="427">
        <f>SUM(AB21-AB75)</f>
        <v>290109.65000000002</v>
      </c>
      <c r="AC77" s="427"/>
      <c r="AD77" s="428">
        <f>SUM(AD21-AD75)</f>
        <v>4386.6900000000023</v>
      </c>
      <c r="AE77" s="145"/>
      <c r="AF77" s="22"/>
    </row>
    <row r="78" spans="1:32" ht="15.75" customHeight="1" x14ac:dyDescent="0.45">
      <c r="A78" s="22"/>
      <c r="B78" s="22"/>
      <c r="C78" s="22"/>
      <c r="D78" s="246"/>
      <c r="E78" s="418"/>
      <c r="F78" s="429"/>
      <c r="G78" s="22"/>
      <c r="H78" s="22"/>
      <c r="I78" s="430"/>
      <c r="J78" s="167"/>
      <c r="K78" s="22"/>
      <c r="L78" s="421"/>
      <c r="M78" s="167"/>
      <c r="N78" s="167"/>
      <c r="O78" s="431"/>
      <c r="P78" s="421"/>
      <c r="Q78" s="423"/>
      <c r="R78" s="22"/>
      <c r="S78" s="424"/>
      <c r="T78" s="425"/>
      <c r="U78" s="233"/>
      <c r="V78" s="240"/>
      <c r="W78" s="190"/>
      <c r="X78" s="235"/>
      <c r="Y78" s="236"/>
      <c r="Z78" s="237"/>
      <c r="AA78" s="190"/>
      <c r="AB78" s="145"/>
      <c r="AC78" s="145"/>
      <c r="AD78" s="238"/>
      <c r="AE78" s="145"/>
      <c r="AF78" s="22"/>
    </row>
    <row r="79" spans="1:32" ht="15.75" customHeight="1" x14ac:dyDescent="0.45">
      <c r="A79" s="22" t="s">
        <v>316</v>
      </c>
      <c r="B79" s="22"/>
      <c r="C79" s="22"/>
      <c r="D79" s="226">
        <v>135422</v>
      </c>
      <c r="E79" s="418"/>
      <c r="F79" s="419">
        <v>153262</v>
      </c>
      <c r="G79" s="22"/>
      <c r="H79" s="22"/>
      <c r="I79" s="432">
        <v>187014</v>
      </c>
      <c r="J79" s="167"/>
      <c r="K79" s="22"/>
      <c r="L79" s="421">
        <f>SUM(L71,L72,L73)</f>
        <v>152317</v>
      </c>
      <c r="M79" s="167"/>
      <c r="N79" s="167"/>
      <c r="O79" s="431"/>
      <c r="P79" s="421">
        <f t="shared" ref="P79:Q79" si="68">SUM(P71,P72,P73)</f>
        <v>195690</v>
      </c>
      <c r="Q79" s="423">
        <f t="shared" si="68"/>
        <v>209784</v>
      </c>
      <c r="R79" s="22"/>
      <c r="S79" s="433">
        <f>SUM(S71,S72,S73)</f>
        <v>185846</v>
      </c>
      <c r="T79" s="434">
        <f>SUM(T21-T75)</f>
        <v>29802</v>
      </c>
      <c r="U79" s="233">
        <f t="shared" ref="U79:U82" si="69">SUM(T79-S79)</f>
        <v>-156044</v>
      </c>
      <c r="V79" s="240">
        <f t="shared" ref="V79:V82" si="70">SUM(T79-S79)/S79</f>
        <v>-0.83964142354422477</v>
      </c>
      <c r="W79" s="190"/>
      <c r="X79" s="435">
        <f>SUM(X71,X72,X73)</f>
        <v>197525</v>
      </c>
      <c r="Y79" s="236">
        <f t="shared" ref="Y79:Y82" si="71">SUM(X79-S79)</f>
        <v>11679</v>
      </c>
      <c r="Z79" s="237">
        <f t="shared" ref="Z79:Z82" si="72">SUM(X79-S79)/S79</f>
        <v>6.2842353346318991E-2</v>
      </c>
      <c r="AA79" s="190"/>
      <c r="AB79" s="436">
        <f>SUM(AB71,AB72,AB73)</f>
        <v>0</v>
      </c>
      <c r="AC79" s="436"/>
      <c r="AD79" s="437">
        <f>SUM(AD71,AD72,AD73)</f>
        <v>200000</v>
      </c>
      <c r="AE79" s="145"/>
      <c r="AF79" s="22"/>
    </row>
    <row r="80" spans="1:32" ht="15.75" customHeight="1" x14ac:dyDescent="0.45">
      <c r="A80" s="438" t="s">
        <v>317</v>
      </c>
      <c r="B80" s="22"/>
      <c r="C80" s="22"/>
      <c r="D80" s="246"/>
      <c r="E80" s="418"/>
      <c r="F80" s="429"/>
      <c r="G80" s="22"/>
      <c r="H80" s="22"/>
      <c r="I80" s="430"/>
      <c r="J80" s="167"/>
      <c r="K80" s="22"/>
      <c r="L80" s="424">
        <f>L71</f>
        <v>21000</v>
      </c>
      <c r="M80" s="167"/>
      <c r="N80" s="167"/>
      <c r="O80" s="431"/>
      <c r="P80" s="421">
        <f>P71</f>
        <v>21000</v>
      </c>
      <c r="Q80" s="423"/>
      <c r="R80" s="22"/>
      <c r="S80" s="424">
        <f>S71</f>
        <v>25000</v>
      </c>
      <c r="T80" s="425">
        <f t="shared" ref="T80:T81" si="73">S80</f>
        <v>25000</v>
      </c>
      <c r="U80" s="233">
        <f t="shared" si="69"/>
        <v>0</v>
      </c>
      <c r="V80" s="240">
        <f t="shared" si="70"/>
        <v>0</v>
      </c>
      <c r="W80" s="190"/>
      <c r="X80" s="426">
        <f>X71</f>
        <v>25000</v>
      </c>
      <c r="Y80" s="236">
        <f t="shared" si="71"/>
        <v>0</v>
      </c>
      <c r="Z80" s="237">
        <f t="shared" si="72"/>
        <v>0</v>
      </c>
      <c r="AA80" s="190"/>
      <c r="AB80" s="427">
        <f>AB71</f>
        <v>0</v>
      </c>
      <c r="AC80" s="427"/>
      <c r="AD80" s="428">
        <f>AD71</f>
        <v>25000</v>
      </c>
      <c r="AE80" s="145"/>
      <c r="AF80" s="22"/>
    </row>
    <row r="81" spans="1:32" ht="15.75" customHeight="1" x14ac:dyDescent="0.45">
      <c r="A81" s="438" t="s">
        <v>318</v>
      </c>
      <c r="B81" s="22"/>
      <c r="C81" s="22"/>
      <c r="D81" s="246"/>
      <c r="E81" s="418"/>
      <c r="F81" s="429"/>
      <c r="G81" s="22"/>
      <c r="H81" s="22"/>
      <c r="I81" s="430"/>
      <c r="J81" s="167"/>
      <c r="K81" s="22"/>
      <c r="L81" s="424">
        <f>L73</f>
        <v>120317</v>
      </c>
      <c r="M81" s="167"/>
      <c r="N81" s="167"/>
      <c r="O81" s="431"/>
      <c r="P81" s="421">
        <f>P73</f>
        <v>163690</v>
      </c>
      <c r="Q81" s="423"/>
      <c r="R81" s="22"/>
      <c r="S81" s="424">
        <f>S73</f>
        <v>135000</v>
      </c>
      <c r="T81" s="425">
        <f t="shared" si="73"/>
        <v>135000</v>
      </c>
      <c r="U81" s="233">
        <f t="shared" si="69"/>
        <v>0</v>
      </c>
      <c r="V81" s="240">
        <f t="shared" si="70"/>
        <v>0</v>
      </c>
      <c r="W81" s="190"/>
      <c r="X81" s="426">
        <f>X73</f>
        <v>135000</v>
      </c>
      <c r="Y81" s="236">
        <f t="shared" si="71"/>
        <v>0</v>
      </c>
      <c r="Z81" s="237">
        <f t="shared" si="72"/>
        <v>0</v>
      </c>
      <c r="AA81" s="190" t="s">
        <v>319</v>
      </c>
      <c r="AB81" s="427">
        <f>AB73</f>
        <v>0</v>
      </c>
      <c r="AC81" s="427"/>
      <c r="AD81" s="428">
        <f>AD73</f>
        <v>150000</v>
      </c>
      <c r="AE81" s="145"/>
      <c r="AF81" s="22"/>
    </row>
    <row r="82" spans="1:32" ht="15.75" customHeight="1" x14ac:dyDescent="0.45">
      <c r="A82" s="438" t="s">
        <v>320</v>
      </c>
      <c r="B82" s="22"/>
      <c r="C82" s="22"/>
      <c r="D82" s="246"/>
      <c r="E82" s="418"/>
      <c r="F82" s="429"/>
      <c r="G82" s="22"/>
      <c r="H82" s="22"/>
      <c r="I82" s="430"/>
      <c r="J82" s="167"/>
      <c r="K82" s="22"/>
      <c r="L82" s="433">
        <f>SUM(L79-L80-L81)</f>
        <v>11000</v>
      </c>
      <c r="M82" s="167"/>
      <c r="N82" s="167"/>
      <c r="O82" s="431"/>
      <c r="P82" s="439">
        <f>SUM(P79-P80-P81)</f>
        <v>11000</v>
      </c>
      <c r="Q82" s="423"/>
      <c r="R82" s="22"/>
      <c r="S82" s="433">
        <f t="shared" ref="S82:T82" si="74">SUM(S79-S80-S81)</f>
        <v>25846</v>
      </c>
      <c r="T82" s="434">
        <f t="shared" si="74"/>
        <v>-130198</v>
      </c>
      <c r="U82" s="233">
        <f t="shared" si="69"/>
        <v>-156044</v>
      </c>
      <c r="V82" s="240">
        <f t="shared" si="70"/>
        <v>-6.0374526038845469</v>
      </c>
      <c r="W82" s="190"/>
      <c r="X82" s="440">
        <f>SUM(X79-X80-X81)</f>
        <v>37525</v>
      </c>
      <c r="Y82" s="236">
        <f t="shared" si="71"/>
        <v>11679</v>
      </c>
      <c r="Z82" s="237">
        <f t="shared" si="72"/>
        <v>0.4518687611235781</v>
      </c>
      <c r="AA82" s="190"/>
      <c r="AB82" s="436">
        <f>SUM(AB79-AB80-AB81)</f>
        <v>0</v>
      </c>
      <c r="AC82" s="436"/>
      <c r="AD82" s="437">
        <f>SUM(AD79-AD80-AD81)</f>
        <v>25000</v>
      </c>
      <c r="AE82" s="145"/>
      <c r="AF82" s="22"/>
    </row>
    <row r="83" spans="1:32" ht="15.75" customHeight="1" x14ac:dyDescent="0.45">
      <c r="A83" s="22"/>
      <c r="B83" s="22"/>
      <c r="C83" s="22"/>
      <c r="D83" s="246"/>
      <c r="E83" s="418"/>
      <c r="F83" s="429"/>
      <c r="G83" s="22"/>
      <c r="H83" s="22"/>
      <c r="I83" s="430"/>
      <c r="J83" s="167"/>
      <c r="K83" s="22"/>
      <c r="L83" s="421"/>
      <c r="M83" s="167"/>
      <c r="N83" s="167"/>
      <c r="O83" s="431"/>
      <c r="P83" s="421"/>
      <c r="Q83" s="423"/>
      <c r="R83" s="22"/>
      <c r="S83" s="424"/>
      <c r="T83" s="425"/>
      <c r="U83" s="233"/>
      <c r="V83" s="240"/>
      <c r="W83" s="190"/>
      <c r="X83" s="235"/>
      <c r="Y83" s="236"/>
      <c r="Z83" s="237"/>
      <c r="AA83" s="190"/>
      <c r="AB83" s="145"/>
      <c r="AC83" s="145"/>
      <c r="AD83" s="238"/>
      <c r="AE83" s="145"/>
      <c r="AF83" s="22"/>
    </row>
    <row r="84" spans="1:32" ht="15.75" customHeight="1" x14ac:dyDescent="0.5">
      <c r="A84" s="441" t="s">
        <v>321</v>
      </c>
      <c r="B84" s="326"/>
      <c r="C84" s="326"/>
      <c r="D84" s="442">
        <f>SUM(D41+D67)-D51-D63-D66-D17</f>
        <v>180714</v>
      </c>
      <c r="E84" s="68"/>
      <c r="F84" s="443">
        <f>SUM(F41+F67)-F51-F63-F66-F17</f>
        <v>183220</v>
      </c>
      <c r="G84" s="444" t="s">
        <v>322</v>
      </c>
      <c r="H84" s="326"/>
      <c r="I84" s="445">
        <f>SUM(I41+I67)-I51-I63-I66-I17</f>
        <v>161105</v>
      </c>
      <c r="J84" s="388" t="s">
        <v>322</v>
      </c>
      <c r="K84" s="326"/>
      <c r="L84" s="267">
        <f>SUM(L41+L67)-L51-L63-L66-L17</f>
        <v>206523</v>
      </c>
      <c r="M84" s="388" t="s">
        <v>322</v>
      </c>
      <c r="N84" s="388"/>
      <c r="O84" s="446">
        <v>110296</v>
      </c>
      <c r="P84" s="389">
        <f t="shared" ref="P84:Q84" si="75">SUM(P41+P67)-P51-P63-P66-P17</f>
        <v>194190</v>
      </c>
      <c r="Q84" s="393">
        <f t="shared" si="75"/>
        <v>186499</v>
      </c>
      <c r="R84" s="326"/>
      <c r="S84" s="394">
        <f t="shared" ref="S84:T84" si="76">SUM(S41+S67)-S51-S63-S66-S17</f>
        <v>218234.62</v>
      </c>
      <c r="T84" s="100">
        <f t="shared" si="76"/>
        <v>185974</v>
      </c>
      <c r="U84" s="233">
        <f t="shared" ref="U84:U86" si="77">SUM(T84-S84)</f>
        <v>-32260.619999999995</v>
      </c>
      <c r="V84" s="240">
        <f t="shared" ref="V84:V86" si="78">SUM(T84-S84)/S84</f>
        <v>-0.1478254000213165</v>
      </c>
      <c r="W84" s="22"/>
      <c r="X84" s="447">
        <f>SUM(X41+X67)-X51-X63-X66-X17</f>
        <v>213467.59999999998</v>
      </c>
      <c r="Y84" s="236">
        <f t="shared" ref="Y84:Y86" si="79">SUM(X84-S84)</f>
        <v>-4767.0200000000186</v>
      </c>
      <c r="Z84" s="237">
        <f t="shared" ref="Z84:Z86" si="80">SUM(X84-S84)/S84</f>
        <v>-2.1843555344243818E-2</v>
      </c>
      <c r="AA84" s="190" t="s">
        <v>323</v>
      </c>
      <c r="AB84" s="448">
        <f>SUM(AB41+AB67)-AB51-AB63-AB66-AB17</f>
        <v>104851.35</v>
      </c>
      <c r="AC84" s="448"/>
      <c r="AD84" s="449">
        <f>SUM(AD41+AD67)-AD51-AD63-AD66-AD17</f>
        <v>221613.31</v>
      </c>
      <c r="AE84" s="145"/>
      <c r="AF84" s="22"/>
    </row>
    <row r="85" spans="1:32" ht="15.75" customHeight="1" x14ac:dyDescent="0.45">
      <c r="A85" s="190" t="s">
        <v>324</v>
      </c>
      <c r="B85" s="22"/>
      <c r="C85" s="22"/>
      <c r="D85" s="450">
        <v>8402</v>
      </c>
      <c r="E85" s="22"/>
      <c r="F85" s="165"/>
      <c r="G85" s="22"/>
      <c r="H85" s="22"/>
      <c r="I85" s="451">
        <v>7986</v>
      </c>
      <c r="J85" s="167"/>
      <c r="K85" s="22"/>
      <c r="L85" s="452">
        <f>SUM(L75*0.02)</f>
        <v>8478.7000000000007</v>
      </c>
      <c r="M85" s="167"/>
      <c r="N85" s="167"/>
      <c r="O85" s="221"/>
      <c r="P85" s="222"/>
      <c r="Q85" s="223"/>
      <c r="R85" s="22"/>
      <c r="S85" s="453">
        <f>SUM(S21*0.02)</f>
        <v>9473.6200000000008</v>
      </c>
      <c r="T85" s="225"/>
      <c r="U85" s="233">
        <f t="shared" si="77"/>
        <v>-9473.6200000000008</v>
      </c>
      <c r="V85" s="240">
        <f t="shared" si="78"/>
        <v>-1</v>
      </c>
      <c r="W85" s="22"/>
      <c r="X85" s="454">
        <f>SUM(X21*0.02)</f>
        <v>9440.6</v>
      </c>
      <c r="Y85" s="236">
        <f t="shared" si="79"/>
        <v>-33.020000000000437</v>
      </c>
      <c r="Z85" s="237">
        <f t="shared" si="80"/>
        <v>-3.4854680681725078E-3</v>
      </c>
      <c r="AA85" s="190"/>
      <c r="AB85" s="455"/>
      <c r="AC85" s="455"/>
      <c r="AD85" s="456">
        <f>SUM(AD21*0.02)</f>
        <v>9710</v>
      </c>
      <c r="AE85" s="145"/>
      <c r="AF85" s="22"/>
    </row>
    <row r="86" spans="1:32" ht="21.75" customHeight="1" x14ac:dyDescent="0.45">
      <c r="A86" s="190" t="s">
        <v>325</v>
      </c>
      <c r="B86" s="22"/>
      <c r="C86" s="22"/>
      <c r="D86" s="164"/>
      <c r="E86" s="22"/>
      <c r="F86" s="165"/>
      <c r="G86" s="22"/>
      <c r="H86" s="22"/>
      <c r="I86" s="451">
        <v>3050</v>
      </c>
      <c r="J86" s="167"/>
      <c r="K86" s="22"/>
      <c r="L86" s="452">
        <f>SUM(L85-L28)</f>
        <v>2728.7000000000007</v>
      </c>
      <c r="M86" s="167"/>
      <c r="N86" s="167"/>
      <c r="O86" s="221"/>
      <c r="P86" s="222"/>
      <c r="Q86" s="223"/>
      <c r="R86" s="22"/>
      <c r="S86" s="453">
        <f>SUM(S85-S28)</f>
        <v>3623.6200000000008</v>
      </c>
      <c r="T86" s="225"/>
      <c r="U86" s="233">
        <f t="shared" si="77"/>
        <v>-3623.6200000000008</v>
      </c>
      <c r="V86" s="240">
        <f t="shared" si="78"/>
        <v>-1</v>
      </c>
      <c r="W86" s="22"/>
      <c r="X86" s="454">
        <f>SUM(X85-X28)-1500</f>
        <v>1940.6000000000004</v>
      </c>
      <c r="Y86" s="236">
        <f t="shared" si="79"/>
        <v>-1683.0200000000004</v>
      </c>
      <c r="Z86" s="237">
        <f t="shared" si="80"/>
        <v>-0.46445819373996172</v>
      </c>
      <c r="AA86" s="190"/>
      <c r="AB86" s="455"/>
      <c r="AC86" s="455"/>
      <c r="AD86" s="456">
        <f>SUM(AD85-AD28)-1000</f>
        <v>2530</v>
      </c>
      <c r="AE86" s="145"/>
      <c r="AF86" s="22"/>
    </row>
    <row r="87" spans="1:32" ht="15.75" customHeight="1" x14ac:dyDescent="0.45">
      <c r="A87" s="22"/>
      <c r="B87" s="22"/>
      <c r="C87" s="22"/>
      <c r="D87" s="164"/>
      <c r="E87" s="22"/>
      <c r="F87" s="165"/>
      <c r="G87" s="22"/>
      <c r="H87" s="22"/>
      <c r="I87" s="260"/>
      <c r="J87" s="167"/>
      <c r="K87" s="22"/>
      <c r="L87" s="220"/>
      <c r="M87" s="167"/>
      <c r="N87" s="167"/>
      <c r="O87" s="221"/>
      <c r="P87" s="222"/>
      <c r="Q87" s="223"/>
      <c r="R87" s="22"/>
      <c r="S87" s="224"/>
      <c r="T87" s="225"/>
      <c r="U87" s="174"/>
      <c r="V87" s="174"/>
      <c r="W87" s="190"/>
      <c r="X87" s="235"/>
      <c r="Y87" s="177"/>
      <c r="Z87" s="177"/>
      <c r="AA87" s="190"/>
      <c r="AB87" s="457"/>
      <c r="AC87" s="457"/>
      <c r="AD87" s="238"/>
      <c r="AE87" s="145"/>
      <c r="AF87" s="22"/>
    </row>
    <row r="88" spans="1:32" ht="15.75" customHeight="1" x14ac:dyDescent="0.45">
      <c r="A88" s="22" t="s">
        <v>326</v>
      </c>
      <c r="B88" s="22"/>
      <c r="C88" s="22"/>
      <c r="D88" s="458">
        <f>SUM(D41+D67)</f>
        <v>284697</v>
      </c>
      <c r="E88" s="22"/>
      <c r="F88" s="459">
        <f>SUM(F41+F67)</f>
        <v>275433</v>
      </c>
      <c r="G88" s="22"/>
      <c r="H88" s="22"/>
      <c r="I88" s="460">
        <f>SUM(I41+I67)</f>
        <v>212307</v>
      </c>
      <c r="J88" s="167"/>
      <c r="K88" s="22"/>
      <c r="L88" s="461">
        <f>SUM(L41+L67)</f>
        <v>271618</v>
      </c>
      <c r="M88" s="293"/>
      <c r="N88" s="293"/>
      <c r="O88" s="462"/>
      <c r="P88" s="461">
        <f t="shared" ref="P88:Q88" si="81">SUM(P41+P67)</f>
        <v>262885</v>
      </c>
      <c r="Q88" s="463">
        <f t="shared" si="81"/>
        <v>248703</v>
      </c>
      <c r="R88" s="53"/>
      <c r="S88" s="464">
        <f t="shared" ref="S88:T88" si="82">SUM(S41+S67)-S66</f>
        <v>275834.62</v>
      </c>
      <c r="T88" s="465">
        <f t="shared" si="82"/>
        <v>242642</v>
      </c>
      <c r="U88" s="174"/>
      <c r="V88" s="174"/>
      <c r="W88" s="190"/>
      <c r="X88" s="466">
        <f>SUM(X41+X67)-X66</f>
        <v>272967.59999999998</v>
      </c>
      <c r="Y88" s="177"/>
      <c r="Z88" s="177"/>
      <c r="AA88" s="190" t="s">
        <v>327</v>
      </c>
      <c r="AB88" s="467">
        <f>SUM(AB41+AB67)-AB66</f>
        <v>159851.35</v>
      </c>
      <c r="AC88" s="467"/>
      <c r="AD88" s="468">
        <f>SUM(AD41+AD67)-AD66</f>
        <v>281113.31</v>
      </c>
      <c r="AE88" s="145"/>
      <c r="AF88" s="22"/>
    </row>
    <row r="89" spans="1:32" ht="15.75" customHeight="1" x14ac:dyDescent="0.45">
      <c r="A89" s="22" t="s">
        <v>328</v>
      </c>
      <c r="B89" s="22"/>
      <c r="C89" s="22"/>
      <c r="D89" s="458">
        <f>SUM(D11+D16+D17)</f>
        <v>325119</v>
      </c>
      <c r="E89" s="22"/>
      <c r="F89" s="459">
        <f>SUM(F11+F16+F17)</f>
        <v>293273</v>
      </c>
      <c r="G89" s="22"/>
      <c r="H89" s="22"/>
      <c r="I89" s="460">
        <f>SUM(I11+I16+I17)</f>
        <v>250519</v>
      </c>
      <c r="J89" s="167"/>
      <c r="K89" s="22"/>
      <c r="L89" s="461">
        <f>SUM(L11+L16+L17)</f>
        <v>263575</v>
      </c>
      <c r="M89" s="293"/>
      <c r="N89" s="293"/>
      <c r="O89" s="462"/>
      <c r="P89" s="461">
        <f t="shared" ref="P89:Q89" si="83">SUM(P11+P16+P17)</f>
        <v>267575</v>
      </c>
      <c r="Q89" s="463">
        <f t="shared" si="83"/>
        <v>267506</v>
      </c>
      <c r="R89" s="53"/>
      <c r="S89" s="464">
        <f t="shared" ref="S89:T89" si="84">SUM(S11+S16+S17)</f>
        <v>272171</v>
      </c>
      <c r="T89" s="465">
        <f t="shared" si="84"/>
        <v>259968</v>
      </c>
      <c r="U89" s="174"/>
      <c r="V89" s="174"/>
      <c r="W89" s="190"/>
      <c r="X89" s="466">
        <f>SUM(X11+X16+X17)</f>
        <v>277020</v>
      </c>
      <c r="Y89" s="177"/>
      <c r="Z89" s="177"/>
      <c r="AA89" s="190" t="s">
        <v>329</v>
      </c>
      <c r="AB89" s="467">
        <f>SUM(AB11+AB16+AB17)</f>
        <v>245017</v>
      </c>
      <c r="AC89" s="467"/>
      <c r="AD89" s="468">
        <f>SUM(AD11+AD16+AD17)</f>
        <v>280500</v>
      </c>
      <c r="AE89" s="145"/>
      <c r="AF89" s="22"/>
    </row>
    <row r="90" spans="1:32" ht="15.75" customHeight="1" x14ac:dyDescent="0.45">
      <c r="A90" s="22"/>
      <c r="B90" s="22"/>
      <c r="C90" s="22"/>
      <c r="D90" s="469">
        <f>SUM(D89-D88)</f>
        <v>40422</v>
      </c>
      <c r="E90" s="22"/>
      <c r="F90" s="470">
        <f>SUM(F89-F88)</f>
        <v>17840</v>
      </c>
      <c r="G90" s="22"/>
      <c r="H90" s="22"/>
      <c r="I90" s="471">
        <f>SUM(I89-I88)</f>
        <v>38212</v>
      </c>
      <c r="J90" s="167"/>
      <c r="K90" s="22"/>
      <c r="L90" s="472">
        <f>SUM(L89-L88)</f>
        <v>-8043</v>
      </c>
      <c r="M90" s="167"/>
      <c r="N90" s="167"/>
      <c r="O90" s="221"/>
      <c r="P90" s="472">
        <f t="shared" ref="P90:Q90" si="85">SUM(P89-P88)</f>
        <v>4690</v>
      </c>
      <c r="Q90" s="473">
        <f t="shared" si="85"/>
        <v>18803</v>
      </c>
      <c r="R90" s="22"/>
      <c r="S90" s="474">
        <f t="shared" ref="S90:T90" si="86">SUM(S89-S88)</f>
        <v>-3663.6199999999953</v>
      </c>
      <c r="T90" s="475">
        <f t="shared" si="86"/>
        <v>17326</v>
      </c>
      <c r="U90" s="174"/>
      <c r="V90" s="174"/>
      <c r="W90" s="190"/>
      <c r="X90" s="476">
        <f>SUM(X89-X88)</f>
        <v>4052.4000000000233</v>
      </c>
      <c r="Y90" s="177"/>
      <c r="Z90" s="177"/>
      <c r="AA90" s="190"/>
      <c r="AB90" s="477">
        <f>SUM(AB89-AB88)</f>
        <v>85165.65</v>
      </c>
      <c r="AC90" s="477"/>
      <c r="AD90" s="478">
        <f>SUM(AD89-AD88)</f>
        <v>-613.30999999999767</v>
      </c>
      <c r="AE90" s="145"/>
      <c r="AF90" s="22"/>
    </row>
    <row r="91" spans="1:32" ht="15.75" customHeight="1" x14ac:dyDescent="0.45">
      <c r="A91" s="22"/>
      <c r="B91" s="22"/>
      <c r="C91" s="22"/>
      <c r="D91" s="164"/>
      <c r="E91" s="22"/>
      <c r="F91" s="165"/>
      <c r="G91" s="22"/>
      <c r="H91" s="22"/>
      <c r="I91" s="479"/>
      <c r="J91" s="167"/>
      <c r="K91" s="22"/>
      <c r="L91" s="220"/>
      <c r="M91" s="167"/>
      <c r="N91" s="167"/>
      <c r="O91" s="221"/>
      <c r="P91" s="222"/>
      <c r="Q91" s="223"/>
      <c r="R91" s="22"/>
      <c r="S91" s="224"/>
      <c r="T91" s="225"/>
      <c r="U91" s="174"/>
      <c r="V91" s="174"/>
      <c r="W91" s="190"/>
      <c r="X91" s="213"/>
      <c r="Y91" s="177"/>
      <c r="Z91" s="177"/>
      <c r="AA91" s="190"/>
      <c r="AB91" s="145"/>
      <c r="AC91" s="145"/>
      <c r="AD91" s="214"/>
      <c r="AE91" s="145"/>
      <c r="AF91" s="22"/>
    </row>
    <row r="92" spans="1:32" ht="15.75" customHeight="1" x14ac:dyDescent="0.45">
      <c r="A92" s="22"/>
      <c r="B92" s="22"/>
      <c r="C92" s="22"/>
      <c r="D92" s="164"/>
      <c r="E92" s="22"/>
      <c r="F92" s="165"/>
      <c r="G92" s="22"/>
      <c r="H92" s="22"/>
      <c r="I92" s="479"/>
      <c r="J92" s="167"/>
      <c r="K92" s="22"/>
      <c r="L92" s="220"/>
      <c r="M92" s="167"/>
      <c r="N92" s="167"/>
      <c r="O92" s="221"/>
      <c r="P92" s="222"/>
      <c r="Q92" s="223"/>
      <c r="R92" s="22"/>
      <c r="S92" s="224"/>
      <c r="T92" s="225"/>
      <c r="U92" s="174"/>
      <c r="V92" s="174"/>
      <c r="W92" s="190"/>
      <c r="X92" s="213"/>
      <c r="Y92" s="177"/>
      <c r="Z92" s="177"/>
      <c r="AA92" s="190"/>
      <c r="AB92" s="145"/>
      <c r="AC92" s="145"/>
      <c r="AD92" s="214"/>
      <c r="AE92" s="145"/>
      <c r="AF92" s="22"/>
    </row>
    <row r="93" spans="1:32" ht="15.75" customHeight="1" x14ac:dyDescent="0.45">
      <c r="A93" s="22"/>
      <c r="B93" s="22"/>
      <c r="C93" s="22"/>
      <c r="D93" s="164"/>
      <c r="E93" s="22"/>
      <c r="F93" s="165"/>
      <c r="G93" s="22"/>
      <c r="H93" s="22"/>
      <c r="I93" s="479"/>
      <c r="J93" s="167"/>
      <c r="K93" s="22"/>
      <c r="L93" s="220"/>
      <c r="M93" s="167"/>
      <c r="N93" s="167"/>
      <c r="O93" s="221"/>
      <c r="P93" s="222"/>
      <c r="Q93" s="223"/>
      <c r="R93" s="22"/>
      <c r="S93" s="224"/>
      <c r="T93" s="225"/>
      <c r="U93" s="174"/>
      <c r="V93" s="174"/>
      <c r="W93" s="190"/>
      <c r="X93" s="213"/>
      <c r="Y93" s="177"/>
      <c r="Z93" s="177"/>
      <c r="AA93" s="190"/>
      <c r="AB93" s="145"/>
      <c r="AC93" s="145"/>
      <c r="AD93" s="214"/>
      <c r="AE93" s="145"/>
      <c r="AF93" s="22"/>
    </row>
    <row r="94" spans="1:32" ht="15.75" customHeight="1" x14ac:dyDescent="0.45">
      <c r="A94" s="22"/>
      <c r="B94" s="22"/>
      <c r="C94" s="22"/>
      <c r="D94" s="164"/>
      <c r="E94" s="22"/>
      <c r="F94" s="165"/>
      <c r="G94" s="22"/>
      <c r="H94" s="22"/>
      <c r="I94" s="479"/>
      <c r="J94" s="167"/>
      <c r="K94" s="22"/>
      <c r="L94" s="220"/>
      <c r="M94" s="167"/>
      <c r="N94" s="167"/>
      <c r="O94" s="221"/>
      <c r="P94" s="222"/>
      <c r="Q94" s="223"/>
      <c r="R94" s="22"/>
      <c r="S94" s="224"/>
      <c r="T94" s="225"/>
      <c r="U94" s="174"/>
      <c r="V94" s="174"/>
      <c r="W94" s="190"/>
      <c r="X94" s="213"/>
      <c r="Y94" s="177"/>
      <c r="Z94" s="177"/>
      <c r="AA94" s="190"/>
      <c r="AB94" s="145"/>
      <c r="AC94" s="145"/>
      <c r="AD94" s="214"/>
      <c r="AE94" s="145"/>
      <c r="AF94" s="22"/>
    </row>
    <row r="95" spans="1:32" ht="15.75" customHeight="1" x14ac:dyDescent="0.45">
      <c r="A95" s="22"/>
      <c r="B95" s="22"/>
      <c r="C95" s="22"/>
      <c r="D95" s="164"/>
      <c r="E95" s="22"/>
      <c r="F95" s="165"/>
      <c r="G95" s="22"/>
      <c r="H95" s="22"/>
      <c r="I95" s="479"/>
      <c r="J95" s="167"/>
      <c r="K95" s="22"/>
      <c r="L95" s="220"/>
      <c r="M95" s="167"/>
      <c r="N95" s="167"/>
      <c r="O95" s="221"/>
      <c r="P95" s="222"/>
      <c r="Q95" s="223"/>
      <c r="R95" s="22"/>
      <c r="S95" s="224"/>
      <c r="T95" s="225"/>
      <c r="U95" s="174"/>
      <c r="V95" s="174"/>
      <c r="W95" s="190"/>
      <c r="X95" s="213"/>
      <c r="Y95" s="177"/>
      <c r="Z95" s="177"/>
      <c r="AA95" s="190"/>
      <c r="AB95" s="145"/>
      <c r="AC95" s="145"/>
      <c r="AD95" s="214"/>
      <c r="AE95" s="145"/>
      <c r="AF95" s="22"/>
    </row>
    <row r="96" spans="1:32" ht="15.75" customHeight="1" x14ac:dyDescent="0.45">
      <c r="A96" s="22"/>
      <c r="B96" s="22"/>
      <c r="C96" s="22"/>
      <c r="D96" s="164"/>
      <c r="E96" s="22"/>
      <c r="F96" s="165"/>
      <c r="G96" s="22"/>
      <c r="H96" s="22"/>
      <c r="I96" s="479"/>
      <c r="J96" s="167"/>
      <c r="K96" s="22"/>
      <c r="L96" s="220"/>
      <c r="M96" s="167"/>
      <c r="N96" s="167"/>
      <c r="O96" s="221"/>
      <c r="P96" s="222"/>
      <c r="Q96" s="223"/>
      <c r="R96" s="22"/>
      <c r="S96" s="224"/>
      <c r="T96" s="225"/>
      <c r="U96" s="174"/>
      <c r="V96" s="174"/>
      <c r="W96" s="190"/>
      <c r="X96" s="213"/>
      <c r="Y96" s="177"/>
      <c r="Z96" s="177"/>
      <c r="AA96" s="190"/>
      <c r="AB96" s="145"/>
      <c r="AC96" s="145"/>
      <c r="AD96" s="214"/>
      <c r="AE96" s="145"/>
      <c r="AF96" s="22"/>
    </row>
    <row r="97" spans="1:32" ht="15.75" customHeight="1" x14ac:dyDescent="0.45">
      <c r="A97" s="22"/>
      <c r="B97" s="22"/>
      <c r="C97" s="22"/>
      <c r="D97" s="164"/>
      <c r="E97" s="22"/>
      <c r="F97" s="165"/>
      <c r="G97" s="22"/>
      <c r="H97" s="22"/>
      <c r="I97" s="479"/>
      <c r="J97" s="167"/>
      <c r="K97" s="22"/>
      <c r="L97" s="220"/>
      <c r="M97" s="167"/>
      <c r="N97" s="167"/>
      <c r="O97" s="221"/>
      <c r="P97" s="222"/>
      <c r="Q97" s="223"/>
      <c r="R97" s="22"/>
      <c r="S97" s="224"/>
      <c r="T97" s="225"/>
      <c r="U97" s="174"/>
      <c r="V97" s="174"/>
      <c r="W97" s="190"/>
      <c r="X97" s="213"/>
      <c r="Y97" s="177"/>
      <c r="Z97" s="177"/>
      <c r="AA97" s="190"/>
      <c r="AB97" s="145"/>
      <c r="AC97" s="145"/>
      <c r="AD97" s="214"/>
      <c r="AE97" s="145"/>
      <c r="AF97" s="22"/>
    </row>
    <row r="98" spans="1:32" ht="15.75" customHeight="1" x14ac:dyDescent="0.45">
      <c r="A98" s="22"/>
      <c r="B98" s="22"/>
      <c r="C98" s="22"/>
      <c r="D98" s="164"/>
      <c r="E98" s="22"/>
      <c r="F98" s="165"/>
      <c r="G98" s="22"/>
      <c r="H98" s="22"/>
      <c r="I98" s="479"/>
      <c r="J98" s="167"/>
      <c r="K98" s="22"/>
      <c r="L98" s="220"/>
      <c r="M98" s="167"/>
      <c r="N98" s="167"/>
      <c r="O98" s="221"/>
      <c r="P98" s="222"/>
      <c r="Q98" s="223"/>
      <c r="R98" s="22"/>
      <c r="S98" s="224"/>
      <c r="T98" s="225"/>
      <c r="U98" s="174"/>
      <c r="V98" s="174"/>
      <c r="W98" s="190"/>
      <c r="X98" s="213"/>
      <c r="Y98" s="177"/>
      <c r="Z98" s="177"/>
      <c r="AA98" s="190"/>
      <c r="AB98" s="145"/>
      <c r="AC98" s="145"/>
      <c r="AD98" s="214"/>
      <c r="AE98" s="145"/>
      <c r="AF98" s="22"/>
    </row>
    <row r="99" spans="1:32" ht="15.75" customHeight="1" x14ac:dyDescent="0.45">
      <c r="A99" s="22"/>
      <c r="B99" s="22"/>
      <c r="C99" s="22"/>
      <c r="D99" s="164"/>
      <c r="E99" s="22"/>
      <c r="F99" s="165"/>
      <c r="G99" s="22"/>
      <c r="H99" s="22"/>
      <c r="I99" s="479"/>
      <c r="J99" s="167"/>
      <c r="K99" s="22"/>
      <c r="L99" s="220"/>
      <c r="M99" s="167"/>
      <c r="N99" s="167"/>
      <c r="O99" s="221"/>
      <c r="P99" s="222"/>
      <c r="Q99" s="223"/>
      <c r="R99" s="22"/>
      <c r="S99" s="224"/>
      <c r="T99" s="225"/>
      <c r="U99" s="174"/>
      <c r="V99" s="174"/>
      <c r="W99" s="190"/>
      <c r="X99" s="213"/>
      <c r="Y99" s="177"/>
      <c r="Z99" s="177"/>
      <c r="AA99" s="190"/>
      <c r="AB99" s="145"/>
      <c r="AC99" s="145"/>
      <c r="AD99" s="214"/>
      <c r="AE99" s="145"/>
      <c r="AF99" s="22"/>
    </row>
    <row r="100" spans="1:32" ht="15.75" customHeight="1" x14ac:dyDescent="0.45">
      <c r="A100" s="22"/>
      <c r="B100" s="22"/>
      <c r="C100" s="22"/>
      <c r="D100" s="164"/>
      <c r="E100" s="22"/>
      <c r="F100" s="165"/>
      <c r="G100" s="22"/>
      <c r="H100" s="22"/>
      <c r="I100" s="479"/>
      <c r="J100" s="167"/>
      <c r="K100" s="22"/>
      <c r="L100" s="220"/>
      <c r="M100" s="167"/>
      <c r="N100" s="167"/>
      <c r="O100" s="221"/>
      <c r="P100" s="222"/>
      <c r="Q100" s="223"/>
      <c r="R100" s="22"/>
      <c r="S100" s="224"/>
      <c r="T100" s="225"/>
      <c r="U100" s="174"/>
      <c r="V100" s="174"/>
      <c r="W100" s="190"/>
      <c r="X100" s="213"/>
      <c r="Y100" s="177"/>
      <c r="Z100" s="177"/>
      <c r="AA100" s="190"/>
      <c r="AB100" s="145"/>
      <c r="AC100" s="145"/>
      <c r="AD100" s="214"/>
      <c r="AE100" s="145"/>
      <c r="AF100" s="22"/>
    </row>
    <row r="101" spans="1:32" ht="15.75" customHeight="1" x14ac:dyDescent="0.45">
      <c r="A101" s="22"/>
      <c r="B101" s="22"/>
      <c r="C101" s="22"/>
      <c r="D101" s="164"/>
      <c r="E101" s="22"/>
      <c r="F101" s="165"/>
      <c r="G101" s="22"/>
      <c r="H101" s="22"/>
      <c r="I101" s="479"/>
      <c r="J101" s="167"/>
      <c r="K101" s="22"/>
      <c r="L101" s="220"/>
      <c r="M101" s="167"/>
      <c r="N101" s="167"/>
      <c r="O101" s="221"/>
      <c r="P101" s="222"/>
      <c r="Q101" s="223"/>
      <c r="R101" s="22"/>
      <c r="S101" s="224"/>
      <c r="T101" s="225"/>
      <c r="U101" s="174"/>
      <c r="V101" s="174"/>
      <c r="W101" s="190"/>
      <c r="X101" s="213"/>
      <c r="Y101" s="177"/>
      <c r="Z101" s="177"/>
      <c r="AA101" s="190"/>
      <c r="AB101" s="145"/>
      <c r="AC101" s="145"/>
      <c r="AD101" s="214"/>
      <c r="AE101" s="145"/>
      <c r="AF101" s="22"/>
    </row>
    <row r="102" spans="1:32" ht="15.75" customHeight="1" x14ac:dyDescent="0.45">
      <c r="A102" s="22"/>
      <c r="B102" s="22"/>
      <c r="C102" s="22"/>
      <c r="D102" s="164"/>
      <c r="E102" s="22"/>
      <c r="F102" s="165"/>
      <c r="G102" s="22"/>
      <c r="H102" s="22"/>
      <c r="I102" s="479"/>
      <c r="J102" s="167"/>
      <c r="K102" s="22"/>
      <c r="L102" s="220"/>
      <c r="M102" s="167"/>
      <c r="N102" s="167"/>
      <c r="O102" s="221"/>
      <c r="P102" s="222"/>
      <c r="Q102" s="223"/>
      <c r="R102" s="22"/>
      <c r="S102" s="224"/>
      <c r="T102" s="225"/>
      <c r="U102" s="174"/>
      <c r="V102" s="174"/>
      <c r="W102" s="190"/>
      <c r="X102" s="213"/>
      <c r="Y102" s="177"/>
      <c r="Z102" s="177"/>
      <c r="AA102" s="190"/>
      <c r="AB102" s="145"/>
      <c r="AC102" s="145"/>
      <c r="AD102" s="214"/>
      <c r="AE102" s="145"/>
      <c r="AF102" s="22"/>
    </row>
    <row r="103" spans="1:32" ht="15.75" customHeight="1" x14ac:dyDescent="0.45">
      <c r="A103" s="22"/>
      <c r="B103" s="22"/>
      <c r="C103" s="22"/>
      <c r="D103" s="164"/>
      <c r="E103" s="22"/>
      <c r="F103" s="165"/>
      <c r="G103" s="22"/>
      <c r="H103" s="22"/>
      <c r="I103" s="479"/>
      <c r="J103" s="167"/>
      <c r="K103" s="22"/>
      <c r="L103" s="220"/>
      <c r="M103" s="167"/>
      <c r="N103" s="167"/>
      <c r="O103" s="221"/>
      <c r="P103" s="222"/>
      <c r="Q103" s="223"/>
      <c r="R103" s="22"/>
      <c r="S103" s="224"/>
      <c r="T103" s="225"/>
      <c r="U103" s="174"/>
      <c r="V103" s="174"/>
      <c r="W103" s="190"/>
      <c r="X103" s="213"/>
      <c r="Y103" s="177"/>
      <c r="Z103" s="177"/>
      <c r="AA103" s="190"/>
      <c r="AB103" s="145"/>
      <c r="AC103" s="145"/>
      <c r="AD103" s="214"/>
      <c r="AE103" s="145"/>
      <c r="AF103" s="22"/>
    </row>
    <row r="104" spans="1:32" ht="15.75" customHeight="1" x14ac:dyDescent="0.45">
      <c r="A104" s="22"/>
      <c r="B104" s="22"/>
      <c r="C104" s="22"/>
      <c r="D104" s="164"/>
      <c r="E104" s="22"/>
      <c r="F104" s="165"/>
      <c r="G104" s="22"/>
      <c r="H104" s="22"/>
      <c r="I104" s="479"/>
      <c r="J104" s="167"/>
      <c r="K104" s="22"/>
      <c r="L104" s="220"/>
      <c r="M104" s="167"/>
      <c r="N104" s="167"/>
      <c r="O104" s="221"/>
      <c r="P104" s="222"/>
      <c r="Q104" s="223"/>
      <c r="R104" s="22"/>
      <c r="S104" s="224"/>
      <c r="T104" s="225"/>
      <c r="U104" s="174"/>
      <c r="V104" s="174"/>
      <c r="W104" s="190"/>
      <c r="X104" s="213"/>
      <c r="Y104" s="177"/>
      <c r="Z104" s="177"/>
      <c r="AA104" s="190"/>
      <c r="AB104" s="145"/>
      <c r="AC104" s="145"/>
      <c r="AD104" s="214"/>
      <c r="AE104" s="145"/>
      <c r="AF104" s="22"/>
    </row>
    <row r="105" spans="1:32" ht="15.75" customHeight="1" x14ac:dyDescent="0.45">
      <c r="A105" s="22"/>
      <c r="B105" s="22"/>
      <c r="C105" s="22"/>
      <c r="D105" s="164"/>
      <c r="E105" s="22"/>
      <c r="F105" s="165"/>
      <c r="G105" s="22"/>
      <c r="H105" s="22"/>
      <c r="I105" s="479"/>
      <c r="J105" s="167"/>
      <c r="K105" s="22"/>
      <c r="L105" s="220"/>
      <c r="M105" s="167"/>
      <c r="N105" s="167"/>
      <c r="O105" s="221"/>
      <c r="P105" s="222"/>
      <c r="Q105" s="223"/>
      <c r="R105" s="22"/>
      <c r="S105" s="224"/>
      <c r="T105" s="225"/>
      <c r="U105" s="174"/>
      <c r="V105" s="174"/>
      <c r="W105" s="190"/>
      <c r="X105" s="213"/>
      <c r="Y105" s="177"/>
      <c r="Z105" s="177"/>
      <c r="AA105" s="190"/>
      <c r="AB105" s="145"/>
      <c r="AC105" s="145"/>
      <c r="AD105" s="214"/>
      <c r="AE105" s="145"/>
      <c r="AF105" s="22"/>
    </row>
    <row r="106" spans="1:32" ht="15.75" customHeight="1" x14ac:dyDescent="0.45">
      <c r="A106" s="22"/>
      <c r="B106" s="22"/>
      <c r="C106" s="22"/>
      <c r="D106" s="164"/>
      <c r="E106" s="22"/>
      <c r="F106" s="165"/>
      <c r="G106" s="22"/>
      <c r="H106" s="22"/>
      <c r="I106" s="479"/>
      <c r="J106" s="167"/>
      <c r="K106" s="22"/>
      <c r="L106" s="220"/>
      <c r="M106" s="167"/>
      <c r="N106" s="167"/>
      <c r="O106" s="221"/>
      <c r="P106" s="222"/>
      <c r="Q106" s="223"/>
      <c r="R106" s="22"/>
      <c r="S106" s="224"/>
      <c r="T106" s="225"/>
      <c r="U106" s="174"/>
      <c r="V106" s="174"/>
      <c r="W106" s="190"/>
      <c r="X106" s="213"/>
      <c r="Y106" s="177"/>
      <c r="Z106" s="177"/>
      <c r="AA106" s="190"/>
      <c r="AB106" s="145"/>
      <c r="AC106" s="145"/>
      <c r="AD106" s="214"/>
      <c r="AE106" s="145"/>
      <c r="AF106" s="22"/>
    </row>
    <row r="107" spans="1:32" ht="15.75" customHeight="1" x14ac:dyDescent="0.45">
      <c r="A107" s="22"/>
      <c r="B107" s="22"/>
      <c r="C107" s="22"/>
      <c r="D107" s="164"/>
      <c r="E107" s="22"/>
      <c r="F107" s="165"/>
      <c r="G107" s="22"/>
      <c r="H107" s="22"/>
      <c r="I107" s="479"/>
      <c r="J107" s="167"/>
      <c r="K107" s="22"/>
      <c r="L107" s="220"/>
      <c r="M107" s="167"/>
      <c r="N107" s="167"/>
      <c r="O107" s="221"/>
      <c r="P107" s="222"/>
      <c r="Q107" s="223"/>
      <c r="R107" s="22"/>
      <c r="S107" s="224"/>
      <c r="T107" s="225"/>
      <c r="U107" s="174"/>
      <c r="V107" s="174"/>
      <c r="W107" s="190"/>
      <c r="X107" s="213"/>
      <c r="Y107" s="177"/>
      <c r="Z107" s="177"/>
      <c r="AA107" s="190"/>
      <c r="AB107" s="145"/>
      <c r="AC107" s="145"/>
      <c r="AD107" s="214"/>
      <c r="AE107" s="145"/>
      <c r="AF107" s="22"/>
    </row>
    <row r="108" spans="1:32" ht="15.75" customHeight="1" x14ac:dyDescent="0.45">
      <c r="A108" s="22"/>
      <c r="B108" s="22"/>
      <c r="C108" s="22"/>
      <c r="D108" s="164"/>
      <c r="E108" s="22"/>
      <c r="F108" s="165"/>
      <c r="G108" s="22"/>
      <c r="H108" s="22"/>
      <c r="I108" s="479"/>
      <c r="J108" s="167"/>
      <c r="K108" s="22"/>
      <c r="L108" s="220"/>
      <c r="M108" s="167"/>
      <c r="N108" s="167"/>
      <c r="O108" s="221"/>
      <c r="P108" s="222"/>
      <c r="Q108" s="223"/>
      <c r="R108" s="22"/>
      <c r="S108" s="224"/>
      <c r="T108" s="225"/>
      <c r="U108" s="174"/>
      <c r="V108" s="174"/>
      <c r="W108" s="190"/>
      <c r="X108" s="213"/>
      <c r="Y108" s="177"/>
      <c r="Z108" s="177"/>
      <c r="AA108" s="190"/>
      <c r="AB108" s="145"/>
      <c r="AC108" s="145"/>
      <c r="AD108" s="214"/>
      <c r="AE108" s="145"/>
      <c r="AF108" s="22"/>
    </row>
    <row r="109" spans="1:32" ht="15.75" customHeight="1" x14ac:dyDescent="0.45">
      <c r="A109" s="22"/>
      <c r="B109" s="22"/>
      <c r="C109" s="22"/>
      <c r="D109" s="164"/>
      <c r="E109" s="22"/>
      <c r="F109" s="165"/>
      <c r="G109" s="22"/>
      <c r="H109" s="22"/>
      <c r="I109" s="479"/>
      <c r="J109" s="167"/>
      <c r="K109" s="22"/>
      <c r="L109" s="220"/>
      <c r="M109" s="167"/>
      <c r="N109" s="167"/>
      <c r="O109" s="221"/>
      <c r="P109" s="222"/>
      <c r="Q109" s="223"/>
      <c r="R109" s="22"/>
      <c r="S109" s="224"/>
      <c r="T109" s="225"/>
      <c r="U109" s="174"/>
      <c r="V109" s="174"/>
      <c r="W109" s="190"/>
      <c r="X109" s="213"/>
      <c r="Y109" s="177"/>
      <c r="Z109" s="177"/>
      <c r="AA109" s="190"/>
      <c r="AB109" s="145"/>
      <c r="AC109" s="145"/>
      <c r="AD109" s="214"/>
      <c r="AE109" s="145"/>
      <c r="AF109" s="22"/>
    </row>
    <row r="110" spans="1:32" ht="15.75" customHeight="1" x14ac:dyDescent="0.45">
      <c r="A110" s="22"/>
      <c r="B110" s="22"/>
      <c r="C110" s="22"/>
      <c r="D110" s="164"/>
      <c r="E110" s="22"/>
      <c r="F110" s="165"/>
      <c r="G110" s="22"/>
      <c r="H110" s="22"/>
      <c r="I110" s="479"/>
      <c r="J110" s="167"/>
      <c r="K110" s="22"/>
      <c r="L110" s="220"/>
      <c r="M110" s="167"/>
      <c r="N110" s="167"/>
      <c r="O110" s="221"/>
      <c r="P110" s="222"/>
      <c r="Q110" s="223"/>
      <c r="R110" s="22"/>
      <c r="S110" s="224"/>
      <c r="T110" s="225"/>
      <c r="U110" s="174"/>
      <c r="V110" s="174"/>
      <c r="W110" s="190"/>
      <c r="X110" s="213"/>
      <c r="Y110" s="177"/>
      <c r="Z110" s="177"/>
      <c r="AA110" s="190"/>
      <c r="AB110" s="145"/>
      <c r="AC110" s="145"/>
      <c r="AD110" s="214"/>
      <c r="AE110" s="145"/>
      <c r="AF110" s="22"/>
    </row>
    <row r="111" spans="1:32" ht="15.75" customHeight="1" x14ac:dyDescent="0.45">
      <c r="A111" s="22"/>
      <c r="B111" s="22"/>
      <c r="C111" s="22"/>
      <c r="D111" s="164"/>
      <c r="E111" s="22"/>
      <c r="F111" s="165"/>
      <c r="G111" s="22"/>
      <c r="H111" s="22"/>
      <c r="I111" s="479"/>
      <c r="J111" s="167"/>
      <c r="K111" s="22"/>
      <c r="L111" s="220"/>
      <c r="M111" s="167"/>
      <c r="N111" s="167"/>
      <c r="O111" s="221"/>
      <c r="P111" s="222"/>
      <c r="Q111" s="223"/>
      <c r="R111" s="22"/>
      <c r="S111" s="224"/>
      <c r="T111" s="225"/>
      <c r="U111" s="174"/>
      <c r="V111" s="174"/>
      <c r="W111" s="190"/>
      <c r="X111" s="213"/>
      <c r="Y111" s="177"/>
      <c r="Z111" s="177"/>
      <c r="AA111" s="190"/>
      <c r="AB111" s="145"/>
      <c r="AC111" s="145"/>
      <c r="AD111" s="214"/>
      <c r="AE111" s="145"/>
      <c r="AF111" s="22"/>
    </row>
    <row r="112" spans="1:32" ht="15.75" customHeight="1" x14ac:dyDescent="0.45">
      <c r="A112" s="22"/>
      <c r="B112" s="22"/>
      <c r="C112" s="22"/>
      <c r="D112" s="164"/>
      <c r="E112" s="22"/>
      <c r="F112" s="165"/>
      <c r="G112" s="22"/>
      <c r="H112" s="22"/>
      <c r="I112" s="479"/>
      <c r="J112" s="167"/>
      <c r="K112" s="22"/>
      <c r="L112" s="220"/>
      <c r="M112" s="167"/>
      <c r="N112" s="167"/>
      <c r="O112" s="221"/>
      <c r="P112" s="222"/>
      <c r="Q112" s="223"/>
      <c r="R112" s="22"/>
      <c r="S112" s="224"/>
      <c r="T112" s="225"/>
      <c r="U112" s="174"/>
      <c r="V112" s="174"/>
      <c r="W112" s="190"/>
      <c r="X112" s="213"/>
      <c r="Y112" s="177"/>
      <c r="Z112" s="177"/>
      <c r="AA112" s="190"/>
      <c r="AB112" s="145"/>
      <c r="AC112" s="145"/>
      <c r="AD112" s="214"/>
      <c r="AE112" s="145"/>
      <c r="AF112" s="22"/>
    </row>
    <row r="113" spans="1:32" ht="15.75" customHeight="1" x14ac:dyDescent="0.45">
      <c r="A113" s="22"/>
      <c r="B113" s="22"/>
      <c r="C113" s="22"/>
      <c r="D113" s="164"/>
      <c r="E113" s="22"/>
      <c r="F113" s="165"/>
      <c r="G113" s="22"/>
      <c r="H113" s="22"/>
      <c r="I113" s="479"/>
      <c r="J113" s="167"/>
      <c r="K113" s="22"/>
      <c r="L113" s="220"/>
      <c r="M113" s="167"/>
      <c r="N113" s="167"/>
      <c r="O113" s="221"/>
      <c r="P113" s="222"/>
      <c r="Q113" s="223"/>
      <c r="R113" s="22"/>
      <c r="S113" s="224"/>
      <c r="T113" s="225"/>
      <c r="U113" s="174"/>
      <c r="V113" s="174"/>
      <c r="W113" s="190"/>
      <c r="X113" s="213"/>
      <c r="Y113" s="177"/>
      <c r="Z113" s="177"/>
      <c r="AA113" s="190"/>
      <c r="AB113" s="145"/>
      <c r="AC113" s="145"/>
      <c r="AD113" s="214"/>
      <c r="AE113" s="145"/>
      <c r="AF113" s="22"/>
    </row>
    <row r="114" spans="1:32" ht="15.75" customHeight="1" x14ac:dyDescent="0.45">
      <c r="A114" s="22"/>
      <c r="B114" s="22"/>
      <c r="C114" s="22"/>
      <c r="D114" s="164"/>
      <c r="E114" s="22"/>
      <c r="F114" s="165"/>
      <c r="G114" s="22"/>
      <c r="H114" s="22"/>
      <c r="I114" s="479"/>
      <c r="J114" s="167"/>
      <c r="K114" s="22"/>
      <c r="L114" s="220"/>
      <c r="M114" s="167"/>
      <c r="N114" s="167"/>
      <c r="O114" s="221"/>
      <c r="P114" s="222"/>
      <c r="Q114" s="223"/>
      <c r="R114" s="22"/>
      <c r="S114" s="224"/>
      <c r="T114" s="225"/>
      <c r="U114" s="174"/>
      <c r="V114" s="174"/>
      <c r="W114" s="190"/>
      <c r="X114" s="213"/>
      <c r="Y114" s="177"/>
      <c r="Z114" s="177"/>
      <c r="AA114" s="190"/>
      <c r="AB114" s="145"/>
      <c r="AC114" s="145"/>
      <c r="AD114" s="214"/>
      <c r="AE114" s="145"/>
      <c r="AF114" s="22"/>
    </row>
    <row r="115" spans="1:32" ht="15.75" customHeight="1" x14ac:dyDescent="0.45">
      <c r="A115" s="22"/>
      <c r="B115" s="22"/>
      <c r="C115" s="22"/>
      <c r="D115" s="164"/>
      <c r="E115" s="22"/>
      <c r="F115" s="165"/>
      <c r="G115" s="22"/>
      <c r="H115" s="22"/>
      <c r="I115" s="479"/>
      <c r="J115" s="167"/>
      <c r="K115" s="22"/>
      <c r="L115" s="220"/>
      <c r="M115" s="167"/>
      <c r="N115" s="167"/>
      <c r="O115" s="221"/>
      <c r="P115" s="222"/>
      <c r="Q115" s="223"/>
      <c r="R115" s="22"/>
      <c r="S115" s="224"/>
      <c r="T115" s="225"/>
      <c r="U115" s="174"/>
      <c r="V115" s="174"/>
      <c r="W115" s="190"/>
      <c r="X115" s="213"/>
      <c r="Y115" s="177"/>
      <c r="Z115" s="177"/>
      <c r="AA115" s="190"/>
      <c r="AB115" s="145"/>
      <c r="AC115" s="145"/>
      <c r="AD115" s="214"/>
      <c r="AE115" s="145"/>
      <c r="AF115" s="22"/>
    </row>
    <row r="116" spans="1:32" ht="15.75" customHeight="1" x14ac:dyDescent="0.45">
      <c r="A116" s="22"/>
      <c r="B116" s="22"/>
      <c r="C116" s="22"/>
      <c r="D116" s="164"/>
      <c r="E116" s="22"/>
      <c r="F116" s="165"/>
      <c r="G116" s="22"/>
      <c r="H116" s="22"/>
      <c r="I116" s="479"/>
      <c r="J116" s="167"/>
      <c r="K116" s="22"/>
      <c r="L116" s="220"/>
      <c r="M116" s="167"/>
      <c r="N116" s="167"/>
      <c r="O116" s="221"/>
      <c r="P116" s="222"/>
      <c r="Q116" s="223"/>
      <c r="R116" s="22"/>
      <c r="S116" s="224"/>
      <c r="T116" s="225"/>
      <c r="U116" s="174"/>
      <c r="V116" s="174"/>
      <c r="W116" s="190"/>
      <c r="X116" s="213"/>
      <c r="Y116" s="177"/>
      <c r="Z116" s="177"/>
      <c r="AA116" s="190"/>
      <c r="AB116" s="145"/>
      <c r="AC116" s="145"/>
      <c r="AD116" s="214"/>
      <c r="AE116" s="145"/>
      <c r="AF116" s="22"/>
    </row>
    <row r="117" spans="1:32" ht="15.75" customHeight="1" x14ac:dyDescent="0.45">
      <c r="A117" s="22"/>
      <c r="B117" s="22"/>
      <c r="C117" s="22"/>
      <c r="D117" s="164"/>
      <c r="E117" s="22"/>
      <c r="F117" s="165"/>
      <c r="G117" s="22"/>
      <c r="H117" s="22"/>
      <c r="I117" s="479"/>
      <c r="J117" s="167"/>
      <c r="K117" s="22"/>
      <c r="L117" s="220"/>
      <c r="M117" s="167"/>
      <c r="N117" s="167"/>
      <c r="O117" s="221"/>
      <c r="P117" s="222"/>
      <c r="Q117" s="223"/>
      <c r="R117" s="22"/>
      <c r="S117" s="224"/>
      <c r="T117" s="225"/>
      <c r="U117" s="174"/>
      <c r="V117" s="174"/>
      <c r="W117" s="190"/>
      <c r="X117" s="213"/>
      <c r="Y117" s="177"/>
      <c r="Z117" s="177"/>
      <c r="AA117" s="190"/>
      <c r="AB117" s="145"/>
      <c r="AC117" s="145"/>
      <c r="AD117" s="214"/>
      <c r="AE117" s="145"/>
      <c r="AF117" s="22"/>
    </row>
    <row r="118" spans="1:32" ht="15.75" customHeight="1" x14ac:dyDescent="0.45">
      <c r="A118" s="22"/>
      <c r="B118" s="22"/>
      <c r="C118" s="22"/>
      <c r="D118" s="164"/>
      <c r="E118" s="22"/>
      <c r="F118" s="165"/>
      <c r="G118" s="22"/>
      <c r="H118" s="22"/>
      <c r="I118" s="479"/>
      <c r="J118" s="167"/>
      <c r="K118" s="22"/>
      <c r="L118" s="220"/>
      <c r="M118" s="167"/>
      <c r="N118" s="167"/>
      <c r="O118" s="221"/>
      <c r="P118" s="222"/>
      <c r="Q118" s="223"/>
      <c r="R118" s="22"/>
      <c r="S118" s="224"/>
      <c r="T118" s="225"/>
      <c r="U118" s="174"/>
      <c r="V118" s="174"/>
      <c r="W118" s="190"/>
      <c r="X118" s="213"/>
      <c r="Y118" s="177"/>
      <c r="Z118" s="177"/>
      <c r="AA118" s="190"/>
      <c r="AB118" s="145"/>
      <c r="AC118" s="145"/>
      <c r="AD118" s="214"/>
      <c r="AE118" s="145"/>
      <c r="AF118" s="22"/>
    </row>
    <row r="119" spans="1:32" ht="15.75" customHeight="1" x14ac:dyDescent="0.45">
      <c r="A119" s="22"/>
      <c r="B119" s="22"/>
      <c r="C119" s="22"/>
      <c r="D119" s="164"/>
      <c r="E119" s="22"/>
      <c r="F119" s="165"/>
      <c r="G119" s="22"/>
      <c r="H119" s="22"/>
      <c r="I119" s="479"/>
      <c r="J119" s="167"/>
      <c r="K119" s="22"/>
      <c r="L119" s="220"/>
      <c r="M119" s="167"/>
      <c r="N119" s="167"/>
      <c r="O119" s="221"/>
      <c r="P119" s="222"/>
      <c r="Q119" s="223"/>
      <c r="R119" s="22"/>
      <c r="S119" s="224"/>
      <c r="T119" s="225"/>
      <c r="U119" s="174"/>
      <c r="V119" s="174"/>
      <c r="W119" s="190"/>
      <c r="X119" s="213"/>
      <c r="Y119" s="177"/>
      <c r="Z119" s="177"/>
      <c r="AA119" s="190"/>
      <c r="AB119" s="145"/>
      <c r="AC119" s="145"/>
      <c r="AD119" s="214"/>
      <c r="AE119" s="145"/>
      <c r="AF119" s="22"/>
    </row>
    <row r="120" spans="1:32" ht="15.75" customHeight="1" x14ac:dyDescent="0.45">
      <c r="A120" s="22"/>
      <c r="B120" s="22"/>
      <c r="C120" s="22"/>
      <c r="D120" s="164"/>
      <c r="E120" s="22"/>
      <c r="F120" s="165"/>
      <c r="G120" s="22"/>
      <c r="H120" s="22"/>
      <c r="I120" s="479"/>
      <c r="J120" s="167"/>
      <c r="K120" s="22"/>
      <c r="L120" s="220"/>
      <c r="M120" s="167"/>
      <c r="N120" s="167"/>
      <c r="O120" s="221"/>
      <c r="P120" s="222"/>
      <c r="Q120" s="223"/>
      <c r="R120" s="22"/>
      <c r="S120" s="224"/>
      <c r="T120" s="225"/>
      <c r="U120" s="174"/>
      <c r="V120" s="174"/>
      <c r="W120" s="190"/>
      <c r="X120" s="213"/>
      <c r="Y120" s="177"/>
      <c r="Z120" s="177"/>
      <c r="AA120" s="190"/>
      <c r="AB120" s="145"/>
      <c r="AC120" s="145"/>
      <c r="AD120" s="214"/>
      <c r="AE120" s="145"/>
      <c r="AF120" s="22"/>
    </row>
    <row r="121" spans="1:32" ht="15.75" customHeight="1" x14ac:dyDescent="0.45">
      <c r="A121" s="22"/>
      <c r="B121" s="22"/>
      <c r="C121" s="22"/>
      <c r="D121" s="164"/>
      <c r="E121" s="22"/>
      <c r="F121" s="165"/>
      <c r="G121" s="22"/>
      <c r="H121" s="22"/>
      <c r="I121" s="479"/>
      <c r="J121" s="167"/>
      <c r="K121" s="22"/>
      <c r="L121" s="220"/>
      <c r="M121" s="167"/>
      <c r="N121" s="167"/>
      <c r="O121" s="221"/>
      <c r="P121" s="222"/>
      <c r="Q121" s="223"/>
      <c r="R121" s="22"/>
      <c r="S121" s="224"/>
      <c r="T121" s="225"/>
      <c r="U121" s="174"/>
      <c r="V121" s="174"/>
      <c r="W121" s="190"/>
      <c r="X121" s="213"/>
      <c r="Y121" s="177"/>
      <c r="Z121" s="177"/>
      <c r="AA121" s="190"/>
      <c r="AB121" s="145"/>
      <c r="AC121" s="145"/>
      <c r="AD121" s="214"/>
      <c r="AE121" s="145"/>
      <c r="AF121" s="22"/>
    </row>
    <row r="122" spans="1:32" ht="15.75" customHeight="1" x14ac:dyDescent="0.45">
      <c r="A122" s="22"/>
      <c r="B122" s="22"/>
      <c r="C122" s="22"/>
      <c r="D122" s="164"/>
      <c r="E122" s="22"/>
      <c r="F122" s="165"/>
      <c r="G122" s="22"/>
      <c r="H122" s="22"/>
      <c r="I122" s="479"/>
      <c r="J122" s="167"/>
      <c r="K122" s="22"/>
      <c r="L122" s="220"/>
      <c r="M122" s="167"/>
      <c r="N122" s="167"/>
      <c r="O122" s="221"/>
      <c r="P122" s="222"/>
      <c r="Q122" s="223"/>
      <c r="R122" s="22"/>
      <c r="S122" s="224"/>
      <c r="T122" s="225"/>
      <c r="U122" s="174"/>
      <c r="V122" s="174"/>
      <c r="W122" s="190"/>
      <c r="X122" s="213"/>
      <c r="Y122" s="177"/>
      <c r="Z122" s="177"/>
      <c r="AA122" s="190"/>
      <c r="AB122" s="145"/>
      <c r="AC122" s="145"/>
      <c r="AD122" s="214"/>
      <c r="AE122" s="145"/>
      <c r="AF122" s="22"/>
    </row>
    <row r="123" spans="1:32" ht="15.75" customHeight="1" x14ac:dyDescent="0.45">
      <c r="A123" s="22"/>
      <c r="B123" s="22"/>
      <c r="C123" s="22"/>
      <c r="D123" s="164"/>
      <c r="E123" s="22"/>
      <c r="F123" s="165"/>
      <c r="G123" s="22"/>
      <c r="H123" s="22"/>
      <c r="I123" s="479"/>
      <c r="J123" s="167"/>
      <c r="K123" s="22"/>
      <c r="L123" s="220"/>
      <c r="M123" s="167"/>
      <c r="N123" s="167"/>
      <c r="O123" s="221"/>
      <c r="P123" s="222"/>
      <c r="Q123" s="223"/>
      <c r="R123" s="22"/>
      <c r="S123" s="224"/>
      <c r="T123" s="225"/>
      <c r="U123" s="174"/>
      <c r="V123" s="174"/>
      <c r="W123" s="190"/>
      <c r="X123" s="213"/>
      <c r="Y123" s="177"/>
      <c r="Z123" s="177"/>
      <c r="AA123" s="190"/>
      <c r="AB123" s="145"/>
      <c r="AC123" s="145"/>
      <c r="AD123" s="214"/>
      <c r="AE123" s="145"/>
      <c r="AF123" s="22"/>
    </row>
    <row r="124" spans="1:32" ht="15.75" customHeight="1" x14ac:dyDescent="0.45">
      <c r="A124" s="22"/>
      <c r="B124" s="22"/>
      <c r="C124" s="22"/>
      <c r="D124" s="164"/>
      <c r="E124" s="22"/>
      <c r="F124" s="165"/>
      <c r="G124" s="22"/>
      <c r="H124" s="22"/>
      <c r="I124" s="479"/>
      <c r="J124" s="167"/>
      <c r="K124" s="22"/>
      <c r="L124" s="220"/>
      <c r="M124" s="167"/>
      <c r="N124" s="167"/>
      <c r="O124" s="221"/>
      <c r="P124" s="222"/>
      <c r="Q124" s="223"/>
      <c r="R124" s="22"/>
      <c r="S124" s="224"/>
      <c r="T124" s="225"/>
      <c r="U124" s="174"/>
      <c r="V124" s="174"/>
      <c r="W124" s="190"/>
      <c r="X124" s="213"/>
      <c r="Y124" s="177"/>
      <c r="Z124" s="177"/>
      <c r="AA124" s="190"/>
      <c r="AB124" s="145"/>
      <c r="AC124" s="145"/>
      <c r="AD124" s="214"/>
      <c r="AE124" s="145"/>
      <c r="AF124" s="22"/>
    </row>
    <row r="125" spans="1:32" ht="15.75" customHeight="1" x14ac:dyDescent="0.45">
      <c r="A125" s="22"/>
      <c r="B125" s="22"/>
      <c r="C125" s="22"/>
      <c r="D125" s="164"/>
      <c r="E125" s="22"/>
      <c r="F125" s="165"/>
      <c r="G125" s="22"/>
      <c r="H125" s="22"/>
      <c r="I125" s="479"/>
      <c r="J125" s="167"/>
      <c r="K125" s="22"/>
      <c r="L125" s="220"/>
      <c r="M125" s="167"/>
      <c r="N125" s="167"/>
      <c r="O125" s="221"/>
      <c r="P125" s="222"/>
      <c r="Q125" s="223"/>
      <c r="R125" s="22"/>
      <c r="S125" s="224"/>
      <c r="T125" s="225"/>
      <c r="U125" s="174"/>
      <c r="V125" s="174"/>
      <c r="W125" s="190"/>
      <c r="X125" s="213"/>
      <c r="Y125" s="177"/>
      <c r="Z125" s="177"/>
      <c r="AA125" s="190"/>
      <c r="AB125" s="145"/>
      <c r="AC125" s="145"/>
      <c r="AD125" s="214"/>
      <c r="AE125" s="145"/>
      <c r="AF125" s="22"/>
    </row>
    <row r="126" spans="1:32" ht="15.75" customHeight="1" x14ac:dyDescent="0.45">
      <c r="A126" s="22"/>
      <c r="B126" s="22"/>
      <c r="C126" s="22"/>
      <c r="D126" s="164"/>
      <c r="E126" s="22"/>
      <c r="F126" s="165"/>
      <c r="G126" s="22"/>
      <c r="H126" s="22"/>
      <c r="I126" s="479"/>
      <c r="J126" s="167"/>
      <c r="K126" s="22"/>
      <c r="L126" s="220"/>
      <c r="M126" s="167"/>
      <c r="N126" s="167"/>
      <c r="O126" s="221"/>
      <c r="P126" s="222"/>
      <c r="Q126" s="223"/>
      <c r="R126" s="22"/>
      <c r="S126" s="224"/>
      <c r="T126" s="225"/>
      <c r="U126" s="174"/>
      <c r="V126" s="174"/>
      <c r="W126" s="190"/>
      <c r="X126" s="213"/>
      <c r="Y126" s="177"/>
      <c r="Z126" s="177"/>
      <c r="AA126" s="190"/>
      <c r="AB126" s="145"/>
      <c r="AC126" s="145"/>
      <c r="AD126" s="214"/>
      <c r="AE126" s="145"/>
      <c r="AF126" s="22"/>
    </row>
    <row r="127" spans="1:32" ht="15.75" customHeight="1" x14ac:dyDescent="0.45">
      <c r="A127" s="22"/>
      <c r="B127" s="22"/>
      <c r="C127" s="22"/>
      <c r="D127" s="164"/>
      <c r="E127" s="22"/>
      <c r="F127" s="165"/>
      <c r="G127" s="22"/>
      <c r="H127" s="22"/>
      <c r="I127" s="479"/>
      <c r="J127" s="167"/>
      <c r="K127" s="22"/>
      <c r="L127" s="220"/>
      <c r="M127" s="167"/>
      <c r="N127" s="167"/>
      <c r="O127" s="221"/>
      <c r="P127" s="222"/>
      <c r="Q127" s="223"/>
      <c r="R127" s="22"/>
      <c r="S127" s="224"/>
      <c r="T127" s="225"/>
      <c r="U127" s="174"/>
      <c r="V127" s="174"/>
      <c r="W127" s="190"/>
      <c r="X127" s="213"/>
      <c r="Y127" s="177"/>
      <c r="Z127" s="177"/>
      <c r="AA127" s="190"/>
      <c r="AB127" s="145"/>
      <c r="AC127" s="145"/>
      <c r="AD127" s="214"/>
      <c r="AE127" s="145"/>
      <c r="AF127" s="22"/>
    </row>
    <row r="128" spans="1:32" ht="15.75" customHeight="1" x14ac:dyDescent="0.45">
      <c r="A128" s="22"/>
      <c r="B128" s="22"/>
      <c r="C128" s="22"/>
      <c r="D128" s="164"/>
      <c r="E128" s="22"/>
      <c r="F128" s="165"/>
      <c r="G128" s="22"/>
      <c r="H128" s="22"/>
      <c r="I128" s="479"/>
      <c r="J128" s="167"/>
      <c r="K128" s="22"/>
      <c r="L128" s="220"/>
      <c r="M128" s="167"/>
      <c r="N128" s="167"/>
      <c r="O128" s="221"/>
      <c r="P128" s="222"/>
      <c r="Q128" s="223"/>
      <c r="R128" s="22"/>
      <c r="S128" s="224"/>
      <c r="T128" s="225"/>
      <c r="U128" s="174"/>
      <c r="V128" s="174"/>
      <c r="W128" s="190"/>
      <c r="X128" s="213"/>
      <c r="Y128" s="177"/>
      <c r="Z128" s="177"/>
      <c r="AA128" s="190"/>
      <c r="AB128" s="145"/>
      <c r="AC128" s="145"/>
      <c r="AD128" s="214"/>
      <c r="AE128" s="145"/>
      <c r="AF128" s="22"/>
    </row>
    <row r="129" spans="1:32" ht="15.75" customHeight="1" x14ac:dyDescent="0.45">
      <c r="A129" s="22"/>
      <c r="B129" s="22"/>
      <c r="C129" s="22"/>
      <c r="D129" s="164"/>
      <c r="E129" s="22"/>
      <c r="F129" s="165"/>
      <c r="G129" s="22"/>
      <c r="H129" s="22"/>
      <c r="I129" s="479"/>
      <c r="J129" s="167"/>
      <c r="K129" s="22"/>
      <c r="L129" s="220"/>
      <c r="M129" s="167"/>
      <c r="N129" s="167"/>
      <c r="O129" s="221"/>
      <c r="P129" s="222"/>
      <c r="Q129" s="223"/>
      <c r="R129" s="22"/>
      <c r="S129" s="224"/>
      <c r="T129" s="225"/>
      <c r="U129" s="174"/>
      <c r="V129" s="174"/>
      <c r="W129" s="190"/>
      <c r="X129" s="213"/>
      <c r="Y129" s="177"/>
      <c r="Z129" s="177"/>
      <c r="AA129" s="190"/>
      <c r="AB129" s="145"/>
      <c r="AC129" s="145"/>
      <c r="AD129" s="214"/>
      <c r="AE129" s="145"/>
      <c r="AF129" s="22"/>
    </row>
    <row r="130" spans="1:32" ht="15.75" customHeight="1" x14ac:dyDescent="0.45">
      <c r="A130" s="22"/>
      <c r="B130" s="22"/>
      <c r="C130" s="22"/>
      <c r="D130" s="164"/>
      <c r="E130" s="22"/>
      <c r="F130" s="165"/>
      <c r="G130" s="22"/>
      <c r="H130" s="22"/>
      <c r="I130" s="479"/>
      <c r="J130" s="167"/>
      <c r="K130" s="22"/>
      <c r="L130" s="220"/>
      <c r="M130" s="167"/>
      <c r="N130" s="167"/>
      <c r="O130" s="221"/>
      <c r="P130" s="222"/>
      <c r="Q130" s="223"/>
      <c r="R130" s="22"/>
      <c r="S130" s="224"/>
      <c r="T130" s="225"/>
      <c r="U130" s="174"/>
      <c r="V130" s="174"/>
      <c r="W130" s="190"/>
      <c r="X130" s="213"/>
      <c r="Y130" s="177"/>
      <c r="Z130" s="177"/>
      <c r="AA130" s="190"/>
      <c r="AB130" s="145"/>
      <c r="AC130" s="145"/>
      <c r="AD130" s="214"/>
      <c r="AE130" s="145"/>
      <c r="AF130" s="22"/>
    </row>
    <row r="131" spans="1:32" ht="15.75" customHeight="1" x14ac:dyDescent="0.45">
      <c r="A131" s="22"/>
      <c r="B131" s="22"/>
      <c r="C131" s="22"/>
      <c r="D131" s="164"/>
      <c r="E131" s="22"/>
      <c r="F131" s="165"/>
      <c r="G131" s="22"/>
      <c r="H131" s="22"/>
      <c r="I131" s="479"/>
      <c r="J131" s="167"/>
      <c r="K131" s="22"/>
      <c r="L131" s="220"/>
      <c r="M131" s="167"/>
      <c r="N131" s="167"/>
      <c r="O131" s="221"/>
      <c r="P131" s="222"/>
      <c r="Q131" s="223"/>
      <c r="R131" s="22"/>
      <c r="S131" s="224"/>
      <c r="T131" s="225"/>
      <c r="U131" s="174"/>
      <c r="V131" s="174"/>
      <c r="W131" s="190"/>
      <c r="X131" s="213"/>
      <c r="Y131" s="177"/>
      <c r="Z131" s="177"/>
      <c r="AA131" s="190"/>
      <c r="AB131" s="145"/>
      <c r="AC131" s="145"/>
      <c r="AD131" s="214"/>
      <c r="AE131" s="145"/>
      <c r="AF131" s="22"/>
    </row>
    <row r="132" spans="1:32" ht="15.75" customHeight="1" x14ac:dyDescent="0.45">
      <c r="A132" s="22"/>
      <c r="B132" s="22"/>
      <c r="C132" s="22"/>
      <c r="D132" s="164"/>
      <c r="E132" s="22"/>
      <c r="F132" s="165"/>
      <c r="G132" s="22"/>
      <c r="H132" s="22"/>
      <c r="I132" s="479"/>
      <c r="J132" s="167"/>
      <c r="K132" s="22"/>
      <c r="L132" s="220"/>
      <c r="M132" s="167"/>
      <c r="N132" s="167"/>
      <c r="O132" s="221"/>
      <c r="P132" s="222"/>
      <c r="Q132" s="223"/>
      <c r="R132" s="22"/>
      <c r="S132" s="224"/>
      <c r="T132" s="225"/>
      <c r="U132" s="174"/>
      <c r="V132" s="174"/>
      <c r="W132" s="190"/>
      <c r="X132" s="213"/>
      <c r="Y132" s="177"/>
      <c r="Z132" s="177"/>
      <c r="AA132" s="190"/>
      <c r="AB132" s="145"/>
      <c r="AC132" s="145"/>
      <c r="AD132" s="214"/>
      <c r="AE132" s="145"/>
      <c r="AF132" s="22"/>
    </row>
    <row r="133" spans="1:32" ht="15.75" customHeight="1" x14ac:dyDescent="0.45">
      <c r="A133" s="22"/>
      <c r="B133" s="22"/>
      <c r="C133" s="22"/>
      <c r="D133" s="164"/>
      <c r="E133" s="22"/>
      <c r="F133" s="165"/>
      <c r="G133" s="22"/>
      <c r="H133" s="22"/>
      <c r="I133" s="479"/>
      <c r="J133" s="167"/>
      <c r="K133" s="22"/>
      <c r="L133" s="220"/>
      <c r="M133" s="167"/>
      <c r="N133" s="167"/>
      <c r="O133" s="221"/>
      <c r="P133" s="222"/>
      <c r="Q133" s="223"/>
      <c r="R133" s="22"/>
      <c r="S133" s="224"/>
      <c r="T133" s="225"/>
      <c r="U133" s="174"/>
      <c r="V133" s="174"/>
      <c r="W133" s="190"/>
      <c r="X133" s="213"/>
      <c r="Y133" s="177"/>
      <c r="Z133" s="177"/>
      <c r="AA133" s="190"/>
      <c r="AB133" s="145"/>
      <c r="AC133" s="145"/>
      <c r="AD133" s="214"/>
      <c r="AE133" s="145"/>
      <c r="AF133" s="22"/>
    </row>
    <row r="134" spans="1:32" ht="15.75" customHeight="1" x14ac:dyDescent="0.45">
      <c r="A134" s="22"/>
      <c r="B134" s="22"/>
      <c r="C134" s="22"/>
      <c r="D134" s="164"/>
      <c r="E134" s="22"/>
      <c r="F134" s="165"/>
      <c r="G134" s="22"/>
      <c r="H134" s="22"/>
      <c r="I134" s="479"/>
      <c r="J134" s="167"/>
      <c r="K134" s="22"/>
      <c r="L134" s="220"/>
      <c r="M134" s="167"/>
      <c r="N134" s="167"/>
      <c r="O134" s="221"/>
      <c r="P134" s="222"/>
      <c r="Q134" s="223"/>
      <c r="R134" s="22"/>
      <c r="S134" s="224"/>
      <c r="T134" s="225"/>
      <c r="U134" s="174"/>
      <c r="V134" s="174"/>
      <c r="W134" s="190"/>
      <c r="X134" s="213"/>
      <c r="Y134" s="177"/>
      <c r="Z134" s="177"/>
      <c r="AA134" s="190"/>
      <c r="AB134" s="145"/>
      <c r="AC134" s="145"/>
      <c r="AD134" s="214"/>
      <c r="AE134" s="145"/>
      <c r="AF134" s="22"/>
    </row>
    <row r="135" spans="1:32" ht="15.75" customHeight="1" x14ac:dyDescent="0.45">
      <c r="A135" s="22"/>
      <c r="B135" s="22"/>
      <c r="C135" s="22"/>
      <c r="D135" s="164"/>
      <c r="E135" s="22"/>
      <c r="F135" s="165"/>
      <c r="G135" s="22"/>
      <c r="H135" s="22"/>
      <c r="I135" s="479"/>
      <c r="J135" s="167"/>
      <c r="K135" s="22"/>
      <c r="L135" s="220"/>
      <c r="M135" s="167"/>
      <c r="N135" s="167"/>
      <c r="O135" s="221"/>
      <c r="P135" s="222"/>
      <c r="Q135" s="223"/>
      <c r="R135" s="22"/>
      <c r="S135" s="224"/>
      <c r="T135" s="225"/>
      <c r="U135" s="174"/>
      <c r="V135" s="174"/>
      <c r="W135" s="190"/>
      <c r="X135" s="213"/>
      <c r="Y135" s="177"/>
      <c r="Z135" s="177"/>
      <c r="AA135" s="190"/>
      <c r="AB135" s="145"/>
      <c r="AC135" s="145"/>
      <c r="AD135" s="214"/>
      <c r="AE135" s="145"/>
      <c r="AF135" s="22"/>
    </row>
    <row r="136" spans="1:32" ht="15.75" customHeight="1" x14ac:dyDescent="0.45">
      <c r="A136" s="22"/>
      <c r="B136" s="22"/>
      <c r="C136" s="22"/>
      <c r="D136" s="164"/>
      <c r="E136" s="22"/>
      <c r="F136" s="165"/>
      <c r="G136" s="22"/>
      <c r="H136" s="22"/>
      <c r="I136" s="479"/>
      <c r="J136" s="167"/>
      <c r="K136" s="22"/>
      <c r="L136" s="220"/>
      <c r="M136" s="167"/>
      <c r="N136" s="167"/>
      <c r="O136" s="221"/>
      <c r="P136" s="222"/>
      <c r="Q136" s="223"/>
      <c r="R136" s="22"/>
      <c r="S136" s="224"/>
      <c r="T136" s="225"/>
      <c r="U136" s="174"/>
      <c r="V136" s="174"/>
      <c r="W136" s="190"/>
      <c r="X136" s="213"/>
      <c r="Y136" s="177"/>
      <c r="Z136" s="177"/>
      <c r="AA136" s="190"/>
      <c r="AB136" s="145"/>
      <c r="AC136" s="145"/>
      <c r="AD136" s="214"/>
      <c r="AE136" s="145"/>
      <c r="AF136" s="22"/>
    </row>
    <row r="137" spans="1:32" ht="15.75" customHeight="1" x14ac:dyDescent="0.45">
      <c r="A137" s="22"/>
      <c r="B137" s="22"/>
      <c r="C137" s="22"/>
      <c r="D137" s="164"/>
      <c r="E137" s="22"/>
      <c r="F137" s="165"/>
      <c r="G137" s="22"/>
      <c r="H137" s="22"/>
      <c r="I137" s="479"/>
      <c r="J137" s="167"/>
      <c r="K137" s="22"/>
      <c r="L137" s="220"/>
      <c r="M137" s="167"/>
      <c r="N137" s="167"/>
      <c r="O137" s="221"/>
      <c r="P137" s="222"/>
      <c r="Q137" s="223"/>
      <c r="R137" s="22"/>
      <c r="S137" s="224"/>
      <c r="T137" s="225"/>
      <c r="U137" s="174"/>
      <c r="V137" s="174"/>
      <c r="W137" s="190"/>
      <c r="X137" s="213"/>
      <c r="Y137" s="177"/>
      <c r="Z137" s="177"/>
      <c r="AA137" s="190"/>
      <c r="AB137" s="145"/>
      <c r="AC137" s="145"/>
      <c r="AD137" s="214"/>
      <c r="AE137" s="145"/>
      <c r="AF137" s="22"/>
    </row>
    <row r="138" spans="1:32" ht="15.75" customHeight="1" x14ac:dyDescent="0.45">
      <c r="A138" s="22"/>
      <c r="B138" s="22"/>
      <c r="C138" s="22"/>
      <c r="D138" s="164"/>
      <c r="E138" s="22"/>
      <c r="F138" s="165"/>
      <c r="G138" s="22"/>
      <c r="H138" s="22"/>
      <c r="I138" s="479"/>
      <c r="J138" s="167"/>
      <c r="K138" s="22"/>
      <c r="L138" s="220"/>
      <c r="M138" s="167"/>
      <c r="N138" s="167"/>
      <c r="O138" s="221"/>
      <c r="P138" s="222"/>
      <c r="Q138" s="223"/>
      <c r="R138" s="22"/>
      <c r="S138" s="224"/>
      <c r="T138" s="225"/>
      <c r="U138" s="174"/>
      <c r="V138" s="174"/>
      <c r="W138" s="190"/>
      <c r="X138" s="213"/>
      <c r="Y138" s="177"/>
      <c r="Z138" s="177"/>
      <c r="AA138" s="190"/>
      <c r="AB138" s="145"/>
      <c r="AC138" s="145"/>
      <c r="AD138" s="214"/>
      <c r="AE138" s="145"/>
      <c r="AF138" s="22"/>
    </row>
    <row r="139" spans="1:32" ht="15.75" customHeight="1" x14ac:dyDescent="0.45">
      <c r="A139" s="22"/>
      <c r="B139" s="22"/>
      <c r="C139" s="22"/>
      <c r="D139" s="164"/>
      <c r="E139" s="22"/>
      <c r="F139" s="165"/>
      <c r="G139" s="22"/>
      <c r="H139" s="22"/>
      <c r="I139" s="479"/>
      <c r="J139" s="167"/>
      <c r="K139" s="22"/>
      <c r="L139" s="220"/>
      <c r="M139" s="167"/>
      <c r="N139" s="167"/>
      <c r="O139" s="221"/>
      <c r="P139" s="222"/>
      <c r="Q139" s="223"/>
      <c r="R139" s="22"/>
      <c r="S139" s="224"/>
      <c r="T139" s="225"/>
      <c r="U139" s="174"/>
      <c r="V139" s="174"/>
      <c r="W139" s="190"/>
      <c r="X139" s="213"/>
      <c r="Y139" s="177"/>
      <c r="Z139" s="177"/>
      <c r="AA139" s="190"/>
      <c r="AB139" s="145"/>
      <c r="AC139" s="145"/>
      <c r="AD139" s="214"/>
      <c r="AE139" s="145"/>
      <c r="AF139" s="22"/>
    </row>
    <row r="140" spans="1:32" ht="15.75" customHeight="1" x14ac:dyDescent="0.45">
      <c r="A140" s="22"/>
      <c r="B140" s="22"/>
      <c r="C140" s="22"/>
      <c r="D140" s="164"/>
      <c r="E140" s="22"/>
      <c r="F140" s="165"/>
      <c r="G140" s="22"/>
      <c r="H140" s="22"/>
      <c r="I140" s="479"/>
      <c r="J140" s="167"/>
      <c r="K140" s="22"/>
      <c r="L140" s="220"/>
      <c r="M140" s="167"/>
      <c r="N140" s="167"/>
      <c r="O140" s="221"/>
      <c r="P140" s="222"/>
      <c r="Q140" s="223"/>
      <c r="R140" s="22"/>
      <c r="S140" s="224"/>
      <c r="T140" s="225"/>
      <c r="U140" s="174"/>
      <c r="V140" s="174"/>
      <c r="W140" s="190"/>
      <c r="X140" s="213"/>
      <c r="Y140" s="177"/>
      <c r="Z140" s="177"/>
      <c r="AA140" s="190"/>
      <c r="AB140" s="145"/>
      <c r="AC140" s="145"/>
      <c r="AD140" s="214"/>
      <c r="AE140" s="145"/>
      <c r="AF140" s="22"/>
    </row>
    <row r="141" spans="1:32" ht="15.75" customHeight="1" x14ac:dyDescent="0.45">
      <c r="A141" s="22"/>
      <c r="B141" s="22"/>
      <c r="C141" s="22"/>
      <c r="D141" s="164"/>
      <c r="E141" s="22"/>
      <c r="F141" s="165"/>
      <c r="G141" s="22"/>
      <c r="H141" s="22"/>
      <c r="I141" s="479"/>
      <c r="J141" s="167"/>
      <c r="K141" s="22"/>
      <c r="L141" s="220"/>
      <c r="M141" s="167"/>
      <c r="N141" s="167"/>
      <c r="O141" s="221"/>
      <c r="P141" s="222"/>
      <c r="Q141" s="223"/>
      <c r="R141" s="22"/>
      <c r="S141" s="224"/>
      <c r="T141" s="225"/>
      <c r="U141" s="174"/>
      <c r="V141" s="174"/>
      <c r="W141" s="190"/>
      <c r="X141" s="213"/>
      <c r="Y141" s="177"/>
      <c r="Z141" s="177"/>
      <c r="AA141" s="190"/>
      <c r="AB141" s="145"/>
      <c r="AC141" s="145"/>
      <c r="AD141" s="214"/>
      <c r="AE141" s="145"/>
      <c r="AF141" s="22"/>
    </row>
    <row r="142" spans="1:32" ht="15.75" customHeight="1" x14ac:dyDescent="0.45">
      <c r="A142" s="22"/>
      <c r="B142" s="22"/>
      <c r="C142" s="22"/>
      <c r="D142" s="164"/>
      <c r="E142" s="22"/>
      <c r="F142" s="165"/>
      <c r="G142" s="22"/>
      <c r="H142" s="22"/>
      <c r="I142" s="479"/>
      <c r="J142" s="167"/>
      <c r="K142" s="22"/>
      <c r="L142" s="220"/>
      <c r="M142" s="167"/>
      <c r="N142" s="167"/>
      <c r="O142" s="221"/>
      <c r="P142" s="222"/>
      <c r="Q142" s="223"/>
      <c r="R142" s="22"/>
      <c r="S142" s="224"/>
      <c r="T142" s="225"/>
      <c r="U142" s="174"/>
      <c r="V142" s="174"/>
      <c r="W142" s="190"/>
      <c r="X142" s="213"/>
      <c r="Y142" s="177"/>
      <c r="Z142" s="177"/>
      <c r="AA142" s="190"/>
      <c r="AB142" s="145"/>
      <c r="AC142" s="145"/>
      <c r="AD142" s="214"/>
      <c r="AE142" s="145"/>
      <c r="AF142" s="22"/>
    </row>
    <row r="143" spans="1:32" ht="15.75" customHeight="1" x14ac:dyDescent="0.45">
      <c r="A143" s="22"/>
      <c r="B143" s="22"/>
      <c r="C143" s="22"/>
      <c r="D143" s="164"/>
      <c r="E143" s="22"/>
      <c r="F143" s="165"/>
      <c r="G143" s="22"/>
      <c r="H143" s="22"/>
      <c r="I143" s="479"/>
      <c r="J143" s="167"/>
      <c r="K143" s="22"/>
      <c r="L143" s="220"/>
      <c r="M143" s="167"/>
      <c r="N143" s="167"/>
      <c r="O143" s="221"/>
      <c r="P143" s="222"/>
      <c r="Q143" s="223"/>
      <c r="R143" s="22"/>
      <c r="S143" s="224"/>
      <c r="T143" s="225"/>
      <c r="U143" s="174"/>
      <c r="V143" s="174"/>
      <c r="W143" s="190"/>
      <c r="X143" s="213"/>
      <c r="Y143" s="177"/>
      <c r="Z143" s="177"/>
      <c r="AA143" s="190"/>
      <c r="AB143" s="145"/>
      <c r="AC143" s="145"/>
      <c r="AD143" s="214"/>
      <c r="AE143" s="145"/>
      <c r="AF143" s="22"/>
    </row>
    <row r="144" spans="1:32" ht="15.75" customHeight="1" x14ac:dyDescent="0.45">
      <c r="A144" s="22"/>
      <c r="B144" s="22"/>
      <c r="C144" s="22"/>
      <c r="D144" s="164"/>
      <c r="E144" s="22"/>
      <c r="F144" s="165"/>
      <c r="G144" s="22"/>
      <c r="H144" s="22"/>
      <c r="I144" s="479"/>
      <c r="J144" s="167"/>
      <c r="K144" s="22"/>
      <c r="L144" s="220"/>
      <c r="M144" s="167"/>
      <c r="N144" s="167"/>
      <c r="O144" s="221"/>
      <c r="P144" s="222"/>
      <c r="Q144" s="223"/>
      <c r="R144" s="22"/>
      <c r="S144" s="224"/>
      <c r="T144" s="225"/>
      <c r="U144" s="174"/>
      <c r="V144" s="174"/>
      <c r="W144" s="190"/>
      <c r="X144" s="213"/>
      <c r="Y144" s="177"/>
      <c r="Z144" s="177"/>
      <c r="AA144" s="190"/>
      <c r="AB144" s="145"/>
      <c r="AC144" s="145"/>
      <c r="AD144" s="214"/>
      <c r="AE144" s="145"/>
      <c r="AF144" s="22"/>
    </row>
    <row r="145" spans="1:32" ht="15.75" customHeight="1" x14ac:dyDescent="0.45">
      <c r="A145" s="22"/>
      <c r="B145" s="22"/>
      <c r="C145" s="22"/>
      <c r="D145" s="164"/>
      <c r="E145" s="22"/>
      <c r="F145" s="165"/>
      <c r="G145" s="22"/>
      <c r="H145" s="22"/>
      <c r="I145" s="479"/>
      <c r="J145" s="167"/>
      <c r="K145" s="22"/>
      <c r="L145" s="220"/>
      <c r="M145" s="167"/>
      <c r="N145" s="167"/>
      <c r="O145" s="221"/>
      <c r="P145" s="222"/>
      <c r="Q145" s="223"/>
      <c r="R145" s="22"/>
      <c r="S145" s="224"/>
      <c r="T145" s="225"/>
      <c r="U145" s="174"/>
      <c r="V145" s="174"/>
      <c r="W145" s="190"/>
      <c r="X145" s="213"/>
      <c r="Y145" s="177"/>
      <c r="Z145" s="177"/>
      <c r="AA145" s="190"/>
      <c r="AB145" s="145"/>
      <c r="AC145" s="145"/>
      <c r="AD145" s="214"/>
      <c r="AE145" s="145"/>
      <c r="AF145" s="22"/>
    </row>
    <row r="146" spans="1:32" ht="15.75" customHeight="1" x14ac:dyDescent="0.45">
      <c r="A146" s="22"/>
      <c r="B146" s="22"/>
      <c r="C146" s="22"/>
      <c r="D146" s="164"/>
      <c r="E146" s="22"/>
      <c r="F146" s="165"/>
      <c r="G146" s="22"/>
      <c r="H146" s="22"/>
      <c r="I146" s="479"/>
      <c r="J146" s="167"/>
      <c r="K146" s="22"/>
      <c r="L146" s="220"/>
      <c r="M146" s="167"/>
      <c r="N146" s="167"/>
      <c r="O146" s="221"/>
      <c r="P146" s="222"/>
      <c r="Q146" s="223"/>
      <c r="R146" s="22"/>
      <c r="S146" s="224"/>
      <c r="T146" s="225"/>
      <c r="U146" s="174"/>
      <c r="V146" s="174"/>
      <c r="W146" s="190"/>
      <c r="X146" s="213"/>
      <c r="Y146" s="177"/>
      <c r="Z146" s="177"/>
      <c r="AA146" s="190"/>
      <c r="AB146" s="145"/>
      <c r="AC146" s="145"/>
      <c r="AD146" s="214"/>
      <c r="AE146" s="145"/>
      <c r="AF146" s="22"/>
    </row>
    <row r="147" spans="1:32" ht="15.75" customHeight="1" x14ac:dyDescent="0.45">
      <c r="A147" s="22"/>
      <c r="B147" s="22"/>
      <c r="C147" s="22"/>
      <c r="D147" s="164"/>
      <c r="E147" s="22"/>
      <c r="F147" s="165"/>
      <c r="G147" s="22"/>
      <c r="H147" s="22"/>
      <c r="I147" s="479"/>
      <c r="J147" s="167"/>
      <c r="K147" s="22"/>
      <c r="L147" s="220"/>
      <c r="M147" s="167"/>
      <c r="N147" s="167"/>
      <c r="O147" s="221"/>
      <c r="P147" s="222"/>
      <c r="Q147" s="223"/>
      <c r="R147" s="22"/>
      <c r="S147" s="224"/>
      <c r="T147" s="225"/>
      <c r="U147" s="174"/>
      <c r="V147" s="174"/>
      <c r="W147" s="190"/>
      <c r="X147" s="213"/>
      <c r="Y147" s="177"/>
      <c r="Z147" s="177"/>
      <c r="AA147" s="190"/>
      <c r="AB147" s="145"/>
      <c r="AC147" s="145"/>
      <c r="AD147" s="214"/>
      <c r="AE147" s="145"/>
      <c r="AF147" s="22"/>
    </row>
    <row r="148" spans="1:32" ht="15.75" customHeight="1" x14ac:dyDescent="0.45">
      <c r="A148" s="22"/>
      <c r="B148" s="22"/>
      <c r="C148" s="22"/>
      <c r="D148" s="164"/>
      <c r="E148" s="22"/>
      <c r="F148" s="165"/>
      <c r="G148" s="22"/>
      <c r="H148" s="22"/>
      <c r="I148" s="479"/>
      <c r="J148" s="167"/>
      <c r="K148" s="22"/>
      <c r="L148" s="220"/>
      <c r="M148" s="167"/>
      <c r="N148" s="167"/>
      <c r="O148" s="221"/>
      <c r="P148" s="222"/>
      <c r="Q148" s="223"/>
      <c r="R148" s="22"/>
      <c r="S148" s="224"/>
      <c r="T148" s="225"/>
      <c r="U148" s="174"/>
      <c r="V148" s="174"/>
      <c r="W148" s="190"/>
      <c r="X148" s="213"/>
      <c r="Y148" s="177"/>
      <c r="Z148" s="177"/>
      <c r="AA148" s="190"/>
      <c r="AB148" s="145"/>
      <c r="AC148" s="145"/>
      <c r="AD148" s="214"/>
      <c r="AE148" s="145"/>
      <c r="AF148" s="22"/>
    </row>
    <row r="149" spans="1:32" ht="15.75" customHeight="1" x14ac:dyDescent="0.45">
      <c r="A149" s="22"/>
      <c r="B149" s="22"/>
      <c r="C149" s="22"/>
      <c r="D149" s="164"/>
      <c r="E149" s="22"/>
      <c r="F149" s="165"/>
      <c r="G149" s="22"/>
      <c r="H149" s="22"/>
      <c r="I149" s="479"/>
      <c r="J149" s="167"/>
      <c r="K149" s="22"/>
      <c r="L149" s="220"/>
      <c r="M149" s="167"/>
      <c r="N149" s="167"/>
      <c r="O149" s="221"/>
      <c r="P149" s="222"/>
      <c r="Q149" s="223"/>
      <c r="R149" s="22"/>
      <c r="S149" s="224"/>
      <c r="T149" s="225"/>
      <c r="U149" s="174"/>
      <c r="V149" s="174"/>
      <c r="W149" s="190"/>
      <c r="X149" s="213"/>
      <c r="Y149" s="177"/>
      <c r="Z149" s="177"/>
      <c r="AA149" s="190"/>
      <c r="AB149" s="145"/>
      <c r="AC149" s="145"/>
      <c r="AD149" s="214"/>
      <c r="AE149" s="145"/>
      <c r="AF149" s="22"/>
    </row>
    <row r="150" spans="1:32" ht="15.75" customHeight="1" x14ac:dyDescent="0.45">
      <c r="A150" s="22"/>
      <c r="B150" s="22"/>
      <c r="C150" s="22"/>
      <c r="D150" s="164"/>
      <c r="E150" s="22"/>
      <c r="F150" s="165"/>
      <c r="G150" s="22"/>
      <c r="H150" s="22"/>
      <c r="I150" s="479"/>
      <c r="J150" s="167"/>
      <c r="K150" s="22"/>
      <c r="L150" s="220"/>
      <c r="M150" s="167"/>
      <c r="N150" s="167"/>
      <c r="O150" s="221"/>
      <c r="P150" s="222"/>
      <c r="Q150" s="223"/>
      <c r="R150" s="22"/>
      <c r="S150" s="224"/>
      <c r="T150" s="225"/>
      <c r="U150" s="174"/>
      <c r="V150" s="174"/>
      <c r="W150" s="190"/>
      <c r="X150" s="213"/>
      <c r="Y150" s="177"/>
      <c r="Z150" s="177"/>
      <c r="AA150" s="190"/>
      <c r="AB150" s="145"/>
      <c r="AC150" s="145"/>
      <c r="AD150" s="214"/>
      <c r="AE150" s="145"/>
      <c r="AF150" s="22"/>
    </row>
    <row r="151" spans="1:32" ht="15.75" customHeight="1" x14ac:dyDescent="0.45">
      <c r="A151" s="22"/>
      <c r="B151" s="22"/>
      <c r="C151" s="22"/>
      <c r="D151" s="164"/>
      <c r="E151" s="22"/>
      <c r="F151" s="165"/>
      <c r="G151" s="22"/>
      <c r="H151" s="22"/>
      <c r="I151" s="479"/>
      <c r="J151" s="167"/>
      <c r="K151" s="22"/>
      <c r="L151" s="220"/>
      <c r="M151" s="167"/>
      <c r="N151" s="167"/>
      <c r="O151" s="221"/>
      <c r="P151" s="222"/>
      <c r="Q151" s="223"/>
      <c r="R151" s="22"/>
      <c r="S151" s="224"/>
      <c r="T151" s="225"/>
      <c r="U151" s="174"/>
      <c r="V151" s="174"/>
      <c r="W151" s="190"/>
      <c r="X151" s="213"/>
      <c r="Y151" s="177"/>
      <c r="Z151" s="177"/>
      <c r="AA151" s="190"/>
      <c r="AB151" s="145"/>
      <c r="AC151" s="145"/>
      <c r="AD151" s="214"/>
      <c r="AE151" s="145"/>
      <c r="AF151" s="22"/>
    </row>
    <row r="152" spans="1:32" ht="15.75" customHeight="1" x14ac:dyDescent="0.45">
      <c r="A152" s="22"/>
      <c r="B152" s="22"/>
      <c r="C152" s="22"/>
      <c r="D152" s="164"/>
      <c r="E152" s="22"/>
      <c r="F152" s="165"/>
      <c r="G152" s="22"/>
      <c r="H152" s="22"/>
      <c r="I152" s="479"/>
      <c r="J152" s="167"/>
      <c r="K152" s="22"/>
      <c r="L152" s="220"/>
      <c r="M152" s="167"/>
      <c r="N152" s="167"/>
      <c r="O152" s="221"/>
      <c r="P152" s="222"/>
      <c r="Q152" s="223"/>
      <c r="R152" s="22"/>
      <c r="S152" s="224"/>
      <c r="T152" s="225"/>
      <c r="U152" s="174"/>
      <c r="V152" s="174"/>
      <c r="W152" s="190"/>
      <c r="X152" s="213"/>
      <c r="Y152" s="177"/>
      <c r="Z152" s="177"/>
      <c r="AA152" s="190"/>
      <c r="AB152" s="145"/>
      <c r="AC152" s="145"/>
      <c r="AD152" s="214"/>
      <c r="AE152" s="145"/>
      <c r="AF152" s="22"/>
    </row>
    <row r="153" spans="1:32" ht="15.75" customHeight="1" x14ac:dyDescent="0.45">
      <c r="A153" s="22"/>
      <c r="B153" s="22"/>
      <c r="C153" s="22"/>
      <c r="D153" s="164"/>
      <c r="E153" s="22"/>
      <c r="F153" s="165"/>
      <c r="G153" s="22"/>
      <c r="H153" s="22"/>
      <c r="I153" s="479"/>
      <c r="J153" s="167"/>
      <c r="K153" s="22"/>
      <c r="L153" s="220"/>
      <c r="M153" s="167"/>
      <c r="N153" s="167"/>
      <c r="O153" s="221"/>
      <c r="P153" s="222"/>
      <c r="Q153" s="223"/>
      <c r="R153" s="22"/>
      <c r="S153" s="224"/>
      <c r="T153" s="225"/>
      <c r="U153" s="174"/>
      <c r="V153" s="174"/>
      <c r="W153" s="190"/>
      <c r="X153" s="213"/>
      <c r="Y153" s="177"/>
      <c r="Z153" s="177"/>
      <c r="AA153" s="190"/>
      <c r="AB153" s="145"/>
      <c r="AC153" s="145"/>
      <c r="AD153" s="214"/>
      <c r="AE153" s="145"/>
      <c r="AF153" s="22"/>
    </row>
    <row r="154" spans="1:32" ht="15.75" customHeight="1" x14ac:dyDescent="0.45">
      <c r="A154" s="22"/>
      <c r="B154" s="22"/>
      <c r="C154" s="22"/>
      <c r="D154" s="164"/>
      <c r="E154" s="22"/>
      <c r="F154" s="165"/>
      <c r="G154" s="22"/>
      <c r="H154" s="22"/>
      <c r="I154" s="479"/>
      <c r="J154" s="167"/>
      <c r="K154" s="22"/>
      <c r="L154" s="220"/>
      <c r="M154" s="167"/>
      <c r="N154" s="167"/>
      <c r="O154" s="221"/>
      <c r="P154" s="222"/>
      <c r="Q154" s="223"/>
      <c r="R154" s="22"/>
      <c r="S154" s="224"/>
      <c r="T154" s="225"/>
      <c r="U154" s="174"/>
      <c r="V154" s="174"/>
      <c r="W154" s="190"/>
      <c r="X154" s="213"/>
      <c r="Y154" s="177"/>
      <c r="Z154" s="177"/>
      <c r="AA154" s="190"/>
      <c r="AB154" s="145"/>
      <c r="AC154" s="145"/>
      <c r="AD154" s="214"/>
      <c r="AE154" s="145"/>
      <c r="AF154" s="22"/>
    </row>
    <row r="155" spans="1:32" ht="15.75" customHeight="1" x14ac:dyDescent="0.45">
      <c r="A155" s="22"/>
      <c r="B155" s="22"/>
      <c r="C155" s="22"/>
      <c r="D155" s="164"/>
      <c r="E155" s="22"/>
      <c r="F155" s="165"/>
      <c r="G155" s="22"/>
      <c r="H155" s="22"/>
      <c r="I155" s="479"/>
      <c r="J155" s="167"/>
      <c r="K155" s="22"/>
      <c r="L155" s="220"/>
      <c r="M155" s="167"/>
      <c r="N155" s="167"/>
      <c r="O155" s="221"/>
      <c r="P155" s="222"/>
      <c r="Q155" s="223"/>
      <c r="R155" s="22"/>
      <c r="S155" s="224"/>
      <c r="T155" s="225"/>
      <c r="U155" s="174"/>
      <c r="V155" s="174"/>
      <c r="W155" s="190"/>
      <c r="X155" s="213"/>
      <c r="Y155" s="177"/>
      <c r="Z155" s="177"/>
      <c r="AA155" s="190"/>
      <c r="AB155" s="145"/>
      <c r="AC155" s="145"/>
      <c r="AD155" s="214"/>
      <c r="AE155" s="145"/>
      <c r="AF155" s="22"/>
    </row>
    <row r="156" spans="1:32" ht="15.75" customHeight="1" x14ac:dyDescent="0.45">
      <c r="A156" s="22"/>
      <c r="B156" s="22"/>
      <c r="C156" s="22"/>
      <c r="D156" s="164"/>
      <c r="E156" s="22"/>
      <c r="F156" s="165"/>
      <c r="G156" s="22"/>
      <c r="H156" s="22"/>
      <c r="I156" s="479"/>
      <c r="J156" s="167"/>
      <c r="K156" s="22"/>
      <c r="L156" s="220"/>
      <c r="M156" s="167"/>
      <c r="N156" s="167"/>
      <c r="O156" s="221"/>
      <c r="P156" s="222"/>
      <c r="Q156" s="223"/>
      <c r="R156" s="22"/>
      <c r="S156" s="224"/>
      <c r="T156" s="225"/>
      <c r="U156" s="174"/>
      <c r="V156" s="174"/>
      <c r="W156" s="190"/>
      <c r="X156" s="213"/>
      <c r="Y156" s="177"/>
      <c r="Z156" s="177"/>
      <c r="AA156" s="190"/>
      <c r="AB156" s="145"/>
      <c r="AC156" s="145"/>
      <c r="AD156" s="214"/>
      <c r="AE156" s="145"/>
      <c r="AF156" s="22"/>
    </row>
    <row r="157" spans="1:32" ht="15.75" customHeight="1" x14ac:dyDescent="0.45">
      <c r="A157" s="22"/>
      <c r="B157" s="22"/>
      <c r="C157" s="22"/>
      <c r="D157" s="164"/>
      <c r="E157" s="22"/>
      <c r="F157" s="165"/>
      <c r="G157" s="22"/>
      <c r="H157" s="22"/>
      <c r="I157" s="479"/>
      <c r="J157" s="167"/>
      <c r="K157" s="22"/>
      <c r="L157" s="220"/>
      <c r="M157" s="167"/>
      <c r="N157" s="167"/>
      <c r="O157" s="221"/>
      <c r="P157" s="222"/>
      <c r="Q157" s="223"/>
      <c r="R157" s="22"/>
      <c r="S157" s="224"/>
      <c r="T157" s="225"/>
      <c r="U157" s="174"/>
      <c r="V157" s="174"/>
      <c r="W157" s="190"/>
      <c r="X157" s="213"/>
      <c r="Y157" s="177"/>
      <c r="Z157" s="177"/>
      <c r="AA157" s="190"/>
      <c r="AB157" s="145"/>
      <c r="AC157" s="145"/>
      <c r="AD157" s="214"/>
      <c r="AE157" s="145"/>
      <c r="AF157" s="22"/>
    </row>
    <row r="158" spans="1:32" ht="15.75" customHeight="1" x14ac:dyDescent="0.45">
      <c r="A158" s="22"/>
      <c r="B158" s="22"/>
      <c r="C158" s="22"/>
      <c r="D158" s="164"/>
      <c r="E158" s="22"/>
      <c r="F158" s="165"/>
      <c r="G158" s="22"/>
      <c r="H158" s="22"/>
      <c r="I158" s="479"/>
      <c r="J158" s="167"/>
      <c r="K158" s="22"/>
      <c r="L158" s="220"/>
      <c r="M158" s="167"/>
      <c r="N158" s="167"/>
      <c r="O158" s="221"/>
      <c r="P158" s="222"/>
      <c r="Q158" s="223"/>
      <c r="R158" s="22"/>
      <c r="S158" s="224"/>
      <c r="T158" s="225"/>
      <c r="U158" s="174"/>
      <c r="V158" s="174"/>
      <c r="W158" s="190"/>
      <c r="X158" s="213"/>
      <c r="Y158" s="177"/>
      <c r="Z158" s="177"/>
      <c r="AA158" s="190"/>
      <c r="AB158" s="145"/>
      <c r="AC158" s="145"/>
      <c r="AD158" s="214"/>
      <c r="AE158" s="145"/>
      <c r="AF158" s="22"/>
    </row>
    <row r="159" spans="1:32" ht="15.75" customHeight="1" x14ac:dyDescent="0.45">
      <c r="A159" s="22"/>
      <c r="B159" s="22"/>
      <c r="C159" s="22"/>
      <c r="D159" s="164"/>
      <c r="E159" s="22"/>
      <c r="F159" s="165"/>
      <c r="G159" s="22"/>
      <c r="H159" s="22"/>
      <c r="I159" s="479"/>
      <c r="J159" s="167"/>
      <c r="K159" s="22"/>
      <c r="L159" s="220"/>
      <c r="M159" s="167"/>
      <c r="N159" s="167"/>
      <c r="O159" s="221"/>
      <c r="P159" s="222"/>
      <c r="Q159" s="223"/>
      <c r="R159" s="22"/>
      <c r="S159" s="224"/>
      <c r="T159" s="225"/>
      <c r="U159" s="174"/>
      <c r="V159" s="174"/>
      <c r="W159" s="190"/>
      <c r="X159" s="213"/>
      <c r="Y159" s="177"/>
      <c r="Z159" s="177"/>
      <c r="AA159" s="190"/>
      <c r="AB159" s="145"/>
      <c r="AC159" s="145"/>
      <c r="AD159" s="214"/>
      <c r="AE159" s="145"/>
      <c r="AF159" s="22"/>
    </row>
    <row r="160" spans="1:32" ht="15.75" customHeight="1" x14ac:dyDescent="0.45">
      <c r="A160" s="22"/>
      <c r="B160" s="22"/>
      <c r="C160" s="22"/>
      <c r="D160" s="164"/>
      <c r="E160" s="22"/>
      <c r="F160" s="165"/>
      <c r="G160" s="22"/>
      <c r="H160" s="22"/>
      <c r="I160" s="479"/>
      <c r="J160" s="167"/>
      <c r="K160" s="22"/>
      <c r="L160" s="220"/>
      <c r="M160" s="167"/>
      <c r="N160" s="167"/>
      <c r="O160" s="221"/>
      <c r="P160" s="222"/>
      <c r="Q160" s="223"/>
      <c r="R160" s="22"/>
      <c r="S160" s="224"/>
      <c r="T160" s="225"/>
      <c r="U160" s="174"/>
      <c r="V160" s="174"/>
      <c r="W160" s="190"/>
      <c r="X160" s="213"/>
      <c r="Y160" s="177"/>
      <c r="Z160" s="177"/>
      <c r="AA160" s="190"/>
      <c r="AB160" s="145"/>
      <c r="AC160" s="145"/>
      <c r="AD160" s="214"/>
      <c r="AE160" s="145"/>
      <c r="AF160" s="22"/>
    </row>
    <row r="161" spans="1:32" ht="15.75" customHeight="1" x14ac:dyDescent="0.45">
      <c r="A161" s="22"/>
      <c r="B161" s="22"/>
      <c r="C161" s="22"/>
      <c r="D161" s="164"/>
      <c r="E161" s="22"/>
      <c r="F161" s="165"/>
      <c r="G161" s="22"/>
      <c r="H161" s="22"/>
      <c r="I161" s="479"/>
      <c r="J161" s="167"/>
      <c r="K161" s="22"/>
      <c r="L161" s="220"/>
      <c r="M161" s="167"/>
      <c r="N161" s="167"/>
      <c r="O161" s="221"/>
      <c r="P161" s="222"/>
      <c r="Q161" s="223"/>
      <c r="R161" s="22"/>
      <c r="S161" s="224"/>
      <c r="T161" s="225"/>
      <c r="U161" s="174"/>
      <c r="V161" s="174"/>
      <c r="W161" s="190"/>
      <c r="X161" s="213"/>
      <c r="Y161" s="177"/>
      <c r="Z161" s="177"/>
      <c r="AA161" s="190"/>
      <c r="AB161" s="145"/>
      <c r="AC161" s="145"/>
      <c r="AD161" s="214"/>
      <c r="AE161" s="145"/>
      <c r="AF161" s="22"/>
    </row>
    <row r="162" spans="1:32" ht="15.75" customHeight="1" x14ac:dyDescent="0.45">
      <c r="A162" s="22"/>
      <c r="B162" s="22"/>
      <c r="C162" s="22"/>
      <c r="D162" s="164"/>
      <c r="E162" s="22"/>
      <c r="F162" s="165"/>
      <c r="G162" s="22"/>
      <c r="H162" s="22"/>
      <c r="I162" s="479"/>
      <c r="J162" s="167"/>
      <c r="K162" s="22"/>
      <c r="L162" s="220"/>
      <c r="M162" s="167"/>
      <c r="N162" s="167"/>
      <c r="O162" s="221"/>
      <c r="P162" s="222"/>
      <c r="Q162" s="223"/>
      <c r="R162" s="22"/>
      <c r="S162" s="224"/>
      <c r="T162" s="225"/>
      <c r="U162" s="174"/>
      <c r="V162" s="174"/>
      <c r="W162" s="190"/>
      <c r="X162" s="213"/>
      <c r="Y162" s="177"/>
      <c r="Z162" s="177"/>
      <c r="AA162" s="190"/>
      <c r="AB162" s="145"/>
      <c r="AC162" s="145"/>
      <c r="AD162" s="214"/>
      <c r="AE162" s="145"/>
      <c r="AF162" s="22"/>
    </row>
    <row r="163" spans="1:32" ht="15.75" customHeight="1" x14ac:dyDescent="0.45">
      <c r="A163" s="22"/>
      <c r="B163" s="22"/>
      <c r="C163" s="22"/>
      <c r="D163" s="164"/>
      <c r="E163" s="22"/>
      <c r="F163" s="165"/>
      <c r="G163" s="22"/>
      <c r="H163" s="22"/>
      <c r="I163" s="479"/>
      <c r="J163" s="167"/>
      <c r="K163" s="22"/>
      <c r="L163" s="220"/>
      <c r="M163" s="167"/>
      <c r="N163" s="167"/>
      <c r="O163" s="221"/>
      <c r="P163" s="222"/>
      <c r="Q163" s="223"/>
      <c r="R163" s="22"/>
      <c r="S163" s="224"/>
      <c r="T163" s="225"/>
      <c r="U163" s="174"/>
      <c r="V163" s="174"/>
      <c r="W163" s="190"/>
      <c r="X163" s="213"/>
      <c r="Y163" s="177"/>
      <c r="Z163" s="177"/>
      <c r="AA163" s="190"/>
      <c r="AB163" s="145"/>
      <c r="AC163" s="145"/>
      <c r="AD163" s="214"/>
      <c r="AE163" s="145"/>
      <c r="AF163" s="22"/>
    </row>
    <row r="164" spans="1:32" ht="15.75" customHeight="1" x14ac:dyDescent="0.45">
      <c r="A164" s="22"/>
      <c r="B164" s="22"/>
      <c r="C164" s="22"/>
      <c r="D164" s="164"/>
      <c r="E164" s="22"/>
      <c r="F164" s="165"/>
      <c r="G164" s="22"/>
      <c r="H164" s="22"/>
      <c r="I164" s="479"/>
      <c r="J164" s="167"/>
      <c r="K164" s="22"/>
      <c r="L164" s="220"/>
      <c r="M164" s="167"/>
      <c r="N164" s="167"/>
      <c r="O164" s="221"/>
      <c r="P164" s="222"/>
      <c r="Q164" s="223"/>
      <c r="R164" s="22"/>
      <c r="S164" s="224"/>
      <c r="T164" s="225"/>
      <c r="U164" s="174"/>
      <c r="V164" s="174"/>
      <c r="W164" s="190"/>
      <c r="X164" s="213"/>
      <c r="Y164" s="177"/>
      <c r="Z164" s="177"/>
      <c r="AA164" s="190"/>
      <c r="AB164" s="145"/>
      <c r="AC164" s="145"/>
      <c r="AD164" s="214"/>
      <c r="AE164" s="145"/>
      <c r="AF164" s="22"/>
    </row>
    <row r="165" spans="1:32" ht="15.75" customHeight="1" x14ac:dyDescent="0.45">
      <c r="A165" s="22"/>
      <c r="B165" s="22"/>
      <c r="C165" s="22"/>
      <c r="D165" s="164"/>
      <c r="E165" s="22"/>
      <c r="F165" s="165"/>
      <c r="G165" s="22"/>
      <c r="H165" s="22"/>
      <c r="I165" s="479"/>
      <c r="J165" s="167"/>
      <c r="K165" s="22"/>
      <c r="L165" s="220"/>
      <c r="M165" s="167"/>
      <c r="N165" s="167"/>
      <c r="O165" s="221"/>
      <c r="P165" s="222"/>
      <c r="Q165" s="223"/>
      <c r="R165" s="22"/>
      <c r="S165" s="224"/>
      <c r="T165" s="225"/>
      <c r="U165" s="174"/>
      <c r="V165" s="174"/>
      <c r="W165" s="190"/>
      <c r="X165" s="213"/>
      <c r="Y165" s="177"/>
      <c r="Z165" s="177"/>
      <c r="AA165" s="190"/>
      <c r="AB165" s="145"/>
      <c r="AC165" s="145"/>
      <c r="AD165" s="214"/>
      <c r="AE165" s="145"/>
      <c r="AF165" s="22"/>
    </row>
    <row r="166" spans="1:32" ht="15.75" customHeight="1" x14ac:dyDescent="0.45">
      <c r="A166" s="22"/>
      <c r="B166" s="22"/>
      <c r="C166" s="22"/>
      <c r="D166" s="164"/>
      <c r="E166" s="22"/>
      <c r="F166" s="165"/>
      <c r="G166" s="22"/>
      <c r="H166" s="22"/>
      <c r="I166" s="479"/>
      <c r="J166" s="167"/>
      <c r="K166" s="22"/>
      <c r="L166" s="220"/>
      <c r="M166" s="167"/>
      <c r="N166" s="167"/>
      <c r="O166" s="221"/>
      <c r="P166" s="222"/>
      <c r="Q166" s="223"/>
      <c r="R166" s="22"/>
      <c r="S166" s="224"/>
      <c r="T166" s="225"/>
      <c r="U166" s="174"/>
      <c r="V166" s="174"/>
      <c r="W166" s="190"/>
      <c r="X166" s="213"/>
      <c r="Y166" s="177"/>
      <c r="Z166" s="177"/>
      <c r="AA166" s="190"/>
      <c r="AB166" s="145"/>
      <c r="AC166" s="145"/>
      <c r="AD166" s="214"/>
      <c r="AE166" s="145"/>
      <c r="AF166" s="22"/>
    </row>
    <row r="167" spans="1:32" ht="15.75" customHeight="1" x14ac:dyDescent="0.45">
      <c r="A167" s="22"/>
      <c r="B167" s="22"/>
      <c r="C167" s="22"/>
      <c r="D167" s="164"/>
      <c r="E167" s="22"/>
      <c r="F167" s="165"/>
      <c r="G167" s="22"/>
      <c r="H167" s="22"/>
      <c r="I167" s="479"/>
      <c r="J167" s="167"/>
      <c r="K167" s="22"/>
      <c r="L167" s="220"/>
      <c r="M167" s="167"/>
      <c r="N167" s="167"/>
      <c r="O167" s="221"/>
      <c r="P167" s="222"/>
      <c r="Q167" s="223"/>
      <c r="R167" s="22"/>
      <c r="S167" s="224"/>
      <c r="T167" s="225"/>
      <c r="U167" s="174"/>
      <c r="V167" s="174"/>
      <c r="W167" s="190"/>
      <c r="X167" s="213"/>
      <c r="Y167" s="177"/>
      <c r="Z167" s="177"/>
      <c r="AA167" s="190"/>
      <c r="AB167" s="145"/>
      <c r="AC167" s="145"/>
      <c r="AD167" s="214"/>
      <c r="AE167" s="145"/>
      <c r="AF167" s="22"/>
    </row>
    <row r="168" spans="1:32" ht="15.75" customHeight="1" x14ac:dyDescent="0.45">
      <c r="A168" s="22"/>
      <c r="B168" s="22"/>
      <c r="C168" s="22"/>
      <c r="D168" s="164"/>
      <c r="E168" s="22"/>
      <c r="F168" s="165"/>
      <c r="G168" s="22"/>
      <c r="H168" s="22"/>
      <c r="I168" s="479"/>
      <c r="J168" s="167"/>
      <c r="K168" s="22"/>
      <c r="L168" s="220"/>
      <c r="M168" s="167"/>
      <c r="N168" s="167"/>
      <c r="O168" s="221"/>
      <c r="P168" s="222"/>
      <c r="Q168" s="223"/>
      <c r="R168" s="22"/>
      <c r="S168" s="224"/>
      <c r="T168" s="225"/>
      <c r="U168" s="174"/>
      <c r="V168" s="174"/>
      <c r="W168" s="190"/>
      <c r="X168" s="213"/>
      <c r="Y168" s="177"/>
      <c r="Z168" s="177"/>
      <c r="AA168" s="190"/>
      <c r="AB168" s="145"/>
      <c r="AC168" s="145"/>
      <c r="AD168" s="214"/>
      <c r="AE168" s="145"/>
      <c r="AF168" s="22"/>
    </row>
    <row r="169" spans="1:32" ht="15.75" customHeight="1" x14ac:dyDescent="0.45">
      <c r="A169" s="22"/>
      <c r="B169" s="22"/>
      <c r="C169" s="22"/>
      <c r="D169" s="164"/>
      <c r="E169" s="22"/>
      <c r="F169" s="165"/>
      <c r="G169" s="22"/>
      <c r="H169" s="22"/>
      <c r="I169" s="479"/>
      <c r="J169" s="167"/>
      <c r="K169" s="22"/>
      <c r="L169" s="220"/>
      <c r="M169" s="167"/>
      <c r="N169" s="167"/>
      <c r="O169" s="221"/>
      <c r="P169" s="222"/>
      <c r="Q169" s="223"/>
      <c r="R169" s="22"/>
      <c r="S169" s="224"/>
      <c r="T169" s="225"/>
      <c r="U169" s="174"/>
      <c r="V169" s="174"/>
      <c r="W169" s="190"/>
      <c r="X169" s="213"/>
      <c r="Y169" s="177"/>
      <c r="Z169" s="177"/>
      <c r="AA169" s="190"/>
      <c r="AB169" s="145"/>
      <c r="AC169" s="145"/>
      <c r="AD169" s="214"/>
      <c r="AE169" s="145"/>
      <c r="AF169" s="22"/>
    </row>
    <row r="170" spans="1:32" ht="15.75" customHeight="1" x14ac:dyDescent="0.45">
      <c r="A170" s="22"/>
      <c r="B170" s="22"/>
      <c r="C170" s="22"/>
      <c r="D170" s="164"/>
      <c r="E170" s="22"/>
      <c r="F170" s="165"/>
      <c r="G170" s="22"/>
      <c r="H170" s="22"/>
      <c r="I170" s="479"/>
      <c r="J170" s="167"/>
      <c r="K170" s="22"/>
      <c r="L170" s="220"/>
      <c r="M170" s="167"/>
      <c r="N170" s="167"/>
      <c r="O170" s="221"/>
      <c r="P170" s="222"/>
      <c r="Q170" s="223"/>
      <c r="R170" s="22"/>
      <c r="S170" s="224"/>
      <c r="T170" s="225"/>
      <c r="U170" s="174"/>
      <c r="V170" s="174"/>
      <c r="W170" s="190"/>
      <c r="X170" s="213"/>
      <c r="Y170" s="177"/>
      <c r="Z170" s="177"/>
      <c r="AA170" s="190"/>
      <c r="AB170" s="145"/>
      <c r="AC170" s="145"/>
      <c r="AD170" s="214"/>
      <c r="AE170" s="145"/>
      <c r="AF170" s="22"/>
    </row>
    <row r="171" spans="1:32" ht="15.75" customHeight="1" x14ac:dyDescent="0.45">
      <c r="A171" s="22"/>
      <c r="B171" s="22"/>
      <c r="C171" s="22"/>
      <c r="D171" s="164"/>
      <c r="E171" s="22"/>
      <c r="F171" s="165"/>
      <c r="G171" s="22"/>
      <c r="H171" s="22"/>
      <c r="I171" s="479"/>
      <c r="J171" s="167"/>
      <c r="K171" s="22"/>
      <c r="L171" s="220"/>
      <c r="M171" s="167"/>
      <c r="N171" s="167"/>
      <c r="O171" s="221"/>
      <c r="P171" s="222"/>
      <c r="Q171" s="223"/>
      <c r="R171" s="22"/>
      <c r="S171" s="224"/>
      <c r="T171" s="225"/>
      <c r="U171" s="174"/>
      <c r="V171" s="174"/>
      <c r="W171" s="190"/>
      <c r="X171" s="213"/>
      <c r="Y171" s="177"/>
      <c r="Z171" s="177"/>
      <c r="AA171" s="190"/>
      <c r="AB171" s="145"/>
      <c r="AC171" s="145"/>
      <c r="AD171" s="214"/>
      <c r="AE171" s="145"/>
      <c r="AF171" s="22"/>
    </row>
    <row r="172" spans="1:32" ht="15.75" customHeight="1" x14ac:dyDescent="0.45">
      <c r="A172" s="22"/>
      <c r="B172" s="22"/>
      <c r="C172" s="22"/>
      <c r="D172" s="164"/>
      <c r="E172" s="22"/>
      <c r="F172" s="165"/>
      <c r="G172" s="22"/>
      <c r="H172" s="22"/>
      <c r="I172" s="479"/>
      <c r="J172" s="167"/>
      <c r="K172" s="22"/>
      <c r="L172" s="220"/>
      <c r="M172" s="167"/>
      <c r="N172" s="167"/>
      <c r="O172" s="221"/>
      <c r="P172" s="222"/>
      <c r="Q172" s="223"/>
      <c r="R172" s="22"/>
      <c r="S172" s="224"/>
      <c r="T172" s="225"/>
      <c r="U172" s="174"/>
      <c r="V172" s="174"/>
      <c r="W172" s="190"/>
      <c r="X172" s="213"/>
      <c r="Y172" s="177"/>
      <c r="Z172" s="177"/>
      <c r="AA172" s="190"/>
      <c r="AB172" s="145"/>
      <c r="AC172" s="145"/>
      <c r="AD172" s="214"/>
      <c r="AE172" s="145"/>
      <c r="AF172" s="22"/>
    </row>
    <row r="173" spans="1:32" ht="15.75" customHeight="1" x14ac:dyDescent="0.45">
      <c r="A173" s="22"/>
      <c r="B173" s="22"/>
      <c r="C173" s="22"/>
      <c r="D173" s="164"/>
      <c r="E173" s="22"/>
      <c r="F173" s="165"/>
      <c r="G173" s="22"/>
      <c r="H173" s="22"/>
      <c r="I173" s="479"/>
      <c r="J173" s="167"/>
      <c r="K173" s="22"/>
      <c r="L173" s="220"/>
      <c r="M173" s="167"/>
      <c r="N173" s="167"/>
      <c r="O173" s="221"/>
      <c r="P173" s="222"/>
      <c r="Q173" s="223"/>
      <c r="R173" s="22"/>
      <c r="S173" s="224"/>
      <c r="T173" s="225"/>
      <c r="U173" s="174"/>
      <c r="V173" s="174"/>
      <c r="W173" s="190"/>
      <c r="X173" s="213"/>
      <c r="Y173" s="177"/>
      <c r="Z173" s="177"/>
      <c r="AA173" s="190"/>
      <c r="AB173" s="145"/>
      <c r="AC173" s="145"/>
      <c r="AD173" s="214"/>
      <c r="AE173" s="145"/>
      <c r="AF173" s="22"/>
    </row>
    <row r="174" spans="1:32" ht="15.75" customHeight="1" x14ac:dyDescent="0.45">
      <c r="A174" s="22"/>
      <c r="B174" s="22"/>
      <c r="C174" s="22"/>
      <c r="D174" s="164"/>
      <c r="E174" s="22"/>
      <c r="F174" s="165"/>
      <c r="G174" s="22"/>
      <c r="H174" s="22"/>
      <c r="I174" s="479"/>
      <c r="J174" s="167"/>
      <c r="K174" s="22"/>
      <c r="L174" s="220"/>
      <c r="M174" s="167"/>
      <c r="N174" s="167"/>
      <c r="O174" s="221"/>
      <c r="P174" s="222"/>
      <c r="Q174" s="223"/>
      <c r="R174" s="22"/>
      <c r="S174" s="224"/>
      <c r="T174" s="225"/>
      <c r="U174" s="174"/>
      <c r="V174" s="174"/>
      <c r="W174" s="190"/>
      <c r="X174" s="213"/>
      <c r="Y174" s="177"/>
      <c r="Z174" s="177"/>
      <c r="AA174" s="190"/>
      <c r="AB174" s="145"/>
      <c r="AC174" s="145"/>
      <c r="AD174" s="214"/>
      <c r="AE174" s="145"/>
      <c r="AF174" s="22"/>
    </row>
    <row r="175" spans="1:32" ht="15.75" customHeight="1" x14ac:dyDescent="0.45">
      <c r="A175" s="22"/>
      <c r="B175" s="22"/>
      <c r="C175" s="22"/>
      <c r="D175" s="164"/>
      <c r="E175" s="22"/>
      <c r="F175" s="165"/>
      <c r="G175" s="22"/>
      <c r="H175" s="22"/>
      <c r="I175" s="479"/>
      <c r="J175" s="167"/>
      <c r="K175" s="22"/>
      <c r="L175" s="220"/>
      <c r="M175" s="167"/>
      <c r="N175" s="167"/>
      <c r="O175" s="221"/>
      <c r="P175" s="222"/>
      <c r="Q175" s="223"/>
      <c r="R175" s="22"/>
      <c r="S175" s="224"/>
      <c r="T175" s="225"/>
      <c r="U175" s="174"/>
      <c r="V175" s="174"/>
      <c r="W175" s="190"/>
      <c r="X175" s="213"/>
      <c r="Y175" s="177"/>
      <c r="Z175" s="177"/>
      <c r="AA175" s="190"/>
      <c r="AB175" s="145"/>
      <c r="AC175" s="145"/>
      <c r="AD175" s="214"/>
      <c r="AE175" s="145"/>
      <c r="AF175" s="22"/>
    </row>
    <row r="176" spans="1:32" ht="15.75" customHeight="1" x14ac:dyDescent="0.45">
      <c r="A176" s="22"/>
      <c r="B176" s="22"/>
      <c r="C176" s="22"/>
      <c r="D176" s="164"/>
      <c r="E176" s="22"/>
      <c r="F176" s="165"/>
      <c r="G176" s="22"/>
      <c r="H176" s="22"/>
      <c r="I176" s="479"/>
      <c r="J176" s="167"/>
      <c r="K176" s="22"/>
      <c r="L176" s="220"/>
      <c r="M176" s="167"/>
      <c r="N176" s="167"/>
      <c r="O176" s="221"/>
      <c r="P176" s="222"/>
      <c r="Q176" s="223"/>
      <c r="R176" s="22"/>
      <c r="S176" s="224"/>
      <c r="T176" s="225"/>
      <c r="U176" s="174"/>
      <c r="V176" s="174"/>
      <c r="W176" s="190"/>
      <c r="X176" s="213"/>
      <c r="Y176" s="177"/>
      <c r="Z176" s="177"/>
      <c r="AA176" s="190"/>
      <c r="AB176" s="145"/>
      <c r="AC176" s="145"/>
      <c r="AD176" s="214"/>
      <c r="AE176" s="145"/>
      <c r="AF176" s="22"/>
    </row>
    <row r="177" spans="1:32" ht="15.75" customHeight="1" x14ac:dyDescent="0.45">
      <c r="A177" s="22"/>
      <c r="B177" s="22"/>
      <c r="C177" s="22"/>
      <c r="D177" s="164"/>
      <c r="E177" s="22"/>
      <c r="F177" s="165"/>
      <c r="G177" s="22"/>
      <c r="H177" s="22"/>
      <c r="I177" s="479"/>
      <c r="J177" s="167"/>
      <c r="K177" s="22"/>
      <c r="L177" s="220"/>
      <c r="M177" s="167"/>
      <c r="N177" s="167"/>
      <c r="O177" s="221"/>
      <c r="P177" s="222"/>
      <c r="Q177" s="223"/>
      <c r="R177" s="22"/>
      <c r="S177" s="224"/>
      <c r="T177" s="225"/>
      <c r="U177" s="174"/>
      <c r="V177" s="174"/>
      <c r="W177" s="190"/>
      <c r="X177" s="213"/>
      <c r="Y177" s="177"/>
      <c r="Z177" s="177"/>
      <c r="AA177" s="190"/>
      <c r="AB177" s="145"/>
      <c r="AC177" s="145"/>
      <c r="AD177" s="214"/>
      <c r="AE177" s="145"/>
      <c r="AF177" s="22"/>
    </row>
    <row r="178" spans="1:32" ht="15.75" customHeight="1" x14ac:dyDescent="0.45">
      <c r="A178" s="22"/>
      <c r="B178" s="22"/>
      <c r="C178" s="22"/>
      <c r="D178" s="164"/>
      <c r="E178" s="22"/>
      <c r="F178" s="165"/>
      <c r="G178" s="22"/>
      <c r="H178" s="22"/>
      <c r="I178" s="479"/>
      <c r="J178" s="167"/>
      <c r="K178" s="22"/>
      <c r="L178" s="220"/>
      <c r="M178" s="167"/>
      <c r="N178" s="167"/>
      <c r="O178" s="221"/>
      <c r="P178" s="222"/>
      <c r="Q178" s="223"/>
      <c r="R178" s="22"/>
      <c r="S178" s="224"/>
      <c r="T178" s="225"/>
      <c r="U178" s="174"/>
      <c r="V178" s="174"/>
      <c r="W178" s="190"/>
      <c r="X178" s="213"/>
      <c r="Y178" s="177"/>
      <c r="Z178" s="177"/>
      <c r="AA178" s="190"/>
      <c r="AB178" s="145"/>
      <c r="AC178" s="145"/>
      <c r="AD178" s="214"/>
      <c r="AE178" s="145"/>
      <c r="AF178" s="22"/>
    </row>
    <row r="179" spans="1:32" ht="15.75" customHeight="1" x14ac:dyDescent="0.45">
      <c r="A179" s="22"/>
      <c r="B179" s="22"/>
      <c r="C179" s="22"/>
      <c r="D179" s="164"/>
      <c r="E179" s="22"/>
      <c r="F179" s="165"/>
      <c r="G179" s="22"/>
      <c r="H179" s="22"/>
      <c r="I179" s="479"/>
      <c r="J179" s="167"/>
      <c r="K179" s="22"/>
      <c r="L179" s="220"/>
      <c r="M179" s="167"/>
      <c r="N179" s="167"/>
      <c r="O179" s="221"/>
      <c r="P179" s="222"/>
      <c r="Q179" s="223"/>
      <c r="R179" s="22"/>
      <c r="S179" s="224"/>
      <c r="T179" s="225"/>
      <c r="U179" s="174"/>
      <c r="V179" s="174"/>
      <c r="W179" s="190"/>
      <c r="X179" s="213"/>
      <c r="Y179" s="177"/>
      <c r="Z179" s="177"/>
      <c r="AA179" s="190"/>
      <c r="AB179" s="145"/>
      <c r="AC179" s="145"/>
      <c r="AD179" s="214"/>
      <c r="AE179" s="145"/>
      <c r="AF179" s="22"/>
    </row>
    <row r="180" spans="1:32" ht="15.75" customHeight="1" x14ac:dyDescent="0.45">
      <c r="A180" s="22"/>
      <c r="B180" s="22"/>
      <c r="C180" s="22"/>
      <c r="D180" s="164"/>
      <c r="E180" s="22"/>
      <c r="F180" s="165"/>
      <c r="G180" s="22"/>
      <c r="H180" s="22"/>
      <c r="I180" s="479"/>
      <c r="J180" s="167"/>
      <c r="K180" s="22"/>
      <c r="L180" s="220"/>
      <c r="M180" s="167"/>
      <c r="N180" s="167"/>
      <c r="O180" s="221"/>
      <c r="P180" s="222"/>
      <c r="Q180" s="223"/>
      <c r="R180" s="22"/>
      <c r="S180" s="224"/>
      <c r="T180" s="225"/>
      <c r="U180" s="174"/>
      <c r="V180" s="174"/>
      <c r="W180" s="190"/>
      <c r="X180" s="213"/>
      <c r="Y180" s="177"/>
      <c r="Z180" s="177"/>
      <c r="AA180" s="190"/>
      <c r="AB180" s="145"/>
      <c r="AC180" s="145"/>
      <c r="AD180" s="214"/>
      <c r="AE180" s="145"/>
      <c r="AF180" s="22"/>
    </row>
    <row r="181" spans="1:32" ht="15.75" customHeight="1" x14ac:dyDescent="0.45">
      <c r="A181" s="22"/>
      <c r="B181" s="22"/>
      <c r="C181" s="22"/>
      <c r="D181" s="164"/>
      <c r="E181" s="22"/>
      <c r="F181" s="165"/>
      <c r="G181" s="22"/>
      <c r="H181" s="22"/>
      <c r="I181" s="479"/>
      <c r="J181" s="167"/>
      <c r="K181" s="22"/>
      <c r="L181" s="220"/>
      <c r="M181" s="167"/>
      <c r="N181" s="167"/>
      <c r="O181" s="221"/>
      <c r="P181" s="222"/>
      <c r="Q181" s="223"/>
      <c r="R181" s="22"/>
      <c r="S181" s="224"/>
      <c r="T181" s="225"/>
      <c r="U181" s="174"/>
      <c r="V181" s="174"/>
      <c r="W181" s="190"/>
      <c r="X181" s="213"/>
      <c r="Y181" s="177"/>
      <c r="Z181" s="177"/>
      <c r="AA181" s="190"/>
      <c r="AB181" s="145"/>
      <c r="AC181" s="145"/>
      <c r="AD181" s="214"/>
      <c r="AE181" s="145"/>
      <c r="AF181" s="22"/>
    </row>
    <row r="182" spans="1:32" ht="15.75" customHeight="1" x14ac:dyDescent="0.45">
      <c r="A182" s="22"/>
      <c r="B182" s="22"/>
      <c r="C182" s="22"/>
      <c r="D182" s="164"/>
      <c r="E182" s="22"/>
      <c r="F182" s="165"/>
      <c r="G182" s="22"/>
      <c r="H182" s="22"/>
      <c r="I182" s="479"/>
      <c r="J182" s="167"/>
      <c r="K182" s="22"/>
      <c r="L182" s="220"/>
      <c r="M182" s="167"/>
      <c r="N182" s="167"/>
      <c r="O182" s="221"/>
      <c r="P182" s="222"/>
      <c r="Q182" s="223"/>
      <c r="R182" s="22"/>
      <c r="S182" s="224"/>
      <c r="T182" s="225"/>
      <c r="U182" s="174"/>
      <c r="V182" s="174"/>
      <c r="W182" s="190"/>
      <c r="X182" s="213"/>
      <c r="Y182" s="177"/>
      <c r="Z182" s="177"/>
      <c r="AA182" s="190"/>
      <c r="AB182" s="145"/>
      <c r="AC182" s="145"/>
      <c r="AD182" s="214"/>
      <c r="AE182" s="145"/>
      <c r="AF182" s="22"/>
    </row>
    <row r="183" spans="1:32" ht="15.75" customHeight="1" x14ac:dyDescent="0.45">
      <c r="A183" s="22"/>
      <c r="B183" s="22"/>
      <c r="C183" s="22"/>
      <c r="D183" s="164"/>
      <c r="E183" s="22"/>
      <c r="F183" s="165"/>
      <c r="G183" s="22"/>
      <c r="H183" s="22"/>
      <c r="I183" s="479"/>
      <c r="J183" s="167"/>
      <c r="K183" s="22"/>
      <c r="L183" s="220"/>
      <c r="M183" s="167"/>
      <c r="N183" s="167"/>
      <c r="O183" s="221"/>
      <c r="P183" s="222"/>
      <c r="Q183" s="223"/>
      <c r="R183" s="22"/>
      <c r="S183" s="224"/>
      <c r="T183" s="225"/>
      <c r="U183" s="174"/>
      <c r="V183" s="174"/>
      <c r="W183" s="190"/>
      <c r="X183" s="213"/>
      <c r="Y183" s="177"/>
      <c r="Z183" s="177"/>
      <c r="AA183" s="190"/>
      <c r="AB183" s="145"/>
      <c r="AC183" s="145"/>
      <c r="AD183" s="214"/>
      <c r="AE183" s="145"/>
      <c r="AF183" s="22"/>
    </row>
    <row r="184" spans="1:32" ht="15.75" customHeight="1" x14ac:dyDescent="0.45">
      <c r="A184" s="22"/>
      <c r="B184" s="22"/>
      <c r="C184" s="22"/>
      <c r="D184" s="164"/>
      <c r="E184" s="22"/>
      <c r="F184" s="165"/>
      <c r="G184" s="22"/>
      <c r="H184" s="22"/>
      <c r="I184" s="479"/>
      <c r="J184" s="167"/>
      <c r="K184" s="22"/>
      <c r="L184" s="220"/>
      <c r="M184" s="167"/>
      <c r="N184" s="167"/>
      <c r="O184" s="221"/>
      <c r="P184" s="222"/>
      <c r="Q184" s="223"/>
      <c r="R184" s="22"/>
      <c r="S184" s="224"/>
      <c r="T184" s="225"/>
      <c r="U184" s="174"/>
      <c r="V184" s="174"/>
      <c r="W184" s="190"/>
      <c r="X184" s="213"/>
      <c r="Y184" s="177"/>
      <c r="Z184" s="177"/>
      <c r="AA184" s="190"/>
      <c r="AB184" s="145"/>
      <c r="AC184" s="145"/>
      <c r="AD184" s="214"/>
      <c r="AE184" s="145"/>
      <c r="AF184" s="22"/>
    </row>
    <row r="185" spans="1:32" ht="15.75" customHeight="1" x14ac:dyDescent="0.45">
      <c r="A185" s="22"/>
      <c r="B185" s="22"/>
      <c r="C185" s="22"/>
      <c r="D185" s="164"/>
      <c r="E185" s="22"/>
      <c r="F185" s="165"/>
      <c r="G185" s="22"/>
      <c r="H185" s="22"/>
      <c r="I185" s="479"/>
      <c r="J185" s="167"/>
      <c r="K185" s="22"/>
      <c r="L185" s="220"/>
      <c r="M185" s="167"/>
      <c r="N185" s="167"/>
      <c r="O185" s="221"/>
      <c r="P185" s="222"/>
      <c r="Q185" s="223"/>
      <c r="R185" s="22"/>
      <c r="S185" s="224"/>
      <c r="T185" s="225"/>
      <c r="U185" s="174"/>
      <c r="V185" s="174"/>
      <c r="W185" s="190"/>
      <c r="X185" s="213"/>
      <c r="Y185" s="177"/>
      <c r="Z185" s="177"/>
      <c r="AA185" s="190"/>
      <c r="AB185" s="145"/>
      <c r="AC185" s="145"/>
      <c r="AD185" s="214"/>
      <c r="AE185" s="145"/>
      <c r="AF185" s="22"/>
    </row>
    <row r="186" spans="1:32" ht="15.75" customHeight="1" x14ac:dyDescent="0.45">
      <c r="A186" s="22"/>
      <c r="B186" s="22"/>
      <c r="C186" s="22"/>
      <c r="D186" s="164"/>
      <c r="E186" s="22"/>
      <c r="F186" s="165"/>
      <c r="G186" s="22"/>
      <c r="H186" s="22"/>
      <c r="I186" s="479"/>
      <c r="J186" s="167"/>
      <c r="K186" s="22"/>
      <c r="L186" s="220"/>
      <c r="M186" s="167"/>
      <c r="N186" s="167"/>
      <c r="O186" s="221"/>
      <c r="P186" s="222"/>
      <c r="Q186" s="223"/>
      <c r="R186" s="22"/>
      <c r="S186" s="224"/>
      <c r="T186" s="225"/>
      <c r="U186" s="174"/>
      <c r="V186" s="174"/>
      <c r="W186" s="190"/>
      <c r="X186" s="213"/>
      <c r="Y186" s="177"/>
      <c r="Z186" s="177"/>
      <c r="AA186" s="190"/>
      <c r="AB186" s="145"/>
      <c r="AC186" s="145"/>
      <c r="AD186" s="214"/>
      <c r="AE186" s="145"/>
      <c r="AF186" s="22"/>
    </row>
    <row r="187" spans="1:32" ht="15.75" customHeight="1" x14ac:dyDescent="0.45">
      <c r="A187" s="22"/>
      <c r="B187" s="22"/>
      <c r="C187" s="22"/>
      <c r="D187" s="164"/>
      <c r="E187" s="22"/>
      <c r="F187" s="165"/>
      <c r="G187" s="22"/>
      <c r="H187" s="22"/>
      <c r="I187" s="479"/>
      <c r="J187" s="167"/>
      <c r="K187" s="22"/>
      <c r="L187" s="220"/>
      <c r="M187" s="167"/>
      <c r="N187" s="167"/>
      <c r="O187" s="221"/>
      <c r="P187" s="222"/>
      <c r="Q187" s="223"/>
      <c r="R187" s="22"/>
      <c r="S187" s="224"/>
      <c r="T187" s="225"/>
      <c r="U187" s="174"/>
      <c r="V187" s="174"/>
      <c r="W187" s="190"/>
      <c r="X187" s="213"/>
      <c r="Y187" s="177"/>
      <c r="Z187" s="177"/>
      <c r="AA187" s="190"/>
      <c r="AB187" s="145"/>
      <c r="AC187" s="145"/>
      <c r="AD187" s="214"/>
      <c r="AE187" s="145"/>
      <c r="AF187" s="22"/>
    </row>
    <row r="188" spans="1:32" ht="15.75" customHeight="1" x14ac:dyDescent="0.45">
      <c r="A188" s="22"/>
      <c r="B188" s="22"/>
      <c r="C188" s="22"/>
      <c r="D188" s="164"/>
      <c r="E188" s="22"/>
      <c r="F188" s="165"/>
      <c r="G188" s="22"/>
      <c r="H188" s="22"/>
      <c r="I188" s="479"/>
      <c r="J188" s="167"/>
      <c r="K188" s="22"/>
      <c r="L188" s="220"/>
      <c r="M188" s="167"/>
      <c r="N188" s="167"/>
      <c r="O188" s="221"/>
      <c r="P188" s="222"/>
      <c r="Q188" s="223"/>
      <c r="R188" s="22"/>
      <c r="S188" s="224"/>
      <c r="T188" s="225"/>
      <c r="U188" s="174"/>
      <c r="V188" s="174"/>
      <c r="W188" s="190"/>
      <c r="X188" s="213"/>
      <c r="Y188" s="177"/>
      <c r="Z188" s="177"/>
      <c r="AA188" s="190"/>
      <c r="AB188" s="145"/>
      <c r="AC188" s="145"/>
      <c r="AD188" s="214"/>
      <c r="AE188" s="145"/>
      <c r="AF188" s="22"/>
    </row>
    <row r="189" spans="1:32" ht="15.75" customHeight="1" x14ac:dyDescent="0.45">
      <c r="A189" s="22"/>
      <c r="B189" s="22"/>
      <c r="C189" s="22"/>
      <c r="D189" s="164"/>
      <c r="E189" s="22"/>
      <c r="F189" s="165"/>
      <c r="G189" s="22"/>
      <c r="H189" s="22"/>
      <c r="I189" s="479"/>
      <c r="J189" s="167"/>
      <c r="K189" s="22"/>
      <c r="L189" s="220"/>
      <c r="M189" s="167"/>
      <c r="N189" s="167"/>
      <c r="O189" s="221"/>
      <c r="P189" s="222"/>
      <c r="Q189" s="223"/>
      <c r="R189" s="22"/>
      <c r="S189" s="224"/>
      <c r="T189" s="225"/>
      <c r="U189" s="174"/>
      <c r="V189" s="174"/>
      <c r="W189" s="190"/>
      <c r="X189" s="213"/>
      <c r="Y189" s="177"/>
      <c r="Z189" s="177"/>
      <c r="AA189" s="190"/>
      <c r="AB189" s="145"/>
      <c r="AC189" s="145"/>
      <c r="AD189" s="214"/>
      <c r="AE189" s="145"/>
      <c r="AF189" s="22"/>
    </row>
    <row r="190" spans="1:32" ht="15.75" customHeight="1" x14ac:dyDescent="0.45">
      <c r="A190" s="22"/>
      <c r="B190" s="22"/>
      <c r="C190" s="22"/>
      <c r="D190" s="164"/>
      <c r="E190" s="22"/>
      <c r="F190" s="165"/>
      <c r="G190" s="22"/>
      <c r="H190" s="22"/>
      <c r="I190" s="479"/>
      <c r="J190" s="167"/>
      <c r="K190" s="22"/>
      <c r="L190" s="220"/>
      <c r="M190" s="167"/>
      <c r="N190" s="167"/>
      <c r="O190" s="221"/>
      <c r="P190" s="222"/>
      <c r="Q190" s="223"/>
      <c r="R190" s="22"/>
      <c r="S190" s="224"/>
      <c r="T190" s="225"/>
      <c r="U190" s="174"/>
      <c r="V190" s="174"/>
      <c r="W190" s="190"/>
      <c r="X190" s="213"/>
      <c r="Y190" s="177"/>
      <c r="Z190" s="177"/>
      <c r="AA190" s="190"/>
      <c r="AB190" s="145"/>
      <c r="AC190" s="145"/>
      <c r="AD190" s="214"/>
      <c r="AE190" s="145"/>
      <c r="AF190" s="22"/>
    </row>
    <row r="191" spans="1:32" ht="15.75" customHeight="1" x14ac:dyDescent="0.45">
      <c r="A191" s="22"/>
      <c r="B191" s="22"/>
      <c r="C191" s="22"/>
      <c r="D191" s="164"/>
      <c r="E191" s="22"/>
      <c r="F191" s="165"/>
      <c r="G191" s="22"/>
      <c r="H191" s="22"/>
      <c r="I191" s="479"/>
      <c r="J191" s="167"/>
      <c r="K191" s="22"/>
      <c r="L191" s="220"/>
      <c r="M191" s="167"/>
      <c r="N191" s="167"/>
      <c r="O191" s="221"/>
      <c r="P191" s="222"/>
      <c r="Q191" s="223"/>
      <c r="R191" s="22"/>
      <c r="S191" s="224"/>
      <c r="T191" s="225"/>
      <c r="U191" s="174"/>
      <c r="V191" s="174"/>
      <c r="W191" s="190"/>
      <c r="X191" s="213"/>
      <c r="Y191" s="177"/>
      <c r="Z191" s="177"/>
      <c r="AA191" s="190"/>
      <c r="AB191" s="145"/>
      <c r="AC191" s="145"/>
      <c r="AD191" s="214"/>
      <c r="AE191" s="145"/>
      <c r="AF191" s="22"/>
    </row>
    <row r="192" spans="1:32" ht="15.75" customHeight="1" x14ac:dyDescent="0.45">
      <c r="A192" s="22"/>
      <c r="B192" s="22"/>
      <c r="C192" s="22"/>
      <c r="D192" s="164"/>
      <c r="E192" s="22"/>
      <c r="F192" s="165"/>
      <c r="G192" s="22"/>
      <c r="H192" s="22"/>
      <c r="I192" s="479"/>
      <c r="J192" s="167"/>
      <c r="K192" s="22"/>
      <c r="L192" s="220"/>
      <c r="M192" s="167"/>
      <c r="N192" s="167"/>
      <c r="O192" s="221"/>
      <c r="P192" s="222"/>
      <c r="Q192" s="223"/>
      <c r="R192" s="22"/>
      <c r="S192" s="224"/>
      <c r="T192" s="225"/>
      <c r="U192" s="174"/>
      <c r="V192" s="174"/>
      <c r="W192" s="190"/>
      <c r="X192" s="213"/>
      <c r="Y192" s="177"/>
      <c r="Z192" s="177"/>
      <c r="AA192" s="190"/>
      <c r="AB192" s="145"/>
      <c r="AC192" s="145"/>
      <c r="AD192" s="214"/>
      <c r="AE192" s="145"/>
      <c r="AF192" s="22"/>
    </row>
    <row r="193" spans="1:32" ht="15.75" customHeight="1" x14ac:dyDescent="0.45">
      <c r="A193" s="22"/>
      <c r="B193" s="22"/>
      <c r="C193" s="22"/>
      <c r="D193" s="164"/>
      <c r="E193" s="22"/>
      <c r="F193" s="165"/>
      <c r="G193" s="22"/>
      <c r="H193" s="22"/>
      <c r="I193" s="479"/>
      <c r="J193" s="167"/>
      <c r="K193" s="22"/>
      <c r="L193" s="220"/>
      <c r="M193" s="167"/>
      <c r="N193" s="167"/>
      <c r="O193" s="221"/>
      <c r="P193" s="222"/>
      <c r="Q193" s="223"/>
      <c r="R193" s="22"/>
      <c r="S193" s="224"/>
      <c r="T193" s="225"/>
      <c r="U193" s="174"/>
      <c r="V193" s="174"/>
      <c r="W193" s="190"/>
      <c r="X193" s="213"/>
      <c r="Y193" s="177"/>
      <c r="Z193" s="177"/>
      <c r="AA193" s="190"/>
      <c r="AB193" s="145"/>
      <c r="AC193" s="145"/>
      <c r="AD193" s="214"/>
      <c r="AE193" s="145"/>
      <c r="AF193" s="22"/>
    </row>
    <row r="194" spans="1:32" ht="15.75" customHeight="1" x14ac:dyDescent="0.45">
      <c r="A194" s="22"/>
      <c r="B194" s="22"/>
      <c r="C194" s="22"/>
      <c r="D194" s="164"/>
      <c r="E194" s="22"/>
      <c r="F194" s="165"/>
      <c r="G194" s="22"/>
      <c r="H194" s="22"/>
      <c r="I194" s="479"/>
      <c r="J194" s="167"/>
      <c r="K194" s="22"/>
      <c r="L194" s="220"/>
      <c r="M194" s="167"/>
      <c r="N194" s="167"/>
      <c r="O194" s="221"/>
      <c r="P194" s="222"/>
      <c r="Q194" s="223"/>
      <c r="R194" s="22"/>
      <c r="S194" s="224"/>
      <c r="T194" s="225"/>
      <c r="U194" s="174"/>
      <c r="V194" s="174"/>
      <c r="W194" s="190"/>
      <c r="X194" s="213"/>
      <c r="Y194" s="177"/>
      <c r="Z194" s="177"/>
      <c r="AA194" s="190"/>
      <c r="AB194" s="145"/>
      <c r="AC194" s="145"/>
      <c r="AD194" s="214"/>
      <c r="AE194" s="145"/>
      <c r="AF194" s="22"/>
    </row>
    <row r="195" spans="1:32" ht="15.75" customHeight="1" x14ac:dyDescent="0.45">
      <c r="A195" s="22"/>
      <c r="B195" s="22"/>
      <c r="C195" s="22"/>
      <c r="D195" s="164"/>
      <c r="E195" s="22"/>
      <c r="F195" s="165"/>
      <c r="G195" s="22"/>
      <c r="H195" s="22"/>
      <c r="I195" s="479"/>
      <c r="J195" s="167"/>
      <c r="K195" s="22"/>
      <c r="L195" s="220"/>
      <c r="M195" s="167"/>
      <c r="N195" s="167"/>
      <c r="O195" s="221"/>
      <c r="P195" s="222"/>
      <c r="Q195" s="223"/>
      <c r="R195" s="22"/>
      <c r="S195" s="224"/>
      <c r="T195" s="225"/>
      <c r="U195" s="174"/>
      <c r="V195" s="174"/>
      <c r="W195" s="190"/>
      <c r="X195" s="213"/>
      <c r="Y195" s="177"/>
      <c r="Z195" s="177"/>
      <c r="AA195" s="190"/>
      <c r="AB195" s="145"/>
      <c r="AC195" s="145"/>
      <c r="AD195" s="214"/>
      <c r="AE195" s="145"/>
      <c r="AF195" s="22"/>
    </row>
    <row r="196" spans="1:32" ht="15.75" customHeight="1" x14ac:dyDescent="0.45">
      <c r="A196" s="22"/>
      <c r="B196" s="22"/>
      <c r="C196" s="22"/>
      <c r="D196" s="164"/>
      <c r="E196" s="22"/>
      <c r="F196" s="165"/>
      <c r="G196" s="22"/>
      <c r="H196" s="22"/>
      <c r="I196" s="479"/>
      <c r="J196" s="167"/>
      <c r="K196" s="22"/>
      <c r="L196" s="220"/>
      <c r="M196" s="167"/>
      <c r="N196" s="167"/>
      <c r="O196" s="221"/>
      <c r="P196" s="222"/>
      <c r="Q196" s="223"/>
      <c r="R196" s="22"/>
      <c r="S196" s="224"/>
      <c r="T196" s="225"/>
      <c r="U196" s="174"/>
      <c r="V196" s="174"/>
      <c r="W196" s="190"/>
      <c r="X196" s="213"/>
      <c r="Y196" s="177"/>
      <c r="Z196" s="177"/>
      <c r="AA196" s="190"/>
      <c r="AB196" s="145"/>
      <c r="AC196" s="145"/>
      <c r="AD196" s="214"/>
      <c r="AE196" s="145"/>
      <c r="AF196" s="22"/>
    </row>
    <row r="197" spans="1:32" ht="15.75" customHeight="1" x14ac:dyDescent="0.45">
      <c r="A197" s="22"/>
      <c r="B197" s="22"/>
      <c r="C197" s="22"/>
      <c r="D197" s="164"/>
      <c r="E197" s="22"/>
      <c r="F197" s="165"/>
      <c r="G197" s="22"/>
      <c r="H197" s="22"/>
      <c r="I197" s="479"/>
      <c r="J197" s="167"/>
      <c r="K197" s="22"/>
      <c r="L197" s="220"/>
      <c r="M197" s="167"/>
      <c r="N197" s="167"/>
      <c r="O197" s="221"/>
      <c r="P197" s="222"/>
      <c r="Q197" s="223"/>
      <c r="R197" s="22"/>
      <c r="S197" s="224"/>
      <c r="T197" s="225"/>
      <c r="U197" s="174"/>
      <c r="V197" s="174"/>
      <c r="W197" s="190"/>
      <c r="X197" s="213"/>
      <c r="Y197" s="177"/>
      <c r="Z197" s="177"/>
      <c r="AA197" s="190"/>
      <c r="AB197" s="145"/>
      <c r="AC197" s="145"/>
      <c r="AD197" s="214"/>
      <c r="AE197" s="145"/>
      <c r="AF197" s="22"/>
    </row>
    <row r="198" spans="1:32" ht="15.75" customHeight="1" x14ac:dyDescent="0.45">
      <c r="A198" s="22"/>
      <c r="B198" s="22"/>
      <c r="C198" s="22"/>
      <c r="D198" s="164"/>
      <c r="E198" s="22"/>
      <c r="F198" s="165"/>
      <c r="G198" s="22"/>
      <c r="H198" s="22"/>
      <c r="I198" s="479"/>
      <c r="J198" s="167"/>
      <c r="K198" s="22"/>
      <c r="L198" s="220"/>
      <c r="M198" s="167"/>
      <c r="N198" s="167"/>
      <c r="O198" s="221"/>
      <c r="P198" s="222"/>
      <c r="Q198" s="223"/>
      <c r="R198" s="22"/>
      <c r="S198" s="224"/>
      <c r="T198" s="225"/>
      <c r="U198" s="174"/>
      <c r="V198" s="174"/>
      <c r="W198" s="190"/>
      <c r="X198" s="213"/>
      <c r="Y198" s="177"/>
      <c r="Z198" s="177"/>
      <c r="AA198" s="190"/>
      <c r="AB198" s="145"/>
      <c r="AC198" s="145"/>
      <c r="AD198" s="214"/>
      <c r="AE198" s="145"/>
      <c r="AF198" s="22"/>
    </row>
    <row r="199" spans="1:32" ht="15.75" customHeight="1" x14ac:dyDescent="0.45">
      <c r="A199" s="22"/>
      <c r="B199" s="22"/>
      <c r="C199" s="22"/>
      <c r="D199" s="164"/>
      <c r="E199" s="22"/>
      <c r="F199" s="165"/>
      <c r="G199" s="22"/>
      <c r="H199" s="22"/>
      <c r="I199" s="479"/>
      <c r="J199" s="167"/>
      <c r="K199" s="22"/>
      <c r="L199" s="220"/>
      <c r="M199" s="167"/>
      <c r="N199" s="167"/>
      <c r="O199" s="221"/>
      <c r="P199" s="222"/>
      <c r="Q199" s="223"/>
      <c r="R199" s="22"/>
      <c r="S199" s="224"/>
      <c r="T199" s="225"/>
      <c r="U199" s="174"/>
      <c r="V199" s="174"/>
      <c r="W199" s="190"/>
      <c r="X199" s="213"/>
      <c r="Y199" s="177"/>
      <c r="Z199" s="177"/>
      <c r="AA199" s="190"/>
      <c r="AB199" s="145"/>
      <c r="AC199" s="145"/>
      <c r="AD199" s="214"/>
      <c r="AE199" s="145"/>
      <c r="AF199" s="22"/>
    </row>
    <row r="200" spans="1:32" ht="15.75" customHeight="1" x14ac:dyDescent="0.45">
      <c r="A200" s="22"/>
      <c r="B200" s="22"/>
      <c r="C200" s="22"/>
      <c r="D200" s="164"/>
      <c r="E200" s="22"/>
      <c r="F200" s="165"/>
      <c r="G200" s="22"/>
      <c r="H200" s="22"/>
      <c r="I200" s="479"/>
      <c r="J200" s="167"/>
      <c r="K200" s="22"/>
      <c r="L200" s="220"/>
      <c r="M200" s="167"/>
      <c r="N200" s="167"/>
      <c r="O200" s="221"/>
      <c r="P200" s="222"/>
      <c r="Q200" s="223"/>
      <c r="R200" s="22"/>
      <c r="S200" s="224"/>
      <c r="T200" s="225"/>
      <c r="U200" s="174"/>
      <c r="V200" s="174"/>
      <c r="W200" s="190"/>
      <c r="X200" s="213"/>
      <c r="Y200" s="177"/>
      <c r="Z200" s="177"/>
      <c r="AA200" s="190"/>
      <c r="AB200" s="145"/>
      <c r="AC200" s="145"/>
      <c r="AD200" s="214"/>
      <c r="AE200" s="145"/>
      <c r="AF200" s="22"/>
    </row>
    <row r="201" spans="1:32" ht="15.75" customHeight="1" x14ac:dyDescent="0.45">
      <c r="A201" s="22"/>
      <c r="B201" s="22"/>
      <c r="C201" s="22"/>
      <c r="D201" s="164"/>
      <c r="E201" s="22"/>
      <c r="F201" s="165"/>
      <c r="G201" s="22"/>
      <c r="H201" s="22"/>
      <c r="I201" s="479"/>
      <c r="J201" s="167"/>
      <c r="K201" s="22"/>
      <c r="L201" s="220"/>
      <c r="M201" s="167"/>
      <c r="N201" s="167"/>
      <c r="O201" s="221"/>
      <c r="P201" s="222"/>
      <c r="Q201" s="223"/>
      <c r="R201" s="22"/>
      <c r="S201" s="224"/>
      <c r="T201" s="225"/>
      <c r="U201" s="174"/>
      <c r="V201" s="174"/>
      <c r="W201" s="190"/>
      <c r="X201" s="213"/>
      <c r="Y201" s="177"/>
      <c r="Z201" s="177"/>
      <c r="AA201" s="190"/>
      <c r="AB201" s="145"/>
      <c r="AC201" s="145"/>
      <c r="AD201" s="214"/>
      <c r="AE201" s="145"/>
      <c r="AF201" s="22"/>
    </row>
    <row r="202" spans="1:32" ht="15.75" customHeight="1" x14ac:dyDescent="0.45">
      <c r="A202" s="22"/>
      <c r="B202" s="22"/>
      <c r="C202" s="22"/>
      <c r="D202" s="164"/>
      <c r="E202" s="22"/>
      <c r="F202" s="165"/>
      <c r="G202" s="22"/>
      <c r="H202" s="22"/>
      <c r="I202" s="479"/>
      <c r="J202" s="167"/>
      <c r="K202" s="22"/>
      <c r="L202" s="220"/>
      <c r="M202" s="167"/>
      <c r="N202" s="167"/>
      <c r="O202" s="221"/>
      <c r="P202" s="222"/>
      <c r="Q202" s="223"/>
      <c r="R202" s="22"/>
      <c r="S202" s="224"/>
      <c r="T202" s="225"/>
      <c r="U202" s="174"/>
      <c r="V202" s="174"/>
      <c r="W202" s="190"/>
      <c r="X202" s="213"/>
      <c r="Y202" s="177"/>
      <c r="Z202" s="177"/>
      <c r="AA202" s="190"/>
      <c r="AB202" s="145"/>
      <c r="AC202" s="145"/>
      <c r="AD202" s="214"/>
      <c r="AE202" s="145"/>
      <c r="AF202" s="22"/>
    </row>
    <row r="203" spans="1:32" ht="15.75" customHeight="1" x14ac:dyDescent="0.45">
      <c r="A203" s="22"/>
      <c r="B203" s="22"/>
      <c r="C203" s="22"/>
      <c r="D203" s="164"/>
      <c r="E203" s="22"/>
      <c r="F203" s="165"/>
      <c r="G203" s="22"/>
      <c r="H203" s="22"/>
      <c r="I203" s="479"/>
      <c r="J203" s="167"/>
      <c r="K203" s="22"/>
      <c r="L203" s="220"/>
      <c r="M203" s="167"/>
      <c r="N203" s="167"/>
      <c r="O203" s="221"/>
      <c r="P203" s="222"/>
      <c r="Q203" s="223"/>
      <c r="R203" s="22"/>
      <c r="S203" s="224"/>
      <c r="T203" s="225"/>
      <c r="U203" s="174"/>
      <c r="V203" s="174"/>
      <c r="W203" s="190"/>
      <c r="X203" s="213"/>
      <c r="Y203" s="177"/>
      <c r="Z203" s="177"/>
      <c r="AA203" s="190"/>
      <c r="AB203" s="145"/>
      <c r="AC203" s="145"/>
      <c r="AD203" s="214"/>
      <c r="AE203" s="145"/>
      <c r="AF203" s="22"/>
    </row>
    <row r="204" spans="1:32" ht="15.75" customHeight="1" x14ac:dyDescent="0.45">
      <c r="A204" s="22"/>
      <c r="B204" s="22"/>
      <c r="C204" s="22"/>
      <c r="D204" s="164"/>
      <c r="E204" s="22"/>
      <c r="F204" s="165"/>
      <c r="G204" s="22"/>
      <c r="H204" s="22"/>
      <c r="I204" s="479"/>
      <c r="J204" s="167"/>
      <c r="K204" s="22"/>
      <c r="L204" s="220"/>
      <c r="M204" s="167"/>
      <c r="N204" s="167"/>
      <c r="O204" s="221"/>
      <c r="P204" s="222"/>
      <c r="Q204" s="223"/>
      <c r="R204" s="22"/>
      <c r="S204" s="224"/>
      <c r="T204" s="225"/>
      <c r="U204" s="174"/>
      <c r="V204" s="174"/>
      <c r="W204" s="190"/>
      <c r="X204" s="213"/>
      <c r="Y204" s="177"/>
      <c r="Z204" s="177"/>
      <c r="AA204" s="190"/>
      <c r="AB204" s="145"/>
      <c r="AC204" s="145"/>
      <c r="AD204" s="214"/>
      <c r="AE204" s="145"/>
      <c r="AF204" s="22"/>
    </row>
    <row r="205" spans="1:32" ht="15.75" customHeight="1" x14ac:dyDescent="0.45">
      <c r="A205" s="22"/>
      <c r="B205" s="22"/>
      <c r="C205" s="22"/>
      <c r="D205" s="164"/>
      <c r="E205" s="22"/>
      <c r="F205" s="165"/>
      <c r="G205" s="22"/>
      <c r="H205" s="22"/>
      <c r="I205" s="479"/>
      <c r="J205" s="167"/>
      <c r="K205" s="22"/>
      <c r="L205" s="220"/>
      <c r="M205" s="167"/>
      <c r="N205" s="167"/>
      <c r="O205" s="221"/>
      <c r="P205" s="222"/>
      <c r="Q205" s="223"/>
      <c r="R205" s="22"/>
      <c r="S205" s="224"/>
      <c r="T205" s="225"/>
      <c r="U205" s="174"/>
      <c r="V205" s="174"/>
      <c r="W205" s="190"/>
      <c r="X205" s="213"/>
      <c r="Y205" s="177"/>
      <c r="Z205" s="177"/>
      <c r="AA205" s="190"/>
      <c r="AB205" s="145"/>
      <c r="AC205" s="145"/>
      <c r="AD205" s="214"/>
      <c r="AE205" s="145"/>
      <c r="AF205" s="22"/>
    </row>
    <row r="206" spans="1:32" ht="15.75" customHeight="1" x14ac:dyDescent="0.45">
      <c r="A206" s="22"/>
      <c r="B206" s="22"/>
      <c r="C206" s="22"/>
      <c r="D206" s="164"/>
      <c r="E206" s="22"/>
      <c r="F206" s="165"/>
      <c r="G206" s="22"/>
      <c r="H206" s="22"/>
      <c r="I206" s="479"/>
      <c r="J206" s="167"/>
      <c r="K206" s="22"/>
      <c r="L206" s="220"/>
      <c r="M206" s="167"/>
      <c r="N206" s="167"/>
      <c r="O206" s="221"/>
      <c r="P206" s="222"/>
      <c r="Q206" s="223"/>
      <c r="R206" s="22"/>
      <c r="S206" s="224"/>
      <c r="T206" s="225"/>
      <c r="U206" s="174"/>
      <c r="V206" s="174"/>
      <c r="W206" s="190"/>
      <c r="X206" s="213"/>
      <c r="Y206" s="177"/>
      <c r="Z206" s="177"/>
      <c r="AA206" s="190"/>
      <c r="AB206" s="145"/>
      <c r="AC206" s="145"/>
      <c r="AD206" s="214"/>
      <c r="AE206" s="145"/>
      <c r="AF206" s="22"/>
    </row>
    <row r="207" spans="1:32" ht="15.75" customHeight="1" x14ac:dyDescent="0.45">
      <c r="A207" s="22"/>
      <c r="B207" s="22"/>
      <c r="C207" s="22"/>
      <c r="D207" s="164"/>
      <c r="E207" s="22"/>
      <c r="F207" s="165"/>
      <c r="G207" s="22"/>
      <c r="H207" s="22"/>
      <c r="I207" s="479"/>
      <c r="J207" s="167"/>
      <c r="K207" s="22"/>
      <c r="L207" s="220"/>
      <c r="M207" s="167"/>
      <c r="N207" s="167"/>
      <c r="O207" s="221"/>
      <c r="P207" s="222"/>
      <c r="Q207" s="223"/>
      <c r="R207" s="22"/>
      <c r="S207" s="224"/>
      <c r="T207" s="225"/>
      <c r="U207" s="174"/>
      <c r="V207" s="174"/>
      <c r="W207" s="190"/>
      <c r="X207" s="213"/>
      <c r="Y207" s="177"/>
      <c r="Z207" s="177"/>
      <c r="AA207" s="190"/>
      <c r="AB207" s="145"/>
      <c r="AC207" s="145"/>
      <c r="AD207" s="214"/>
      <c r="AE207" s="145"/>
      <c r="AF207" s="22"/>
    </row>
    <row r="208" spans="1:32" ht="15.75" customHeight="1" x14ac:dyDescent="0.45">
      <c r="A208" s="22"/>
      <c r="B208" s="22"/>
      <c r="C208" s="22"/>
      <c r="D208" s="164"/>
      <c r="E208" s="22"/>
      <c r="F208" s="165"/>
      <c r="G208" s="22"/>
      <c r="H208" s="22"/>
      <c r="I208" s="479"/>
      <c r="J208" s="167"/>
      <c r="K208" s="22"/>
      <c r="L208" s="220"/>
      <c r="M208" s="167"/>
      <c r="N208" s="167"/>
      <c r="O208" s="221"/>
      <c r="P208" s="222"/>
      <c r="Q208" s="223"/>
      <c r="R208" s="22"/>
      <c r="S208" s="224"/>
      <c r="T208" s="225"/>
      <c r="U208" s="174"/>
      <c r="V208" s="174"/>
      <c r="W208" s="190"/>
      <c r="X208" s="213"/>
      <c r="Y208" s="177"/>
      <c r="Z208" s="177"/>
      <c r="AA208" s="190"/>
      <c r="AB208" s="145"/>
      <c r="AC208" s="145"/>
      <c r="AD208" s="214"/>
      <c r="AE208" s="145"/>
      <c r="AF208" s="22"/>
    </row>
    <row r="209" spans="1:32" ht="15.75" customHeight="1" x14ac:dyDescent="0.45">
      <c r="A209" s="22"/>
      <c r="B209" s="22"/>
      <c r="C209" s="22"/>
      <c r="D209" s="164"/>
      <c r="E209" s="22"/>
      <c r="F209" s="165"/>
      <c r="G209" s="22"/>
      <c r="H209" s="22"/>
      <c r="I209" s="479"/>
      <c r="J209" s="167"/>
      <c r="K209" s="22"/>
      <c r="L209" s="220"/>
      <c r="M209" s="167"/>
      <c r="N209" s="167"/>
      <c r="O209" s="221"/>
      <c r="P209" s="222"/>
      <c r="Q209" s="223"/>
      <c r="R209" s="22"/>
      <c r="S209" s="224"/>
      <c r="T209" s="225"/>
      <c r="U209" s="174"/>
      <c r="V209" s="174"/>
      <c r="W209" s="190"/>
      <c r="X209" s="213"/>
      <c r="Y209" s="177"/>
      <c r="Z209" s="177"/>
      <c r="AA209" s="190"/>
      <c r="AB209" s="145"/>
      <c r="AC209" s="145"/>
      <c r="AD209" s="214"/>
      <c r="AE209" s="145"/>
      <c r="AF209" s="22"/>
    </row>
    <row r="210" spans="1:32" ht="15.75" customHeight="1" x14ac:dyDescent="0.45">
      <c r="A210" s="22"/>
      <c r="B210" s="22"/>
      <c r="C210" s="22"/>
      <c r="D210" s="164"/>
      <c r="E210" s="22"/>
      <c r="F210" s="165"/>
      <c r="G210" s="22"/>
      <c r="H210" s="22"/>
      <c r="I210" s="479"/>
      <c r="J210" s="167"/>
      <c r="K210" s="22"/>
      <c r="L210" s="220"/>
      <c r="M210" s="167"/>
      <c r="N210" s="167"/>
      <c r="O210" s="221"/>
      <c r="P210" s="222"/>
      <c r="Q210" s="223"/>
      <c r="R210" s="22"/>
      <c r="S210" s="224"/>
      <c r="T210" s="225"/>
      <c r="U210" s="174"/>
      <c r="V210" s="174"/>
      <c r="W210" s="190"/>
      <c r="X210" s="213"/>
      <c r="Y210" s="177"/>
      <c r="Z210" s="177"/>
      <c r="AA210" s="190"/>
      <c r="AB210" s="145"/>
      <c r="AC210" s="145"/>
      <c r="AD210" s="214"/>
      <c r="AE210" s="145"/>
      <c r="AF210" s="22"/>
    </row>
    <row r="211" spans="1:32" ht="15.75" customHeight="1" x14ac:dyDescent="0.45">
      <c r="A211" s="22"/>
      <c r="B211" s="22"/>
      <c r="C211" s="22"/>
      <c r="D211" s="164"/>
      <c r="E211" s="22"/>
      <c r="F211" s="165"/>
      <c r="G211" s="22"/>
      <c r="H211" s="22"/>
      <c r="I211" s="479"/>
      <c r="J211" s="167"/>
      <c r="K211" s="22"/>
      <c r="L211" s="220"/>
      <c r="M211" s="167"/>
      <c r="N211" s="167"/>
      <c r="O211" s="221"/>
      <c r="P211" s="222"/>
      <c r="Q211" s="223"/>
      <c r="R211" s="22"/>
      <c r="S211" s="224"/>
      <c r="T211" s="225"/>
      <c r="U211" s="174"/>
      <c r="V211" s="174"/>
      <c r="W211" s="190"/>
      <c r="X211" s="213"/>
      <c r="Y211" s="177"/>
      <c r="Z211" s="177"/>
      <c r="AA211" s="190"/>
      <c r="AB211" s="145"/>
      <c r="AC211" s="145"/>
      <c r="AD211" s="214"/>
      <c r="AE211" s="145"/>
      <c r="AF211" s="22"/>
    </row>
    <row r="212" spans="1:32" ht="15.75" customHeight="1" x14ac:dyDescent="0.45">
      <c r="A212" s="22"/>
      <c r="B212" s="22"/>
      <c r="C212" s="22"/>
      <c r="D212" s="164"/>
      <c r="E212" s="22"/>
      <c r="F212" s="165"/>
      <c r="G212" s="22"/>
      <c r="H212" s="22"/>
      <c r="I212" s="479"/>
      <c r="J212" s="167"/>
      <c r="K212" s="22"/>
      <c r="L212" s="220"/>
      <c r="M212" s="167"/>
      <c r="N212" s="167"/>
      <c r="O212" s="221"/>
      <c r="P212" s="222"/>
      <c r="Q212" s="223"/>
      <c r="R212" s="22"/>
      <c r="S212" s="224"/>
      <c r="T212" s="225"/>
      <c r="U212" s="174"/>
      <c r="V212" s="174"/>
      <c r="W212" s="190"/>
      <c r="X212" s="213"/>
      <c r="Y212" s="177"/>
      <c r="Z212" s="177"/>
      <c r="AA212" s="190"/>
      <c r="AB212" s="145"/>
      <c r="AC212" s="145"/>
      <c r="AD212" s="214"/>
      <c r="AE212" s="145"/>
      <c r="AF212" s="22"/>
    </row>
    <row r="213" spans="1:32" ht="15.75" customHeight="1" x14ac:dyDescent="0.45">
      <c r="A213" s="22"/>
      <c r="B213" s="22"/>
      <c r="C213" s="22"/>
      <c r="D213" s="164"/>
      <c r="E213" s="22"/>
      <c r="F213" s="165"/>
      <c r="G213" s="22"/>
      <c r="H213" s="22"/>
      <c r="I213" s="479"/>
      <c r="J213" s="167"/>
      <c r="K213" s="22"/>
      <c r="L213" s="220"/>
      <c r="M213" s="167"/>
      <c r="N213" s="167"/>
      <c r="O213" s="221"/>
      <c r="P213" s="222"/>
      <c r="Q213" s="223"/>
      <c r="R213" s="22"/>
      <c r="S213" s="224"/>
      <c r="T213" s="225"/>
      <c r="U213" s="174"/>
      <c r="V213" s="174"/>
      <c r="W213" s="190"/>
      <c r="X213" s="213"/>
      <c r="Y213" s="177"/>
      <c r="Z213" s="177"/>
      <c r="AA213" s="190"/>
      <c r="AB213" s="145"/>
      <c r="AC213" s="145"/>
      <c r="AD213" s="214"/>
      <c r="AE213" s="145"/>
      <c r="AF213" s="22"/>
    </row>
    <row r="214" spans="1:32" ht="15.75" customHeight="1" x14ac:dyDescent="0.45">
      <c r="A214" s="22"/>
      <c r="B214" s="22"/>
      <c r="C214" s="22"/>
      <c r="D214" s="164"/>
      <c r="E214" s="22"/>
      <c r="F214" s="165"/>
      <c r="G214" s="22"/>
      <c r="H214" s="22"/>
      <c r="I214" s="479"/>
      <c r="J214" s="167"/>
      <c r="K214" s="22"/>
      <c r="L214" s="220"/>
      <c r="M214" s="167"/>
      <c r="N214" s="167"/>
      <c r="O214" s="221"/>
      <c r="P214" s="222"/>
      <c r="Q214" s="223"/>
      <c r="R214" s="22"/>
      <c r="S214" s="224"/>
      <c r="T214" s="225"/>
      <c r="U214" s="174"/>
      <c r="V214" s="174"/>
      <c r="W214" s="190"/>
      <c r="X214" s="213"/>
      <c r="Y214" s="177"/>
      <c r="Z214" s="177"/>
      <c r="AA214" s="190"/>
      <c r="AB214" s="145"/>
      <c r="AC214" s="145"/>
      <c r="AD214" s="214"/>
      <c r="AE214" s="145"/>
      <c r="AF214" s="22"/>
    </row>
    <row r="215" spans="1:32" ht="15.75" customHeight="1" x14ac:dyDescent="0.45">
      <c r="A215" s="22"/>
      <c r="B215" s="22"/>
      <c r="C215" s="22"/>
      <c r="D215" s="164"/>
      <c r="E215" s="22"/>
      <c r="F215" s="165"/>
      <c r="G215" s="22"/>
      <c r="H215" s="22"/>
      <c r="I215" s="479"/>
      <c r="J215" s="167"/>
      <c r="K215" s="22"/>
      <c r="L215" s="220"/>
      <c r="M215" s="167"/>
      <c r="N215" s="167"/>
      <c r="O215" s="221"/>
      <c r="P215" s="222"/>
      <c r="Q215" s="223"/>
      <c r="R215" s="22"/>
      <c r="S215" s="224"/>
      <c r="T215" s="225"/>
      <c r="U215" s="174"/>
      <c r="V215" s="174"/>
      <c r="W215" s="190"/>
      <c r="X215" s="213"/>
      <c r="Y215" s="177"/>
      <c r="Z215" s="177"/>
      <c r="AA215" s="190"/>
      <c r="AB215" s="145"/>
      <c r="AC215" s="145"/>
      <c r="AD215" s="214"/>
      <c r="AE215" s="145"/>
      <c r="AF215" s="22"/>
    </row>
    <row r="216" spans="1:32" ht="15.75" customHeight="1" x14ac:dyDescent="0.45">
      <c r="A216" s="22"/>
      <c r="B216" s="22"/>
      <c r="C216" s="22"/>
      <c r="D216" s="164"/>
      <c r="E216" s="22"/>
      <c r="F216" s="165"/>
      <c r="G216" s="22"/>
      <c r="H216" s="22"/>
      <c r="I216" s="479"/>
      <c r="J216" s="167"/>
      <c r="K216" s="22"/>
      <c r="L216" s="220"/>
      <c r="M216" s="167"/>
      <c r="N216" s="167"/>
      <c r="O216" s="221"/>
      <c r="P216" s="222"/>
      <c r="Q216" s="223"/>
      <c r="R216" s="22"/>
      <c r="S216" s="224"/>
      <c r="T216" s="225"/>
      <c r="U216" s="174"/>
      <c r="V216" s="174"/>
      <c r="W216" s="190"/>
      <c r="X216" s="213"/>
      <c r="Y216" s="177"/>
      <c r="Z216" s="177"/>
      <c r="AA216" s="190"/>
      <c r="AB216" s="145"/>
      <c r="AC216" s="145"/>
      <c r="AD216" s="214"/>
      <c r="AE216" s="145"/>
      <c r="AF216" s="22"/>
    </row>
    <row r="217" spans="1:32" ht="15.75" customHeight="1" x14ac:dyDescent="0.45">
      <c r="A217" s="22"/>
      <c r="B217" s="22"/>
      <c r="C217" s="22"/>
      <c r="D217" s="164"/>
      <c r="E217" s="22"/>
      <c r="F217" s="165"/>
      <c r="G217" s="22"/>
      <c r="H217" s="22"/>
      <c r="I217" s="479"/>
      <c r="J217" s="167"/>
      <c r="K217" s="22"/>
      <c r="L217" s="220"/>
      <c r="M217" s="167"/>
      <c r="N217" s="167"/>
      <c r="O217" s="221"/>
      <c r="P217" s="222"/>
      <c r="Q217" s="223"/>
      <c r="R217" s="22"/>
      <c r="S217" s="224"/>
      <c r="T217" s="225"/>
      <c r="U217" s="174"/>
      <c r="V217" s="174"/>
      <c r="W217" s="190"/>
      <c r="X217" s="213"/>
      <c r="Y217" s="177"/>
      <c r="Z217" s="177"/>
      <c r="AA217" s="190"/>
      <c r="AB217" s="145"/>
      <c r="AC217" s="145"/>
      <c r="AD217" s="214"/>
      <c r="AE217" s="145"/>
      <c r="AF217" s="22"/>
    </row>
    <row r="218" spans="1:32" ht="15.75" customHeight="1" x14ac:dyDescent="0.45">
      <c r="A218" s="22"/>
      <c r="B218" s="22"/>
      <c r="C218" s="22"/>
      <c r="D218" s="164"/>
      <c r="E218" s="22"/>
      <c r="F218" s="165"/>
      <c r="G218" s="22"/>
      <c r="H218" s="22"/>
      <c r="I218" s="479"/>
      <c r="J218" s="167"/>
      <c r="K218" s="22"/>
      <c r="L218" s="220"/>
      <c r="M218" s="167"/>
      <c r="N218" s="167"/>
      <c r="O218" s="221"/>
      <c r="P218" s="222"/>
      <c r="Q218" s="223"/>
      <c r="R218" s="22"/>
      <c r="S218" s="224"/>
      <c r="T218" s="225"/>
      <c r="U218" s="174"/>
      <c r="V218" s="174"/>
      <c r="W218" s="190"/>
      <c r="X218" s="213"/>
      <c r="Y218" s="177"/>
      <c r="Z218" s="177"/>
      <c r="AA218" s="190"/>
      <c r="AB218" s="145"/>
      <c r="AC218" s="145"/>
      <c r="AD218" s="214"/>
      <c r="AE218" s="145"/>
      <c r="AF218" s="22"/>
    </row>
    <row r="219" spans="1:32" ht="15.75" customHeight="1" x14ac:dyDescent="0.45">
      <c r="A219" s="22"/>
      <c r="B219" s="22"/>
      <c r="C219" s="22"/>
      <c r="D219" s="164"/>
      <c r="E219" s="22"/>
      <c r="F219" s="165"/>
      <c r="G219" s="22"/>
      <c r="H219" s="22"/>
      <c r="I219" s="479"/>
      <c r="J219" s="167"/>
      <c r="K219" s="22"/>
      <c r="L219" s="220"/>
      <c r="M219" s="167"/>
      <c r="N219" s="167"/>
      <c r="O219" s="221"/>
      <c r="P219" s="222"/>
      <c r="Q219" s="223"/>
      <c r="R219" s="22"/>
      <c r="S219" s="224"/>
      <c r="T219" s="225"/>
      <c r="U219" s="174"/>
      <c r="V219" s="174"/>
      <c r="W219" s="190"/>
      <c r="X219" s="213"/>
      <c r="Y219" s="177"/>
      <c r="Z219" s="177"/>
      <c r="AA219" s="190"/>
      <c r="AB219" s="145"/>
      <c r="AC219" s="145"/>
      <c r="AD219" s="214"/>
      <c r="AE219" s="145"/>
      <c r="AF219" s="22"/>
    </row>
    <row r="220" spans="1:32" ht="15.75" customHeight="1" x14ac:dyDescent="0.45">
      <c r="A220" s="22"/>
      <c r="B220" s="22"/>
      <c r="C220" s="22"/>
      <c r="D220" s="164"/>
      <c r="E220" s="22"/>
      <c r="F220" s="165"/>
      <c r="G220" s="22"/>
      <c r="H220" s="22"/>
      <c r="I220" s="479"/>
      <c r="J220" s="167"/>
      <c r="K220" s="22"/>
      <c r="L220" s="220"/>
      <c r="M220" s="167"/>
      <c r="N220" s="167"/>
      <c r="O220" s="221"/>
      <c r="P220" s="222"/>
      <c r="Q220" s="223"/>
      <c r="R220" s="22"/>
      <c r="S220" s="224"/>
      <c r="T220" s="225"/>
      <c r="U220" s="174"/>
      <c r="V220" s="174"/>
      <c r="W220" s="190"/>
      <c r="X220" s="213"/>
      <c r="Y220" s="177"/>
      <c r="Z220" s="177"/>
      <c r="AA220" s="190"/>
      <c r="AB220" s="145"/>
      <c r="AC220" s="145"/>
      <c r="AD220" s="214"/>
      <c r="AE220" s="145"/>
      <c r="AF220" s="22"/>
    </row>
    <row r="221" spans="1:32" ht="15.75" customHeight="1" x14ac:dyDescent="0.45">
      <c r="A221" s="22"/>
      <c r="B221" s="22"/>
      <c r="C221" s="22"/>
      <c r="D221" s="164"/>
      <c r="E221" s="22"/>
      <c r="F221" s="165"/>
      <c r="G221" s="22"/>
      <c r="H221" s="22"/>
      <c r="I221" s="479"/>
      <c r="J221" s="167"/>
      <c r="K221" s="22"/>
      <c r="L221" s="220"/>
      <c r="M221" s="167"/>
      <c r="N221" s="167"/>
      <c r="O221" s="221"/>
      <c r="P221" s="222"/>
      <c r="Q221" s="223"/>
      <c r="R221" s="22"/>
      <c r="S221" s="224"/>
      <c r="T221" s="225"/>
      <c r="U221" s="174"/>
      <c r="V221" s="174"/>
      <c r="W221" s="190"/>
      <c r="X221" s="213"/>
      <c r="Y221" s="177"/>
      <c r="Z221" s="177"/>
      <c r="AA221" s="190"/>
      <c r="AB221" s="145"/>
      <c r="AC221" s="145"/>
      <c r="AD221" s="214"/>
      <c r="AE221" s="145"/>
      <c r="AF221" s="22"/>
    </row>
    <row r="222" spans="1:32" ht="15.75" customHeight="1" x14ac:dyDescent="0.45">
      <c r="A222" s="22"/>
      <c r="B222" s="22"/>
      <c r="C222" s="22"/>
      <c r="D222" s="164"/>
      <c r="E222" s="22"/>
      <c r="F222" s="165"/>
      <c r="G222" s="22"/>
      <c r="H222" s="22"/>
      <c r="I222" s="479"/>
      <c r="J222" s="167"/>
      <c r="K222" s="22"/>
      <c r="L222" s="220"/>
      <c r="M222" s="167"/>
      <c r="N222" s="167"/>
      <c r="O222" s="221"/>
      <c r="P222" s="222"/>
      <c r="Q222" s="223"/>
      <c r="R222" s="22"/>
      <c r="S222" s="224"/>
      <c r="T222" s="225"/>
      <c r="U222" s="174"/>
      <c r="V222" s="174"/>
      <c r="W222" s="190"/>
      <c r="X222" s="213"/>
      <c r="Y222" s="177"/>
      <c r="Z222" s="177"/>
      <c r="AA222" s="190"/>
      <c r="AB222" s="145"/>
      <c r="AC222" s="145"/>
      <c r="AD222" s="214"/>
      <c r="AE222" s="145"/>
      <c r="AF222" s="22"/>
    </row>
    <row r="223" spans="1:32" ht="15.75" customHeight="1" x14ac:dyDescent="0.45">
      <c r="A223" s="22"/>
      <c r="B223" s="22"/>
      <c r="C223" s="22"/>
      <c r="D223" s="164"/>
      <c r="E223" s="22"/>
      <c r="F223" s="165"/>
      <c r="G223" s="22"/>
      <c r="H223" s="22"/>
      <c r="I223" s="479"/>
      <c r="J223" s="167"/>
      <c r="K223" s="22"/>
      <c r="L223" s="220"/>
      <c r="M223" s="167"/>
      <c r="N223" s="167"/>
      <c r="O223" s="221"/>
      <c r="P223" s="222"/>
      <c r="Q223" s="223"/>
      <c r="R223" s="22"/>
      <c r="S223" s="224"/>
      <c r="T223" s="225"/>
      <c r="U223" s="174"/>
      <c r="V223" s="174"/>
      <c r="W223" s="190"/>
      <c r="X223" s="213"/>
      <c r="Y223" s="177"/>
      <c r="Z223" s="177"/>
      <c r="AA223" s="190"/>
      <c r="AB223" s="145"/>
      <c r="AC223" s="145"/>
      <c r="AD223" s="214"/>
      <c r="AE223" s="145"/>
      <c r="AF223" s="22"/>
    </row>
    <row r="224" spans="1:32" ht="15.75" customHeight="1" x14ac:dyDescent="0.45">
      <c r="A224" s="22"/>
      <c r="B224" s="22"/>
      <c r="C224" s="22"/>
      <c r="D224" s="164"/>
      <c r="E224" s="22"/>
      <c r="F224" s="165"/>
      <c r="G224" s="22"/>
      <c r="H224" s="22"/>
      <c r="I224" s="479"/>
      <c r="J224" s="167"/>
      <c r="K224" s="22"/>
      <c r="L224" s="220"/>
      <c r="M224" s="167"/>
      <c r="N224" s="167"/>
      <c r="O224" s="221"/>
      <c r="P224" s="222"/>
      <c r="Q224" s="223"/>
      <c r="R224" s="22"/>
      <c r="S224" s="224"/>
      <c r="T224" s="225"/>
      <c r="U224" s="174"/>
      <c r="V224" s="174"/>
      <c r="W224" s="190"/>
      <c r="X224" s="213"/>
      <c r="Y224" s="177"/>
      <c r="Z224" s="177"/>
      <c r="AA224" s="190"/>
      <c r="AB224" s="145"/>
      <c r="AC224" s="145"/>
      <c r="AD224" s="214"/>
      <c r="AE224" s="145"/>
      <c r="AF224" s="22"/>
    </row>
    <row r="225" spans="1:32" ht="15.75" customHeight="1" x14ac:dyDescent="0.45">
      <c r="A225" s="22"/>
      <c r="B225" s="22"/>
      <c r="C225" s="22"/>
      <c r="D225" s="164"/>
      <c r="E225" s="22"/>
      <c r="F225" s="165"/>
      <c r="G225" s="22"/>
      <c r="H225" s="22"/>
      <c r="I225" s="479"/>
      <c r="J225" s="167"/>
      <c r="K225" s="22"/>
      <c r="L225" s="220"/>
      <c r="M225" s="167"/>
      <c r="N225" s="167"/>
      <c r="O225" s="221"/>
      <c r="P225" s="222"/>
      <c r="Q225" s="223"/>
      <c r="R225" s="22"/>
      <c r="S225" s="224"/>
      <c r="T225" s="225"/>
      <c r="U225" s="174"/>
      <c r="V225" s="174"/>
      <c r="W225" s="190"/>
      <c r="X225" s="213"/>
      <c r="Y225" s="177"/>
      <c r="Z225" s="177"/>
      <c r="AA225" s="190"/>
      <c r="AB225" s="145"/>
      <c r="AC225" s="145"/>
      <c r="AD225" s="214"/>
      <c r="AE225" s="145"/>
      <c r="AF225" s="22"/>
    </row>
    <row r="226" spans="1:32" ht="15.75" customHeight="1" x14ac:dyDescent="0.45">
      <c r="A226" s="22"/>
      <c r="B226" s="22"/>
      <c r="C226" s="22"/>
      <c r="D226" s="164"/>
      <c r="E226" s="22"/>
      <c r="F226" s="165"/>
      <c r="G226" s="22"/>
      <c r="H226" s="22"/>
      <c r="I226" s="479"/>
      <c r="J226" s="167"/>
      <c r="K226" s="22"/>
      <c r="L226" s="220"/>
      <c r="M226" s="167"/>
      <c r="N226" s="167"/>
      <c r="O226" s="221"/>
      <c r="P226" s="222"/>
      <c r="Q226" s="223"/>
      <c r="R226" s="22"/>
      <c r="S226" s="224"/>
      <c r="T226" s="225"/>
      <c r="U226" s="174"/>
      <c r="V226" s="174"/>
      <c r="W226" s="190"/>
      <c r="X226" s="213"/>
      <c r="Y226" s="177"/>
      <c r="Z226" s="177"/>
      <c r="AA226" s="190"/>
      <c r="AB226" s="145"/>
      <c r="AC226" s="145"/>
      <c r="AD226" s="214"/>
      <c r="AE226" s="145"/>
      <c r="AF226" s="22"/>
    </row>
    <row r="227" spans="1:32" ht="15.75" customHeight="1" x14ac:dyDescent="0.45">
      <c r="A227" s="22"/>
      <c r="B227" s="22"/>
      <c r="C227" s="22"/>
      <c r="D227" s="164"/>
      <c r="E227" s="22"/>
      <c r="F227" s="165"/>
      <c r="G227" s="22"/>
      <c r="H227" s="22"/>
      <c r="I227" s="479"/>
      <c r="J227" s="167"/>
      <c r="K227" s="22"/>
      <c r="L227" s="220"/>
      <c r="M227" s="167"/>
      <c r="N227" s="167"/>
      <c r="O227" s="221"/>
      <c r="P227" s="222"/>
      <c r="Q227" s="223"/>
      <c r="R227" s="22"/>
      <c r="S227" s="224"/>
      <c r="T227" s="225"/>
      <c r="U227" s="174"/>
      <c r="V227" s="174"/>
      <c r="W227" s="190"/>
      <c r="X227" s="213"/>
      <c r="Y227" s="177"/>
      <c r="Z227" s="177"/>
      <c r="AA227" s="190"/>
      <c r="AB227" s="145"/>
      <c r="AC227" s="145"/>
      <c r="AD227" s="214"/>
      <c r="AE227" s="145"/>
      <c r="AF227" s="22"/>
    </row>
    <row r="228" spans="1:32" ht="15.75" customHeight="1" x14ac:dyDescent="0.45">
      <c r="A228" s="22"/>
      <c r="B228" s="22"/>
      <c r="C228" s="22"/>
      <c r="D228" s="164"/>
      <c r="E228" s="22"/>
      <c r="F228" s="165"/>
      <c r="G228" s="22"/>
      <c r="H228" s="22"/>
      <c r="I228" s="479"/>
      <c r="J228" s="167"/>
      <c r="K228" s="22"/>
      <c r="L228" s="220"/>
      <c r="M228" s="167"/>
      <c r="N228" s="167"/>
      <c r="O228" s="221"/>
      <c r="P228" s="222"/>
      <c r="Q228" s="223"/>
      <c r="R228" s="22"/>
      <c r="S228" s="224"/>
      <c r="T228" s="225"/>
      <c r="U228" s="174"/>
      <c r="V228" s="174"/>
      <c r="W228" s="190"/>
      <c r="X228" s="213"/>
      <c r="Y228" s="177"/>
      <c r="Z228" s="177"/>
      <c r="AA228" s="190"/>
      <c r="AB228" s="145"/>
      <c r="AC228" s="145"/>
      <c r="AD228" s="214"/>
      <c r="AE228" s="145"/>
      <c r="AF228" s="22"/>
    </row>
    <row r="229" spans="1:32" ht="15.75" customHeight="1" x14ac:dyDescent="0.45">
      <c r="A229" s="22"/>
      <c r="B229" s="22"/>
      <c r="C229" s="22"/>
      <c r="D229" s="164"/>
      <c r="E229" s="22"/>
      <c r="F229" s="165"/>
      <c r="G229" s="22"/>
      <c r="H229" s="22"/>
      <c r="I229" s="479"/>
      <c r="J229" s="167"/>
      <c r="K229" s="22"/>
      <c r="L229" s="220"/>
      <c r="M229" s="167"/>
      <c r="N229" s="167"/>
      <c r="O229" s="221"/>
      <c r="P229" s="222"/>
      <c r="Q229" s="223"/>
      <c r="R229" s="22"/>
      <c r="S229" s="224"/>
      <c r="T229" s="225"/>
      <c r="U229" s="174"/>
      <c r="V229" s="174"/>
      <c r="W229" s="190"/>
      <c r="X229" s="213"/>
      <c r="Y229" s="177"/>
      <c r="Z229" s="177"/>
      <c r="AA229" s="190"/>
      <c r="AB229" s="145"/>
      <c r="AC229" s="145"/>
      <c r="AD229" s="214"/>
      <c r="AE229" s="145"/>
      <c r="AF229" s="22"/>
    </row>
    <row r="230" spans="1:32" ht="15.75" customHeight="1" x14ac:dyDescent="0.45">
      <c r="A230" s="22"/>
      <c r="B230" s="22"/>
      <c r="C230" s="22"/>
      <c r="D230" s="164"/>
      <c r="E230" s="22"/>
      <c r="F230" s="165"/>
      <c r="G230" s="22"/>
      <c r="H230" s="22"/>
      <c r="I230" s="479"/>
      <c r="J230" s="167"/>
      <c r="K230" s="22"/>
      <c r="L230" s="220"/>
      <c r="M230" s="167"/>
      <c r="N230" s="167"/>
      <c r="O230" s="221"/>
      <c r="P230" s="222"/>
      <c r="Q230" s="223"/>
      <c r="R230" s="22"/>
      <c r="S230" s="224"/>
      <c r="T230" s="225"/>
      <c r="U230" s="174"/>
      <c r="V230" s="174"/>
      <c r="W230" s="190"/>
      <c r="X230" s="213"/>
      <c r="Y230" s="177"/>
      <c r="Z230" s="177"/>
      <c r="AA230" s="190"/>
      <c r="AB230" s="145"/>
      <c r="AC230" s="145"/>
      <c r="AD230" s="214"/>
      <c r="AE230" s="145"/>
      <c r="AF230" s="22"/>
    </row>
    <row r="231" spans="1:32" ht="15.75" customHeight="1" x14ac:dyDescent="0.45">
      <c r="A231" s="22"/>
      <c r="B231" s="22"/>
      <c r="C231" s="22"/>
      <c r="D231" s="164"/>
      <c r="E231" s="22"/>
      <c r="F231" s="165"/>
      <c r="G231" s="22"/>
      <c r="H231" s="22"/>
      <c r="I231" s="479"/>
      <c r="J231" s="167"/>
      <c r="K231" s="22"/>
      <c r="L231" s="220"/>
      <c r="M231" s="167"/>
      <c r="N231" s="167"/>
      <c r="O231" s="221"/>
      <c r="P231" s="222"/>
      <c r="Q231" s="223"/>
      <c r="R231" s="22"/>
      <c r="S231" s="224"/>
      <c r="T231" s="225"/>
      <c r="U231" s="174"/>
      <c r="V231" s="174"/>
      <c r="W231" s="190"/>
      <c r="X231" s="213"/>
      <c r="Y231" s="177"/>
      <c r="Z231" s="177"/>
      <c r="AA231" s="190"/>
      <c r="AB231" s="145"/>
      <c r="AC231" s="145"/>
      <c r="AD231" s="214"/>
      <c r="AE231" s="145"/>
      <c r="AF231" s="22"/>
    </row>
    <row r="232" spans="1:32" ht="15.75" customHeight="1" x14ac:dyDescent="0.45">
      <c r="A232" s="22"/>
      <c r="B232" s="22"/>
      <c r="C232" s="22"/>
      <c r="D232" s="164"/>
      <c r="E232" s="22"/>
      <c r="F232" s="165"/>
      <c r="G232" s="22"/>
      <c r="H232" s="22"/>
      <c r="I232" s="479"/>
      <c r="J232" s="167"/>
      <c r="K232" s="22"/>
      <c r="L232" s="220"/>
      <c r="M232" s="167"/>
      <c r="N232" s="167"/>
      <c r="O232" s="221"/>
      <c r="P232" s="222"/>
      <c r="Q232" s="223"/>
      <c r="R232" s="22"/>
      <c r="S232" s="224"/>
      <c r="T232" s="225"/>
      <c r="U232" s="174"/>
      <c r="V232" s="174"/>
      <c r="W232" s="190"/>
      <c r="X232" s="213"/>
      <c r="Y232" s="177"/>
      <c r="Z232" s="177"/>
      <c r="AA232" s="190"/>
      <c r="AB232" s="145"/>
      <c r="AC232" s="145"/>
      <c r="AD232" s="214"/>
      <c r="AE232" s="145"/>
      <c r="AF232" s="22"/>
    </row>
    <row r="233" spans="1:32" ht="15.75" customHeight="1" x14ac:dyDescent="0.45">
      <c r="A233" s="22"/>
      <c r="B233" s="22"/>
      <c r="C233" s="22"/>
      <c r="D233" s="164"/>
      <c r="E233" s="22"/>
      <c r="F233" s="165"/>
      <c r="G233" s="22"/>
      <c r="H233" s="22"/>
      <c r="I233" s="479"/>
      <c r="J233" s="167"/>
      <c r="K233" s="22"/>
      <c r="L233" s="220"/>
      <c r="M233" s="167"/>
      <c r="N233" s="167"/>
      <c r="O233" s="221"/>
      <c r="P233" s="222"/>
      <c r="Q233" s="223"/>
      <c r="R233" s="22"/>
      <c r="S233" s="224"/>
      <c r="T233" s="225"/>
      <c r="U233" s="174"/>
      <c r="V233" s="174"/>
      <c r="W233" s="190"/>
      <c r="X233" s="213"/>
      <c r="Y233" s="177"/>
      <c r="Z233" s="177"/>
      <c r="AA233" s="190"/>
      <c r="AB233" s="145"/>
      <c r="AC233" s="145"/>
      <c r="AD233" s="214"/>
      <c r="AE233" s="145"/>
      <c r="AF233" s="22"/>
    </row>
    <row r="234" spans="1:32" ht="15.75" customHeight="1" x14ac:dyDescent="0.45">
      <c r="A234" s="22"/>
      <c r="B234" s="22"/>
      <c r="C234" s="22"/>
      <c r="D234" s="164"/>
      <c r="E234" s="22"/>
      <c r="F234" s="165"/>
      <c r="G234" s="22"/>
      <c r="H234" s="22"/>
      <c r="I234" s="479"/>
      <c r="J234" s="167"/>
      <c r="K234" s="22"/>
      <c r="L234" s="220"/>
      <c r="M234" s="167"/>
      <c r="N234" s="167"/>
      <c r="O234" s="221"/>
      <c r="P234" s="222"/>
      <c r="Q234" s="223"/>
      <c r="R234" s="22"/>
      <c r="S234" s="224"/>
      <c r="T234" s="225"/>
      <c r="U234" s="174"/>
      <c r="V234" s="174"/>
      <c r="W234" s="190"/>
      <c r="X234" s="213"/>
      <c r="Y234" s="177"/>
      <c r="Z234" s="177"/>
      <c r="AA234" s="190"/>
      <c r="AB234" s="145"/>
      <c r="AC234" s="145"/>
      <c r="AD234" s="214"/>
      <c r="AE234" s="145"/>
      <c r="AF234" s="22"/>
    </row>
    <row r="235" spans="1:32" ht="15.75" customHeight="1" x14ac:dyDescent="0.45">
      <c r="A235" s="22"/>
      <c r="B235" s="22"/>
      <c r="C235" s="22"/>
      <c r="D235" s="164"/>
      <c r="E235" s="22"/>
      <c r="F235" s="165"/>
      <c r="G235" s="22"/>
      <c r="H235" s="22"/>
      <c r="I235" s="479"/>
      <c r="J235" s="167"/>
      <c r="K235" s="22"/>
      <c r="L235" s="220"/>
      <c r="M235" s="167"/>
      <c r="N235" s="167"/>
      <c r="O235" s="221"/>
      <c r="P235" s="222"/>
      <c r="Q235" s="223"/>
      <c r="R235" s="22"/>
      <c r="S235" s="224"/>
      <c r="T235" s="225"/>
      <c r="U235" s="174"/>
      <c r="V235" s="174"/>
      <c r="W235" s="190"/>
      <c r="X235" s="213"/>
      <c r="Y235" s="177"/>
      <c r="Z235" s="177"/>
      <c r="AA235" s="190"/>
      <c r="AB235" s="145"/>
      <c r="AC235" s="145"/>
      <c r="AD235" s="214"/>
      <c r="AE235" s="145"/>
      <c r="AF235" s="22"/>
    </row>
    <row r="236" spans="1:32" ht="15.75" customHeight="1" x14ac:dyDescent="0.45">
      <c r="A236" s="22"/>
      <c r="B236" s="22"/>
      <c r="C236" s="22"/>
      <c r="D236" s="164"/>
      <c r="E236" s="22"/>
      <c r="F236" s="165"/>
      <c r="G236" s="22"/>
      <c r="H236" s="22"/>
      <c r="I236" s="479"/>
      <c r="J236" s="167"/>
      <c r="K236" s="22"/>
      <c r="L236" s="220"/>
      <c r="M236" s="167"/>
      <c r="N236" s="167"/>
      <c r="O236" s="221"/>
      <c r="P236" s="222"/>
      <c r="Q236" s="223"/>
      <c r="R236" s="22"/>
      <c r="S236" s="224"/>
      <c r="T236" s="225"/>
      <c r="U236" s="174"/>
      <c r="V236" s="174"/>
      <c r="W236" s="190"/>
      <c r="X236" s="213"/>
      <c r="Y236" s="177"/>
      <c r="Z236" s="177"/>
      <c r="AA236" s="190"/>
      <c r="AB236" s="145"/>
      <c r="AC236" s="145"/>
      <c r="AD236" s="214"/>
      <c r="AE236" s="145"/>
      <c r="AF236" s="22"/>
    </row>
    <row r="237" spans="1:32" ht="15.75" customHeight="1" x14ac:dyDescent="0.45">
      <c r="A237" s="22"/>
      <c r="B237" s="22"/>
      <c r="C237" s="22"/>
      <c r="D237" s="164"/>
      <c r="E237" s="22"/>
      <c r="F237" s="165"/>
      <c r="G237" s="22"/>
      <c r="H237" s="22"/>
      <c r="I237" s="479"/>
      <c r="J237" s="167"/>
      <c r="K237" s="22"/>
      <c r="L237" s="220"/>
      <c r="M237" s="167"/>
      <c r="N237" s="167"/>
      <c r="O237" s="221"/>
      <c r="P237" s="222"/>
      <c r="Q237" s="223"/>
      <c r="R237" s="22"/>
      <c r="S237" s="224"/>
      <c r="T237" s="225"/>
      <c r="U237" s="174"/>
      <c r="V237" s="174"/>
      <c r="W237" s="190"/>
      <c r="X237" s="213"/>
      <c r="Y237" s="177"/>
      <c r="Z237" s="177"/>
      <c r="AA237" s="190"/>
      <c r="AB237" s="145"/>
      <c r="AC237" s="145"/>
      <c r="AD237" s="214"/>
      <c r="AE237" s="145"/>
      <c r="AF237" s="22"/>
    </row>
    <row r="238" spans="1:32" ht="15.75" customHeight="1" x14ac:dyDescent="0.45">
      <c r="A238" s="22"/>
      <c r="B238" s="22"/>
      <c r="C238" s="22"/>
      <c r="D238" s="164"/>
      <c r="E238" s="22"/>
      <c r="F238" s="165"/>
      <c r="G238" s="22"/>
      <c r="H238" s="22"/>
      <c r="I238" s="479"/>
      <c r="J238" s="167"/>
      <c r="K238" s="22"/>
      <c r="L238" s="220"/>
      <c r="M238" s="167"/>
      <c r="N238" s="167"/>
      <c r="O238" s="221"/>
      <c r="P238" s="222"/>
      <c r="Q238" s="223"/>
      <c r="R238" s="22"/>
      <c r="S238" s="224"/>
      <c r="T238" s="225"/>
      <c r="U238" s="174"/>
      <c r="V238" s="174"/>
      <c r="W238" s="190"/>
      <c r="X238" s="213"/>
      <c r="Y238" s="177"/>
      <c r="Z238" s="177"/>
      <c r="AA238" s="190"/>
      <c r="AB238" s="145"/>
      <c r="AC238" s="145"/>
      <c r="AD238" s="214"/>
      <c r="AE238" s="145"/>
      <c r="AF238" s="22"/>
    </row>
    <row r="239" spans="1:32" ht="15.75" customHeight="1" x14ac:dyDescent="0.45">
      <c r="A239" s="22"/>
      <c r="B239" s="22"/>
      <c r="C239" s="22"/>
      <c r="D239" s="164"/>
      <c r="E239" s="22"/>
      <c r="F239" s="165"/>
      <c r="G239" s="22"/>
      <c r="H239" s="22"/>
      <c r="I239" s="479"/>
      <c r="J239" s="167"/>
      <c r="K239" s="22"/>
      <c r="L239" s="220"/>
      <c r="M239" s="167"/>
      <c r="N239" s="167"/>
      <c r="O239" s="221"/>
      <c r="P239" s="222"/>
      <c r="Q239" s="223"/>
      <c r="R239" s="22"/>
      <c r="S239" s="224"/>
      <c r="T239" s="225"/>
      <c r="U239" s="174"/>
      <c r="V239" s="174"/>
      <c r="W239" s="190"/>
      <c r="X239" s="213"/>
      <c r="Y239" s="177"/>
      <c r="Z239" s="177"/>
      <c r="AA239" s="190"/>
      <c r="AB239" s="145"/>
      <c r="AC239" s="145"/>
      <c r="AD239" s="214"/>
      <c r="AE239" s="145"/>
      <c r="AF239" s="22"/>
    </row>
    <row r="240" spans="1:32" ht="15.75" customHeight="1" x14ac:dyDescent="0.45">
      <c r="A240" s="22"/>
      <c r="B240" s="22"/>
      <c r="C240" s="22"/>
      <c r="D240" s="164"/>
      <c r="E240" s="22"/>
      <c r="F240" s="165"/>
      <c r="G240" s="22"/>
      <c r="H240" s="22"/>
      <c r="I240" s="479"/>
      <c r="J240" s="167"/>
      <c r="K240" s="22"/>
      <c r="L240" s="220"/>
      <c r="M240" s="167"/>
      <c r="N240" s="167"/>
      <c r="O240" s="221"/>
      <c r="P240" s="222"/>
      <c r="Q240" s="223"/>
      <c r="R240" s="22"/>
      <c r="S240" s="224"/>
      <c r="T240" s="225"/>
      <c r="U240" s="174"/>
      <c r="V240" s="174"/>
      <c r="W240" s="190"/>
      <c r="X240" s="213"/>
      <c r="Y240" s="177"/>
      <c r="Z240" s="177"/>
      <c r="AA240" s="190"/>
      <c r="AB240" s="145"/>
      <c r="AC240" s="145"/>
      <c r="AD240" s="214"/>
      <c r="AE240" s="145"/>
      <c r="AF240" s="22"/>
    </row>
    <row r="241" spans="1:32" ht="15.75" customHeight="1" x14ac:dyDescent="0.45">
      <c r="A241" s="22"/>
      <c r="B241" s="22"/>
      <c r="C241" s="22"/>
      <c r="D241" s="164"/>
      <c r="E241" s="22"/>
      <c r="F241" s="165"/>
      <c r="G241" s="22"/>
      <c r="H241" s="22"/>
      <c r="I241" s="479"/>
      <c r="J241" s="167"/>
      <c r="K241" s="22"/>
      <c r="L241" s="220"/>
      <c r="M241" s="167"/>
      <c r="N241" s="167"/>
      <c r="O241" s="221"/>
      <c r="P241" s="222"/>
      <c r="Q241" s="223"/>
      <c r="R241" s="22"/>
      <c r="S241" s="224"/>
      <c r="T241" s="225"/>
      <c r="U241" s="174"/>
      <c r="V241" s="174"/>
      <c r="W241" s="190"/>
      <c r="X241" s="213"/>
      <c r="Y241" s="177"/>
      <c r="Z241" s="177"/>
      <c r="AA241" s="190"/>
      <c r="AB241" s="145"/>
      <c r="AC241" s="145"/>
      <c r="AD241" s="214"/>
      <c r="AE241" s="145"/>
      <c r="AF241" s="22"/>
    </row>
    <row r="242" spans="1:32" ht="15.75" customHeight="1" x14ac:dyDescent="0.45">
      <c r="A242" s="22"/>
      <c r="B242" s="22"/>
      <c r="C242" s="22"/>
      <c r="D242" s="164"/>
      <c r="E242" s="22"/>
      <c r="F242" s="165"/>
      <c r="G242" s="22"/>
      <c r="H242" s="22"/>
      <c r="I242" s="479"/>
      <c r="J242" s="167"/>
      <c r="K242" s="22"/>
      <c r="L242" s="220"/>
      <c r="M242" s="167"/>
      <c r="N242" s="167"/>
      <c r="O242" s="221"/>
      <c r="P242" s="222"/>
      <c r="Q242" s="223"/>
      <c r="R242" s="22"/>
      <c r="S242" s="224"/>
      <c r="T242" s="225"/>
      <c r="U242" s="174"/>
      <c r="V242" s="174"/>
      <c r="W242" s="190"/>
      <c r="X242" s="213"/>
      <c r="Y242" s="177"/>
      <c r="Z242" s="177"/>
      <c r="AA242" s="190"/>
      <c r="AB242" s="145"/>
      <c r="AC242" s="145"/>
      <c r="AD242" s="214"/>
      <c r="AE242" s="145"/>
      <c r="AF242" s="22"/>
    </row>
    <row r="243" spans="1:32" ht="15.75" customHeight="1" x14ac:dyDescent="0.45">
      <c r="A243" s="22"/>
      <c r="B243" s="22"/>
      <c r="C243" s="22"/>
      <c r="D243" s="164"/>
      <c r="E243" s="22"/>
      <c r="F243" s="165"/>
      <c r="G243" s="22"/>
      <c r="H243" s="22"/>
      <c r="I243" s="479"/>
      <c r="J243" s="167"/>
      <c r="K243" s="22"/>
      <c r="L243" s="220"/>
      <c r="M243" s="167"/>
      <c r="N243" s="167"/>
      <c r="O243" s="221"/>
      <c r="P243" s="222"/>
      <c r="Q243" s="223"/>
      <c r="R243" s="22"/>
      <c r="S243" s="224"/>
      <c r="T243" s="225"/>
      <c r="U243" s="174"/>
      <c r="V243" s="174"/>
      <c r="W243" s="190"/>
      <c r="X243" s="213"/>
      <c r="Y243" s="177"/>
      <c r="Z243" s="177"/>
      <c r="AA243" s="190"/>
      <c r="AB243" s="145"/>
      <c r="AC243" s="145"/>
      <c r="AD243" s="214"/>
      <c r="AE243" s="145"/>
      <c r="AF243" s="22"/>
    </row>
    <row r="244" spans="1:32" ht="15.75" customHeight="1" x14ac:dyDescent="0.45">
      <c r="A244" s="22"/>
      <c r="B244" s="22"/>
      <c r="C244" s="22"/>
      <c r="D244" s="164"/>
      <c r="E244" s="22"/>
      <c r="F244" s="165"/>
      <c r="G244" s="22"/>
      <c r="H244" s="22"/>
      <c r="I244" s="479"/>
      <c r="J244" s="167"/>
      <c r="K244" s="22"/>
      <c r="L244" s="220"/>
      <c r="M244" s="167"/>
      <c r="N244" s="167"/>
      <c r="O244" s="221"/>
      <c r="P244" s="222"/>
      <c r="Q244" s="223"/>
      <c r="R244" s="22"/>
      <c r="S244" s="224"/>
      <c r="T244" s="225"/>
      <c r="U244" s="174"/>
      <c r="V244" s="174"/>
      <c r="W244" s="190"/>
      <c r="X244" s="213"/>
      <c r="Y244" s="177"/>
      <c r="Z244" s="177"/>
      <c r="AA244" s="190"/>
      <c r="AB244" s="145"/>
      <c r="AC244" s="145"/>
      <c r="AD244" s="214"/>
      <c r="AE244" s="145"/>
      <c r="AF244" s="22"/>
    </row>
    <row r="245" spans="1:32" ht="15.75" customHeight="1" x14ac:dyDescent="0.45">
      <c r="A245" s="22"/>
      <c r="B245" s="22"/>
      <c r="C245" s="22"/>
      <c r="D245" s="164"/>
      <c r="E245" s="22"/>
      <c r="F245" s="165"/>
      <c r="G245" s="22"/>
      <c r="H245" s="22"/>
      <c r="I245" s="479"/>
      <c r="J245" s="167"/>
      <c r="K245" s="22"/>
      <c r="L245" s="220"/>
      <c r="M245" s="167"/>
      <c r="N245" s="167"/>
      <c r="O245" s="221"/>
      <c r="P245" s="222"/>
      <c r="Q245" s="223"/>
      <c r="R245" s="22"/>
      <c r="S245" s="224"/>
      <c r="T245" s="225"/>
      <c r="U245" s="174"/>
      <c r="V245" s="174"/>
      <c r="W245" s="190"/>
      <c r="X245" s="213"/>
      <c r="Y245" s="177"/>
      <c r="Z245" s="177"/>
      <c r="AA245" s="190"/>
      <c r="AB245" s="145"/>
      <c r="AC245" s="145"/>
      <c r="AD245" s="214"/>
      <c r="AE245" s="145"/>
      <c r="AF245" s="22"/>
    </row>
    <row r="246" spans="1:32" ht="15.75" customHeight="1" x14ac:dyDescent="0.45">
      <c r="A246" s="22"/>
      <c r="B246" s="22"/>
      <c r="C246" s="22"/>
      <c r="D246" s="164"/>
      <c r="E246" s="22"/>
      <c r="F246" s="165"/>
      <c r="G246" s="22"/>
      <c r="H246" s="22"/>
      <c r="I246" s="479"/>
      <c r="J246" s="167"/>
      <c r="K246" s="22"/>
      <c r="L246" s="220"/>
      <c r="M246" s="167"/>
      <c r="N246" s="167"/>
      <c r="O246" s="221"/>
      <c r="P246" s="222"/>
      <c r="Q246" s="223"/>
      <c r="R246" s="22"/>
      <c r="S246" s="224"/>
      <c r="T246" s="225"/>
      <c r="U246" s="174"/>
      <c r="V246" s="174"/>
      <c r="W246" s="190"/>
      <c r="X246" s="213"/>
      <c r="Y246" s="177"/>
      <c r="Z246" s="177"/>
      <c r="AA246" s="190"/>
      <c r="AB246" s="145"/>
      <c r="AC246" s="145"/>
      <c r="AD246" s="214"/>
      <c r="AE246" s="145"/>
      <c r="AF246" s="22"/>
    </row>
    <row r="247" spans="1:32" ht="15.75" customHeight="1" x14ac:dyDescent="0.45">
      <c r="A247" s="22"/>
      <c r="B247" s="22"/>
      <c r="C247" s="22"/>
      <c r="D247" s="164"/>
      <c r="E247" s="22"/>
      <c r="F247" s="165"/>
      <c r="G247" s="22"/>
      <c r="H247" s="22"/>
      <c r="I247" s="479"/>
      <c r="J247" s="167"/>
      <c r="K247" s="22"/>
      <c r="L247" s="220"/>
      <c r="M247" s="167"/>
      <c r="N247" s="167"/>
      <c r="O247" s="221"/>
      <c r="P247" s="222"/>
      <c r="Q247" s="223"/>
      <c r="R247" s="22"/>
      <c r="S247" s="224"/>
      <c r="T247" s="225"/>
      <c r="U247" s="174"/>
      <c r="V247" s="174"/>
      <c r="W247" s="190"/>
      <c r="X247" s="213"/>
      <c r="Y247" s="177"/>
      <c r="Z247" s="177"/>
      <c r="AA247" s="190"/>
      <c r="AB247" s="145"/>
      <c r="AC247" s="145"/>
      <c r="AD247" s="214"/>
      <c r="AE247" s="145"/>
      <c r="AF247" s="22"/>
    </row>
    <row r="248" spans="1:32" ht="15.75" customHeight="1" x14ac:dyDescent="0.45">
      <c r="A248" s="22"/>
      <c r="B248" s="22"/>
      <c r="C248" s="22"/>
      <c r="D248" s="164"/>
      <c r="E248" s="22"/>
      <c r="F248" s="165"/>
      <c r="G248" s="22"/>
      <c r="H248" s="22"/>
      <c r="I248" s="479"/>
      <c r="J248" s="167"/>
      <c r="K248" s="22"/>
      <c r="L248" s="220"/>
      <c r="M248" s="167"/>
      <c r="N248" s="167"/>
      <c r="O248" s="221"/>
      <c r="P248" s="222"/>
      <c r="Q248" s="223"/>
      <c r="R248" s="22"/>
      <c r="S248" s="224"/>
      <c r="T248" s="225"/>
      <c r="U248" s="174"/>
      <c r="V248" s="174"/>
      <c r="W248" s="190"/>
      <c r="X248" s="213"/>
      <c r="Y248" s="177"/>
      <c r="Z248" s="177"/>
      <c r="AA248" s="190"/>
      <c r="AB248" s="145"/>
      <c r="AC248" s="145"/>
      <c r="AD248" s="214"/>
      <c r="AE248" s="145"/>
      <c r="AF248" s="22"/>
    </row>
    <row r="249" spans="1:32" ht="15.75" customHeight="1" x14ac:dyDescent="0.45">
      <c r="A249" s="22"/>
      <c r="B249" s="22"/>
      <c r="C249" s="22"/>
      <c r="D249" s="164"/>
      <c r="E249" s="22"/>
      <c r="F249" s="165"/>
      <c r="G249" s="22"/>
      <c r="H249" s="22"/>
      <c r="I249" s="479"/>
      <c r="J249" s="167"/>
      <c r="K249" s="22"/>
      <c r="L249" s="220"/>
      <c r="M249" s="167"/>
      <c r="N249" s="167"/>
      <c r="O249" s="221"/>
      <c r="P249" s="222"/>
      <c r="Q249" s="223"/>
      <c r="R249" s="22"/>
      <c r="S249" s="224"/>
      <c r="T249" s="225"/>
      <c r="U249" s="174"/>
      <c r="V249" s="174"/>
      <c r="W249" s="190"/>
      <c r="X249" s="213"/>
      <c r="Y249" s="177"/>
      <c r="Z249" s="177"/>
      <c r="AA249" s="190"/>
      <c r="AB249" s="145"/>
      <c r="AC249" s="145"/>
      <c r="AD249" s="214"/>
      <c r="AE249" s="145"/>
      <c r="AF249" s="22"/>
    </row>
    <row r="250" spans="1:32" ht="15.75" customHeight="1" x14ac:dyDescent="0.45">
      <c r="A250" s="22"/>
      <c r="B250" s="22"/>
      <c r="C250" s="22"/>
      <c r="D250" s="164"/>
      <c r="E250" s="22"/>
      <c r="F250" s="165"/>
      <c r="G250" s="22"/>
      <c r="H250" s="22"/>
      <c r="I250" s="479"/>
      <c r="J250" s="167"/>
      <c r="K250" s="22"/>
      <c r="L250" s="220"/>
      <c r="M250" s="167"/>
      <c r="N250" s="167"/>
      <c r="O250" s="221"/>
      <c r="P250" s="222"/>
      <c r="Q250" s="223"/>
      <c r="R250" s="22"/>
      <c r="S250" s="224"/>
      <c r="T250" s="225"/>
      <c r="U250" s="174"/>
      <c r="V250" s="174"/>
      <c r="W250" s="190"/>
      <c r="X250" s="213"/>
      <c r="Y250" s="177"/>
      <c r="Z250" s="177"/>
      <c r="AA250" s="190"/>
      <c r="AB250" s="145"/>
      <c r="AC250" s="145"/>
      <c r="AD250" s="214"/>
      <c r="AE250" s="145"/>
      <c r="AF250" s="22"/>
    </row>
    <row r="251" spans="1:32" ht="15.75" customHeight="1" x14ac:dyDescent="0.45">
      <c r="A251" s="22"/>
      <c r="B251" s="22"/>
      <c r="C251" s="22"/>
      <c r="D251" s="164"/>
      <c r="E251" s="22"/>
      <c r="F251" s="165"/>
      <c r="G251" s="22"/>
      <c r="H251" s="22"/>
      <c r="I251" s="479"/>
      <c r="J251" s="167"/>
      <c r="K251" s="22"/>
      <c r="L251" s="220"/>
      <c r="M251" s="167"/>
      <c r="N251" s="167"/>
      <c r="O251" s="221"/>
      <c r="P251" s="222"/>
      <c r="Q251" s="223"/>
      <c r="R251" s="22"/>
      <c r="S251" s="224"/>
      <c r="T251" s="225"/>
      <c r="U251" s="174"/>
      <c r="V251" s="174"/>
      <c r="W251" s="190"/>
      <c r="X251" s="213"/>
      <c r="Y251" s="177"/>
      <c r="Z251" s="177"/>
      <c r="AA251" s="190"/>
      <c r="AB251" s="145"/>
      <c r="AC251" s="145"/>
      <c r="AD251" s="214"/>
      <c r="AE251" s="145"/>
      <c r="AF251" s="22"/>
    </row>
    <row r="252" spans="1:32" ht="15.75" customHeight="1" x14ac:dyDescent="0.45">
      <c r="A252" s="22"/>
      <c r="B252" s="22"/>
      <c r="C252" s="22"/>
      <c r="D252" s="164"/>
      <c r="E252" s="22"/>
      <c r="F252" s="165"/>
      <c r="G252" s="22"/>
      <c r="H252" s="22"/>
      <c r="I252" s="479"/>
      <c r="J252" s="167"/>
      <c r="K252" s="22"/>
      <c r="L252" s="220"/>
      <c r="M252" s="167"/>
      <c r="N252" s="167"/>
      <c r="O252" s="221"/>
      <c r="P252" s="222"/>
      <c r="Q252" s="223"/>
      <c r="R252" s="22"/>
      <c r="S252" s="224"/>
      <c r="T252" s="225"/>
      <c r="U252" s="174"/>
      <c r="V252" s="174"/>
      <c r="W252" s="190"/>
      <c r="X252" s="213"/>
      <c r="Y252" s="177"/>
      <c r="Z252" s="177"/>
      <c r="AA252" s="190"/>
      <c r="AB252" s="145"/>
      <c r="AC252" s="145"/>
      <c r="AD252" s="214"/>
      <c r="AE252" s="145"/>
      <c r="AF252" s="22"/>
    </row>
    <row r="253" spans="1:32" ht="15.75" customHeight="1" x14ac:dyDescent="0.45">
      <c r="A253" s="22"/>
      <c r="B253" s="22"/>
      <c r="C253" s="22"/>
      <c r="D253" s="164"/>
      <c r="E253" s="22"/>
      <c r="F253" s="165"/>
      <c r="G253" s="22"/>
      <c r="H253" s="22"/>
      <c r="I253" s="479"/>
      <c r="J253" s="167"/>
      <c r="K253" s="22"/>
      <c r="L253" s="220"/>
      <c r="M253" s="167"/>
      <c r="N253" s="167"/>
      <c r="O253" s="221"/>
      <c r="P253" s="222"/>
      <c r="Q253" s="223"/>
      <c r="R253" s="22"/>
      <c r="S253" s="224"/>
      <c r="T253" s="225"/>
      <c r="U253" s="174"/>
      <c r="V253" s="174"/>
      <c r="W253" s="190"/>
      <c r="X253" s="213"/>
      <c r="Y253" s="177"/>
      <c r="Z253" s="177"/>
      <c r="AA253" s="190"/>
      <c r="AB253" s="145"/>
      <c r="AC253" s="145"/>
      <c r="AD253" s="214"/>
      <c r="AE253" s="145"/>
      <c r="AF253" s="22"/>
    </row>
    <row r="254" spans="1:32" ht="15.75" customHeight="1" x14ac:dyDescent="0.45">
      <c r="A254" s="22"/>
      <c r="B254" s="22"/>
      <c r="C254" s="22"/>
      <c r="D254" s="164"/>
      <c r="E254" s="22"/>
      <c r="F254" s="165"/>
      <c r="G254" s="22"/>
      <c r="H254" s="22"/>
      <c r="I254" s="479"/>
      <c r="J254" s="167"/>
      <c r="K254" s="22"/>
      <c r="L254" s="220"/>
      <c r="M254" s="167"/>
      <c r="N254" s="167"/>
      <c r="O254" s="221"/>
      <c r="P254" s="222"/>
      <c r="Q254" s="223"/>
      <c r="R254" s="22"/>
      <c r="S254" s="224"/>
      <c r="T254" s="225"/>
      <c r="U254" s="174"/>
      <c r="V254" s="174"/>
      <c r="W254" s="190"/>
      <c r="X254" s="213"/>
      <c r="Y254" s="177"/>
      <c r="Z254" s="177"/>
      <c r="AA254" s="190"/>
      <c r="AB254" s="145"/>
      <c r="AC254" s="145"/>
      <c r="AD254" s="214"/>
      <c r="AE254" s="145"/>
      <c r="AF254" s="22"/>
    </row>
    <row r="255" spans="1:32" ht="15.75" customHeight="1" x14ac:dyDescent="0.45">
      <c r="A255" s="22"/>
      <c r="B255" s="22"/>
      <c r="C255" s="22"/>
      <c r="D255" s="164"/>
      <c r="E255" s="22"/>
      <c r="F255" s="165"/>
      <c r="G255" s="22"/>
      <c r="H255" s="22"/>
      <c r="I255" s="479"/>
      <c r="J255" s="167"/>
      <c r="K255" s="22"/>
      <c r="L255" s="220"/>
      <c r="M255" s="167"/>
      <c r="N255" s="167"/>
      <c r="O255" s="221"/>
      <c r="P255" s="222"/>
      <c r="Q255" s="223"/>
      <c r="R255" s="22"/>
      <c r="S255" s="224"/>
      <c r="T255" s="225"/>
      <c r="U255" s="174"/>
      <c r="V255" s="174"/>
      <c r="W255" s="190"/>
      <c r="X255" s="213"/>
      <c r="Y255" s="177"/>
      <c r="Z255" s="177"/>
      <c r="AA255" s="190"/>
      <c r="AB255" s="145"/>
      <c r="AC255" s="145"/>
      <c r="AD255" s="214"/>
      <c r="AE255" s="145"/>
      <c r="AF255" s="22"/>
    </row>
    <row r="256" spans="1:32" ht="15.75" customHeight="1" x14ac:dyDescent="0.45">
      <c r="A256" s="22"/>
      <c r="B256" s="22"/>
      <c r="C256" s="22"/>
      <c r="D256" s="164"/>
      <c r="E256" s="22"/>
      <c r="F256" s="165"/>
      <c r="G256" s="22"/>
      <c r="H256" s="22"/>
      <c r="I256" s="479"/>
      <c r="J256" s="167"/>
      <c r="K256" s="22"/>
      <c r="L256" s="220"/>
      <c r="M256" s="167"/>
      <c r="N256" s="167"/>
      <c r="O256" s="221"/>
      <c r="P256" s="222"/>
      <c r="Q256" s="223"/>
      <c r="R256" s="22"/>
      <c r="S256" s="224"/>
      <c r="T256" s="225"/>
      <c r="U256" s="174"/>
      <c r="V256" s="174"/>
      <c r="W256" s="190"/>
      <c r="X256" s="213"/>
      <c r="Y256" s="177"/>
      <c r="Z256" s="177"/>
      <c r="AA256" s="190"/>
      <c r="AB256" s="145"/>
      <c r="AC256" s="145"/>
      <c r="AD256" s="214"/>
      <c r="AE256" s="145"/>
      <c r="AF256" s="22"/>
    </row>
    <row r="257" spans="1:32" ht="15.75" customHeight="1" x14ac:dyDescent="0.45">
      <c r="A257" s="22"/>
      <c r="B257" s="22"/>
      <c r="C257" s="22"/>
      <c r="D257" s="164"/>
      <c r="E257" s="22"/>
      <c r="F257" s="165"/>
      <c r="G257" s="22"/>
      <c r="H257" s="22"/>
      <c r="I257" s="479"/>
      <c r="J257" s="167"/>
      <c r="K257" s="22"/>
      <c r="L257" s="220"/>
      <c r="M257" s="167"/>
      <c r="N257" s="167"/>
      <c r="O257" s="221"/>
      <c r="P257" s="222"/>
      <c r="Q257" s="223"/>
      <c r="R257" s="22"/>
      <c r="S257" s="224"/>
      <c r="T257" s="225"/>
      <c r="U257" s="174"/>
      <c r="V257" s="174"/>
      <c r="W257" s="190"/>
      <c r="X257" s="213"/>
      <c r="Y257" s="177"/>
      <c r="Z257" s="177"/>
      <c r="AA257" s="190"/>
      <c r="AB257" s="145"/>
      <c r="AC257" s="145"/>
      <c r="AD257" s="214"/>
      <c r="AE257" s="145"/>
      <c r="AF257" s="22"/>
    </row>
    <row r="258" spans="1:32" ht="15.75" customHeight="1" x14ac:dyDescent="0.45">
      <c r="A258" s="22"/>
      <c r="B258" s="22"/>
      <c r="C258" s="22"/>
      <c r="D258" s="164"/>
      <c r="E258" s="22"/>
      <c r="F258" s="165"/>
      <c r="G258" s="22"/>
      <c r="H258" s="22"/>
      <c r="I258" s="479"/>
      <c r="J258" s="167"/>
      <c r="K258" s="22"/>
      <c r="L258" s="220"/>
      <c r="M258" s="167"/>
      <c r="N258" s="167"/>
      <c r="O258" s="221"/>
      <c r="P258" s="222"/>
      <c r="Q258" s="223"/>
      <c r="R258" s="22"/>
      <c r="S258" s="224"/>
      <c r="T258" s="225"/>
      <c r="U258" s="174"/>
      <c r="V258" s="174"/>
      <c r="W258" s="190"/>
      <c r="X258" s="213"/>
      <c r="Y258" s="177"/>
      <c r="Z258" s="177"/>
      <c r="AA258" s="190"/>
      <c r="AB258" s="145"/>
      <c r="AC258" s="145"/>
      <c r="AD258" s="214"/>
      <c r="AE258" s="145"/>
      <c r="AF258" s="22"/>
    </row>
    <row r="259" spans="1:32" ht="15.75" customHeight="1" x14ac:dyDescent="0.45">
      <c r="A259" s="22"/>
      <c r="B259" s="22"/>
      <c r="C259" s="22"/>
      <c r="D259" s="164"/>
      <c r="E259" s="22"/>
      <c r="F259" s="165"/>
      <c r="G259" s="22"/>
      <c r="H259" s="22"/>
      <c r="I259" s="479"/>
      <c r="J259" s="167"/>
      <c r="K259" s="22"/>
      <c r="L259" s="220"/>
      <c r="M259" s="167"/>
      <c r="N259" s="167"/>
      <c r="O259" s="221"/>
      <c r="P259" s="222"/>
      <c r="Q259" s="223"/>
      <c r="R259" s="22"/>
      <c r="S259" s="224"/>
      <c r="T259" s="225"/>
      <c r="U259" s="174"/>
      <c r="V259" s="174"/>
      <c r="W259" s="190"/>
      <c r="X259" s="213"/>
      <c r="Y259" s="177"/>
      <c r="Z259" s="177"/>
      <c r="AA259" s="190"/>
      <c r="AB259" s="145"/>
      <c r="AC259" s="145"/>
      <c r="AD259" s="214"/>
      <c r="AE259" s="145"/>
      <c r="AF259" s="22"/>
    </row>
    <row r="260" spans="1:32" ht="15.75" customHeight="1" x14ac:dyDescent="0.45">
      <c r="A260" s="22"/>
      <c r="B260" s="22"/>
      <c r="C260" s="22"/>
      <c r="D260" s="164"/>
      <c r="E260" s="22"/>
      <c r="F260" s="165"/>
      <c r="G260" s="22"/>
      <c r="H260" s="22"/>
      <c r="I260" s="479"/>
      <c r="J260" s="167"/>
      <c r="K260" s="22"/>
      <c r="L260" s="220"/>
      <c r="M260" s="167"/>
      <c r="N260" s="167"/>
      <c r="O260" s="221"/>
      <c r="P260" s="222"/>
      <c r="Q260" s="223"/>
      <c r="R260" s="22"/>
      <c r="S260" s="224"/>
      <c r="T260" s="225"/>
      <c r="U260" s="174"/>
      <c r="V260" s="174"/>
      <c r="W260" s="190"/>
      <c r="X260" s="213"/>
      <c r="Y260" s="177"/>
      <c r="Z260" s="177"/>
      <c r="AA260" s="190"/>
      <c r="AB260" s="145"/>
      <c r="AC260" s="145"/>
      <c r="AD260" s="214"/>
      <c r="AE260" s="145"/>
      <c r="AF260" s="22"/>
    </row>
    <row r="261" spans="1:32" ht="15.75" customHeight="1" x14ac:dyDescent="0.45">
      <c r="A261" s="22"/>
      <c r="B261" s="22"/>
      <c r="C261" s="22"/>
      <c r="D261" s="164"/>
      <c r="E261" s="22"/>
      <c r="F261" s="165"/>
      <c r="G261" s="22"/>
      <c r="H261" s="22"/>
      <c r="I261" s="479"/>
      <c r="J261" s="167"/>
      <c r="K261" s="22"/>
      <c r="L261" s="220"/>
      <c r="M261" s="167"/>
      <c r="N261" s="167"/>
      <c r="O261" s="221"/>
      <c r="P261" s="222"/>
      <c r="Q261" s="223"/>
      <c r="R261" s="22"/>
      <c r="S261" s="224"/>
      <c r="T261" s="225"/>
      <c r="U261" s="174"/>
      <c r="V261" s="174"/>
      <c r="W261" s="190"/>
      <c r="X261" s="213"/>
      <c r="Y261" s="177"/>
      <c r="Z261" s="177"/>
      <c r="AA261" s="190"/>
      <c r="AB261" s="145"/>
      <c r="AC261" s="145"/>
      <c r="AD261" s="214"/>
      <c r="AE261" s="145"/>
      <c r="AF261" s="22"/>
    </row>
    <row r="262" spans="1:32" ht="15.75" customHeight="1" x14ac:dyDescent="0.45">
      <c r="A262" s="22"/>
      <c r="B262" s="22"/>
      <c r="C262" s="22"/>
      <c r="D262" s="164"/>
      <c r="E262" s="22"/>
      <c r="F262" s="165"/>
      <c r="G262" s="22"/>
      <c r="H262" s="22"/>
      <c r="I262" s="479"/>
      <c r="J262" s="167"/>
      <c r="K262" s="22"/>
      <c r="L262" s="220"/>
      <c r="M262" s="167"/>
      <c r="N262" s="167"/>
      <c r="O262" s="221"/>
      <c r="P262" s="222"/>
      <c r="Q262" s="223"/>
      <c r="R262" s="22"/>
      <c r="S262" s="224"/>
      <c r="T262" s="225"/>
      <c r="U262" s="174"/>
      <c r="V262" s="174"/>
      <c r="W262" s="190"/>
      <c r="X262" s="213"/>
      <c r="Y262" s="177"/>
      <c r="Z262" s="177"/>
      <c r="AA262" s="190"/>
      <c r="AB262" s="145"/>
      <c r="AC262" s="145"/>
      <c r="AD262" s="214"/>
      <c r="AE262" s="145"/>
      <c r="AF262" s="22"/>
    </row>
    <row r="263" spans="1:32" ht="15.75" customHeight="1" x14ac:dyDescent="0.45">
      <c r="A263" s="22"/>
      <c r="B263" s="22"/>
      <c r="C263" s="22"/>
      <c r="D263" s="164"/>
      <c r="E263" s="22"/>
      <c r="F263" s="165"/>
      <c r="G263" s="22"/>
      <c r="H263" s="22"/>
      <c r="I263" s="479"/>
      <c r="J263" s="167"/>
      <c r="K263" s="22"/>
      <c r="L263" s="220"/>
      <c r="M263" s="167"/>
      <c r="N263" s="167"/>
      <c r="O263" s="221"/>
      <c r="P263" s="222"/>
      <c r="Q263" s="223"/>
      <c r="R263" s="22"/>
      <c r="S263" s="224"/>
      <c r="T263" s="225"/>
      <c r="U263" s="174"/>
      <c r="V263" s="174"/>
      <c r="W263" s="190"/>
      <c r="X263" s="213"/>
      <c r="Y263" s="177"/>
      <c r="Z263" s="177"/>
      <c r="AA263" s="190"/>
      <c r="AB263" s="145"/>
      <c r="AC263" s="145"/>
      <c r="AD263" s="214"/>
      <c r="AE263" s="145"/>
      <c r="AF263" s="22"/>
    </row>
    <row r="264" spans="1:32" ht="15.75" customHeight="1" x14ac:dyDescent="0.45">
      <c r="A264" s="22"/>
      <c r="B264" s="22"/>
      <c r="C264" s="22"/>
      <c r="D264" s="164"/>
      <c r="E264" s="22"/>
      <c r="F264" s="165"/>
      <c r="G264" s="22"/>
      <c r="H264" s="22"/>
      <c r="I264" s="479"/>
      <c r="J264" s="167"/>
      <c r="K264" s="22"/>
      <c r="L264" s="220"/>
      <c r="M264" s="167"/>
      <c r="N264" s="167"/>
      <c r="O264" s="221"/>
      <c r="P264" s="222"/>
      <c r="Q264" s="223"/>
      <c r="R264" s="22"/>
      <c r="S264" s="224"/>
      <c r="T264" s="225"/>
      <c r="U264" s="174"/>
      <c r="V264" s="174"/>
      <c r="W264" s="190"/>
      <c r="X264" s="213"/>
      <c r="Y264" s="177"/>
      <c r="Z264" s="177"/>
      <c r="AA264" s="190"/>
      <c r="AB264" s="145"/>
      <c r="AC264" s="145"/>
      <c r="AD264" s="214"/>
      <c r="AE264" s="145"/>
      <c r="AF264" s="22"/>
    </row>
    <row r="265" spans="1:32" ht="15.75" customHeight="1" x14ac:dyDescent="0.45">
      <c r="A265" s="22"/>
      <c r="B265" s="22"/>
      <c r="C265" s="22"/>
      <c r="D265" s="164"/>
      <c r="E265" s="22"/>
      <c r="F265" s="165"/>
      <c r="G265" s="22"/>
      <c r="H265" s="22"/>
      <c r="I265" s="479"/>
      <c r="J265" s="167"/>
      <c r="K265" s="22"/>
      <c r="L265" s="220"/>
      <c r="M265" s="167"/>
      <c r="N265" s="167"/>
      <c r="O265" s="221"/>
      <c r="P265" s="222"/>
      <c r="Q265" s="223"/>
      <c r="R265" s="22"/>
      <c r="S265" s="224"/>
      <c r="T265" s="225"/>
      <c r="U265" s="174"/>
      <c r="V265" s="174"/>
      <c r="W265" s="190"/>
      <c r="X265" s="213"/>
      <c r="Y265" s="177"/>
      <c r="Z265" s="177"/>
      <c r="AA265" s="190"/>
      <c r="AB265" s="145"/>
      <c r="AC265" s="145"/>
      <c r="AD265" s="214"/>
      <c r="AE265" s="145"/>
      <c r="AF265" s="22"/>
    </row>
    <row r="266" spans="1:32" ht="15.75" customHeight="1" x14ac:dyDescent="0.45">
      <c r="A266" s="22"/>
      <c r="B266" s="22"/>
      <c r="C266" s="22"/>
      <c r="D266" s="164"/>
      <c r="E266" s="22"/>
      <c r="F266" s="165"/>
      <c r="G266" s="22"/>
      <c r="H266" s="22"/>
      <c r="I266" s="479"/>
      <c r="J266" s="167"/>
      <c r="K266" s="22"/>
      <c r="L266" s="220"/>
      <c r="M266" s="167"/>
      <c r="N266" s="167"/>
      <c r="O266" s="221"/>
      <c r="P266" s="222"/>
      <c r="Q266" s="223"/>
      <c r="R266" s="22"/>
      <c r="S266" s="224"/>
      <c r="T266" s="225"/>
      <c r="U266" s="174"/>
      <c r="V266" s="174"/>
      <c r="W266" s="190"/>
      <c r="X266" s="213"/>
      <c r="Y266" s="177"/>
      <c r="Z266" s="177"/>
      <c r="AA266" s="190"/>
      <c r="AB266" s="145"/>
      <c r="AC266" s="145"/>
      <c r="AD266" s="214"/>
      <c r="AE266" s="145"/>
      <c r="AF266" s="22"/>
    </row>
    <row r="267" spans="1:32" ht="15.75" customHeight="1" x14ac:dyDescent="0.45">
      <c r="A267" s="22"/>
      <c r="B267" s="22"/>
      <c r="C267" s="22"/>
      <c r="D267" s="164"/>
      <c r="E267" s="22"/>
      <c r="F267" s="165"/>
      <c r="G267" s="22"/>
      <c r="H267" s="22"/>
      <c r="I267" s="479"/>
      <c r="J267" s="167"/>
      <c r="K267" s="22"/>
      <c r="L267" s="220"/>
      <c r="M267" s="167"/>
      <c r="N267" s="167"/>
      <c r="O267" s="221"/>
      <c r="P267" s="222"/>
      <c r="Q267" s="223"/>
      <c r="R267" s="22"/>
      <c r="S267" s="224"/>
      <c r="T267" s="225"/>
      <c r="U267" s="174"/>
      <c r="V267" s="174"/>
      <c r="W267" s="190"/>
      <c r="X267" s="213"/>
      <c r="Y267" s="177"/>
      <c r="Z267" s="177"/>
      <c r="AA267" s="190"/>
      <c r="AB267" s="145"/>
      <c r="AC267" s="145"/>
      <c r="AD267" s="214"/>
      <c r="AE267" s="145"/>
      <c r="AF267" s="22"/>
    </row>
    <row r="268" spans="1:32" ht="15.75" customHeight="1" x14ac:dyDescent="0.45">
      <c r="A268" s="22"/>
      <c r="B268" s="22"/>
      <c r="C268" s="22"/>
      <c r="D268" s="164"/>
      <c r="E268" s="22"/>
      <c r="F268" s="165"/>
      <c r="G268" s="22"/>
      <c r="H268" s="22"/>
      <c r="I268" s="479"/>
      <c r="J268" s="167"/>
      <c r="K268" s="22"/>
      <c r="L268" s="220"/>
      <c r="M268" s="167"/>
      <c r="N268" s="167"/>
      <c r="O268" s="221"/>
      <c r="P268" s="222"/>
      <c r="Q268" s="223"/>
      <c r="R268" s="22"/>
      <c r="S268" s="224"/>
      <c r="T268" s="225"/>
      <c r="U268" s="174"/>
      <c r="V268" s="174"/>
      <c r="W268" s="190"/>
      <c r="X268" s="213"/>
      <c r="Y268" s="177"/>
      <c r="Z268" s="177"/>
      <c r="AA268" s="190"/>
      <c r="AB268" s="145"/>
      <c r="AC268" s="145"/>
      <c r="AD268" s="214"/>
      <c r="AE268" s="145"/>
      <c r="AF268" s="22"/>
    </row>
    <row r="269" spans="1:32" ht="15.75" customHeight="1" x14ac:dyDescent="0.45">
      <c r="A269" s="22"/>
      <c r="B269" s="22"/>
      <c r="C269" s="22"/>
      <c r="D269" s="164"/>
      <c r="E269" s="22"/>
      <c r="F269" s="165"/>
      <c r="G269" s="22"/>
      <c r="H269" s="22"/>
      <c r="I269" s="479"/>
      <c r="J269" s="167"/>
      <c r="K269" s="22"/>
      <c r="L269" s="220"/>
      <c r="M269" s="167"/>
      <c r="N269" s="167"/>
      <c r="O269" s="221"/>
      <c r="P269" s="222"/>
      <c r="Q269" s="223"/>
      <c r="R269" s="22"/>
      <c r="S269" s="224"/>
      <c r="T269" s="225"/>
      <c r="U269" s="174"/>
      <c r="V269" s="174"/>
      <c r="W269" s="190"/>
      <c r="X269" s="213"/>
      <c r="Y269" s="177"/>
      <c r="Z269" s="177"/>
      <c r="AA269" s="190"/>
      <c r="AB269" s="145"/>
      <c r="AC269" s="145"/>
      <c r="AD269" s="214"/>
      <c r="AE269" s="145"/>
      <c r="AF269" s="22"/>
    </row>
    <row r="270" spans="1:32" ht="15.75" customHeight="1" x14ac:dyDescent="0.45">
      <c r="A270" s="22"/>
      <c r="B270" s="22"/>
      <c r="C270" s="22"/>
      <c r="D270" s="164"/>
      <c r="E270" s="22"/>
      <c r="F270" s="165"/>
      <c r="G270" s="22"/>
      <c r="H270" s="22"/>
      <c r="I270" s="479"/>
      <c r="J270" s="167"/>
      <c r="K270" s="22"/>
      <c r="L270" s="220"/>
      <c r="M270" s="167"/>
      <c r="N270" s="167"/>
      <c r="O270" s="221"/>
      <c r="P270" s="222"/>
      <c r="Q270" s="223"/>
      <c r="R270" s="22"/>
      <c r="S270" s="224"/>
      <c r="T270" s="225"/>
      <c r="U270" s="174"/>
      <c r="V270" s="174"/>
      <c r="W270" s="190"/>
      <c r="X270" s="213"/>
      <c r="Y270" s="177"/>
      <c r="Z270" s="177"/>
      <c r="AA270" s="190"/>
      <c r="AB270" s="145"/>
      <c r="AC270" s="145"/>
      <c r="AD270" s="214"/>
      <c r="AE270" s="145"/>
      <c r="AF270" s="22"/>
    </row>
    <row r="271" spans="1:32" ht="15.75" customHeight="1" x14ac:dyDescent="0.45">
      <c r="A271" s="22"/>
      <c r="B271" s="22"/>
      <c r="C271" s="22"/>
      <c r="D271" s="164"/>
      <c r="E271" s="22"/>
      <c r="F271" s="165"/>
      <c r="G271" s="22"/>
      <c r="H271" s="22"/>
      <c r="I271" s="479"/>
      <c r="J271" s="167"/>
      <c r="K271" s="22"/>
      <c r="L271" s="220"/>
      <c r="M271" s="167"/>
      <c r="N271" s="167"/>
      <c r="O271" s="221"/>
      <c r="P271" s="222"/>
      <c r="Q271" s="223"/>
      <c r="R271" s="22"/>
      <c r="S271" s="224"/>
      <c r="T271" s="225"/>
      <c r="U271" s="174"/>
      <c r="V271" s="174"/>
      <c r="W271" s="190"/>
      <c r="X271" s="213"/>
      <c r="Y271" s="177"/>
      <c r="Z271" s="177"/>
      <c r="AA271" s="190"/>
      <c r="AB271" s="145"/>
      <c r="AC271" s="145"/>
      <c r="AD271" s="214"/>
      <c r="AE271" s="145"/>
      <c r="AF271" s="22"/>
    </row>
    <row r="272" spans="1:32" ht="15.75" customHeight="1" x14ac:dyDescent="0.45">
      <c r="A272" s="22"/>
      <c r="B272" s="22"/>
      <c r="C272" s="22"/>
      <c r="D272" s="164"/>
      <c r="E272" s="22"/>
      <c r="F272" s="165"/>
      <c r="G272" s="22"/>
      <c r="H272" s="22"/>
      <c r="I272" s="479"/>
      <c r="J272" s="167"/>
      <c r="K272" s="22"/>
      <c r="L272" s="220"/>
      <c r="M272" s="167"/>
      <c r="N272" s="167"/>
      <c r="O272" s="221"/>
      <c r="P272" s="222"/>
      <c r="Q272" s="223"/>
      <c r="R272" s="22"/>
      <c r="S272" s="224"/>
      <c r="T272" s="225"/>
      <c r="U272" s="174"/>
      <c r="V272" s="174"/>
      <c r="W272" s="190"/>
      <c r="X272" s="213"/>
      <c r="Y272" s="177"/>
      <c r="Z272" s="177"/>
      <c r="AA272" s="190"/>
      <c r="AB272" s="145"/>
      <c r="AC272" s="145"/>
      <c r="AD272" s="214"/>
      <c r="AE272" s="145"/>
      <c r="AF272" s="22"/>
    </row>
    <row r="273" spans="1:32" ht="15.75" customHeight="1" x14ac:dyDescent="0.45">
      <c r="A273" s="22"/>
      <c r="B273" s="22"/>
      <c r="C273" s="22"/>
      <c r="D273" s="164"/>
      <c r="E273" s="22"/>
      <c r="F273" s="165"/>
      <c r="G273" s="22"/>
      <c r="H273" s="22"/>
      <c r="I273" s="479"/>
      <c r="J273" s="167"/>
      <c r="K273" s="22"/>
      <c r="L273" s="220"/>
      <c r="M273" s="167"/>
      <c r="N273" s="167"/>
      <c r="O273" s="221"/>
      <c r="P273" s="222"/>
      <c r="Q273" s="223"/>
      <c r="R273" s="22"/>
      <c r="S273" s="224"/>
      <c r="T273" s="225"/>
      <c r="U273" s="174"/>
      <c r="V273" s="174"/>
      <c r="W273" s="190"/>
      <c r="X273" s="213"/>
      <c r="Y273" s="177"/>
      <c r="Z273" s="177"/>
      <c r="AA273" s="190"/>
      <c r="AB273" s="145"/>
      <c r="AC273" s="145"/>
      <c r="AD273" s="214"/>
      <c r="AE273" s="145"/>
      <c r="AF273" s="22"/>
    </row>
    <row r="274" spans="1:32" ht="15.75" customHeight="1" x14ac:dyDescent="0.45">
      <c r="A274" s="22"/>
      <c r="B274" s="22"/>
      <c r="C274" s="22"/>
      <c r="D274" s="164"/>
      <c r="E274" s="22"/>
      <c r="F274" s="165"/>
      <c r="G274" s="22"/>
      <c r="H274" s="22"/>
      <c r="I274" s="479"/>
      <c r="J274" s="167"/>
      <c r="K274" s="22"/>
      <c r="L274" s="220"/>
      <c r="M274" s="167"/>
      <c r="N274" s="167"/>
      <c r="O274" s="221"/>
      <c r="P274" s="222"/>
      <c r="Q274" s="223"/>
      <c r="R274" s="22"/>
      <c r="S274" s="224"/>
      <c r="T274" s="225"/>
      <c r="U274" s="174"/>
      <c r="V274" s="174"/>
      <c r="W274" s="190"/>
      <c r="X274" s="213"/>
      <c r="Y274" s="177"/>
      <c r="Z274" s="177"/>
      <c r="AA274" s="190"/>
      <c r="AB274" s="145"/>
      <c r="AC274" s="145"/>
      <c r="AD274" s="214"/>
      <c r="AE274" s="145"/>
      <c r="AF274" s="22"/>
    </row>
    <row r="275" spans="1:32" ht="15.75" customHeight="1" x14ac:dyDescent="0.45">
      <c r="A275" s="22"/>
      <c r="B275" s="22"/>
      <c r="C275" s="22"/>
      <c r="D275" s="164"/>
      <c r="E275" s="22"/>
      <c r="F275" s="165"/>
      <c r="G275" s="22"/>
      <c r="H275" s="22"/>
      <c r="I275" s="479"/>
      <c r="J275" s="167"/>
      <c r="K275" s="22"/>
      <c r="L275" s="220"/>
      <c r="M275" s="167"/>
      <c r="N275" s="167"/>
      <c r="O275" s="221"/>
      <c r="P275" s="222"/>
      <c r="Q275" s="223"/>
      <c r="R275" s="22"/>
      <c r="S275" s="224"/>
      <c r="T275" s="225"/>
      <c r="U275" s="174"/>
      <c r="V275" s="174"/>
      <c r="W275" s="190"/>
      <c r="X275" s="213"/>
      <c r="Y275" s="177"/>
      <c r="Z275" s="177"/>
      <c r="AA275" s="190"/>
      <c r="AB275" s="145"/>
      <c r="AC275" s="145"/>
      <c r="AD275" s="214"/>
      <c r="AE275" s="145"/>
      <c r="AF275" s="22"/>
    </row>
    <row r="276" spans="1:32" ht="15.75" customHeight="1" x14ac:dyDescent="0.45">
      <c r="A276" s="22"/>
      <c r="B276" s="22"/>
      <c r="C276" s="22"/>
      <c r="D276" s="164"/>
      <c r="E276" s="22"/>
      <c r="F276" s="165"/>
      <c r="G276" s="22"/>
      <c r="H276" s="22"/>
      <c r="I276" s="479"/>
      <c r="J276" s="167"/>
      <c r="K276" s="22"/>
      <c r="L276" s="220"/>
      <c r="M276" s="167"/>
      <c r="N276" s="167"/>
      <c r="O276" s="221"/>
      <c r="P276" s="222"/>
      <c r="Q276" s="223"/>
      <c r="R276" s="22"/>
      <c r="S276" s="224"/>
      <c r="T276" s="225"/>
      <c r="U276" s="174"/>
      <c r="V276" s="174"/>
      <c r="W276" s="190"/>
      <c r="X276" s="213"/>
      <c r="Y276" s="177"/>
      <c r="Z276" s="177"/>
      <c r="AA276" s="190"/>
      <c r="AB276" s="145"/>
      <c r="AC276" s="145"/>
      <c r="AD276" s="214"/>
      <c r="AE276" s="145"/>
      <c r="AF276" s="22"/>
    </row>
    <row r="277" spans="1:32" ht="15.75" customHeight="1" x14ac:dyDescent="0.45">
      <c r="A277" s="22"/>
      <c r="B277" s="22"/>
      <c r="C277" s="22"/>
      <c r="D277" s="164"/>
      <c r="E277" s="22"/>
      <c r="F277" s="165"/>
      <c r="G277" s="22"/>
      <c r="H277" s="22"/>
      <c r="I277" s="479"/>
      <c r="J277" s="167"/>
      <c r="K277" s="22"/>
      <c r="L277" s="220"/>
      <c r="M277" s="167"/>
      <c r="N277" s="167"/>
      <c r="O277" s="221"/>
      <c r="P277" s="222"/>
      <c r="Q277" s="223"/>
      <c r="R277" s="22"/>
      <c r="S277" s="224"/>
      <c r="T277" s="225"/>
      <c r="U277" s="174"/>
      <c r="V277" s="174"/>
      <c r="W277" s="190"/>
      <c r="X277" s="213"/>
      <c r="Y277" s="177"/>
      <c r="Z277" s="177"/>
      <c r="AA277" s="190"/>
      <c r="AB277" s="145"/>
      <c r="AC277" s="145"/>
      <c r="AD277" s="214"/>
      <c r="AE277" s="145"/>
      <c r="AF277" s="22"/>
    </row>
    <row r="278" spans="1:32" ht="15.75" customHeight="1" x14ac:dyDescent="0.45">
      <c r="A278" s="22"/>
      <c r="B278" s="22"/>
      <c r="C278" s="22"/>
      <c r="D278" s="164"/>
      <c r="E278" s="22"/>
      <c r="F278" s="165"/>
      <c r="G278" s="22"/>
      <c r="H278" s="22"/>
      <c r="I278" s="479"/>
      <c r="J278" s="167"/>
      <c r="K278" s="22"/>
      <c r="L278" s="220"/>
      <c r="M278" s="167"/>
      <c r="N278" s="167"/>
      <c r="O278" s="221"/>
      <c r="P278" s="222"/>
      <c r="Q278" s="223"/>
      <c r="R278" s="22"/>
      <c r="S278" s="224"/>
      <c r="T278" s="225"/>
      <c r="U278" s="174"/>
      <c r="V278" s="174"/>
      <c r="W278" s="190"/>
      <c r="X278" s="213"/>
      <c r="Y278" s="177"/>
      <c r="Z278" s="177"/>
      <c r="AA278" s="190"/>
      <c r="AB278" s="145"/>
      <c r="AC278" s="145"/>
      <c r="AD278" s="214"/>
      <c r="AE278" s="145"/>
      <c r="AF278" s="22"/>
    </row>
    <row r="279" spans="1:32" ht="15.75" customHeight="1" x14ac:dyDescent="0.45">
      <c r="A279" s="22"/>
      <c r="B279" s="22"/>
      <c r="C279" s="22"/>
      <c r="D279" s="164"/>
      <c r="E279" s="22"/>
      <c r="F279" s="165"/>
      <c r="G279" s="22"/>
      <c r="H279" s="22"/>
      <c r="I279" s="479"/>
      <c r="J279" s="167"/>
      <c r="K279" s="22"/>
      <c r="L279" s="220"/>
      <c r="M279" s="167"/>
      <c r="N279" s="167"/>
      <c r="O279" s="221"/>
      <c r="P279" s="222"/>
      <c r="Q279" s="223"/>
      <c r="R279" s="22"/>
      <c r="S279" s="224"/>
      <c r="T279" s="225"/>
      <c r="U279" s="174"/>
      <c r="V279" s="174"/>
      <c r="W279" s="190"/>
      <c r="X279" s="213"/>
      <c r="Y279" s="177"/>
      <c r="Z279" s="177"/>
      <c r="AA279" s="190"/>
      <c r="AB279" s="145"/>
      <c r="AC279" s="145"/>
      <c r="AD279" s="214"/>
      <c r="AE279" s="145"/>
      <c r="AF279" s="22"/>
    </row>
    <row r="280" spans="1:32" ht="15.75" customHeight="1" x14ac:dyDescent="0.45">
      <c r="A280" s="22"/>
      <c r="B280" s="22"/>
      <c r="C280" s="22"/>
      <c r="D280" s="164"/>
      <c r="E280" s="22"/>
      <c r="F280" s="165"/>
      <c r="G280" s="22"/>
      <c r="H280" s="22"/>
      <c r="I280" s="479"/>
      <c r="J280" s="167"/>
      <c r="K280" s="22"/>
      <c r="L280" s="220"/>
      <c r="M280" s="167"/>
      <c r="N280" s="167"/>
      <c r="O280" s="221"/>
      <c r="P280" s="222"/>
      <c r="Q280" s="223"/>
      <c r="R280" s="22"/>
      <c r="S280" s="224"/>
      <c r="T280" s="225"/>
      <c r="U280" s="174"/>
      <c r="V280" s="174"/>
      <c r="W280" s="190"/>
      <c r="X280" s="213"/>
      <c r="Y280" s="177"/>
      <c r="Z280" s="177"/>
      <c r="AA280" s="190"/>
      <c r="AB280" s="145"/>
      <c r="AC280" s="145"/>
      <c r="AD280" s="214"/>
      <c r="AE280" s="145"/>
      <c r="AF280" s="22"/>
    </row>
    <row r="281" spans="1:32" ht="15.75" customHeight="1" x14ac:dyDescent="0.45">
      <c r="A281" s="22"/>
      <c r="B281" s="22"/>
      <c r="C281" s="22"/>
      <c r="D281" s="164"/>
      <c r="E281" s="22"/>
      <c r="F281" s="165"/>
      <c r="G281" s="22"/>
      <c r="H281" s="22"/>
      <c r="I281" s="479"/>
      <c r="J281" s="167"/>
      <c r="K281" s="22"/>
      <c r="L281" s="220"/>
      <c r="M281" s="167"/>
      <c r="N281" s="167"/>
      <c r="O281" s="221"/>
      <c r="P281" s="222"/>
      <c r="Q281" s="223"/>
      <c r="R281" s="22"/>
      <c r="S281" s="224"/>
      <c r="T281" s="225"/>
      <c r="U281" s="174"/>
      <c r="V281" s="174"/>
      <c r="W281" s="190"/>
      <c r="X281" s="213"/>
      <c r="Y281" s="177"/>
      <c r="Z281" s="177"/>
      <c r="AA281" s="190"/>
      <c r="AB281" s="145"/>
      <c r="AC281" s="145"/>
      <c r="AD281" s="214"/>
      <c r="AE281" s="145"/>
      <c r="AF281" s="22"/>
    </row>
    <row r="282" spans="1:32" ht="15.75" customHeight="1" x14ac:dyDescent="0.45">
      <c r="A282" s="22"/>
      <c r="B282" s="22"/>
      <c r="C282" s="22"/>
      <c r="D282" s="164"/>
      <c r="E282" s="22"/>
      <c r="F282" s="165"/>
      <c r="G282" s="22"/>
      <c r="H282" s="22"/>
      <c r="I282" s="479"/>
      <c r="J282" s="167"/>
      <c r="K282" s="22"/>
      <c r="L282" s="220"/>
      <c r="M282" s="167"/>
      <c r="N282" s="167"/>
      <c r="O282" s="221"/>
      <c r="P282" s="222"/>
      <c r="Q282" s="223"/>
      <c r="R282" s="22"/>
      <c r="S282" s="224"/>
      <c r="T282" s="225"/>
      <c r="U282" s="174"/>
      <c r="V282" s="174"/>
      <c r="W282" s="190"/>
      <c r="X282" s="213"/>
      <c r="Y282" s="177"/>
      <c r="Z282" s="177"/>
      <c r="AA282" s="190"/>
      <c r="AB282" s="145"/>
      <c r="AC282" s="145"/>
      <c r="AD282" s="214"/>
      <c r="AE282" s="145"/>
      <c r="AF282" s="22"/>
    </row>
    <row r="283" spans="1:32" ht="15.75" customHeight="1" x14ac:dyDescent="0.45">
      <c r="A283" s="22"/>
      <c r="B283" s="22"/>
      <c r="C283" s="22"/>
      <c r="D283" s="164"/>
      <c r="E283" s="22"/>
      <c r="F283" s="165"/>
      <c r="G283" s="22"/>
      <c r="H283" s="22"/>
      <c r="I283" s="479"/>
      <c r="J283" s="167"/>
      <c r="K283" s="22"/>
      <c r="L283" s="220"/>
      <c r="M283" s="167"/>
      <c r="N283" s="167"/>
      <c r="O283" s="221"/>
      <c r="P283" s="222"/>
      <c r="Q283" s="223"/>
      <c r="R283" s="22"/>
      <c r="S283" s="224"/>
      <c r="T283" s="225"/>
      <c r="U283" s="174"/>
      <c r="V283" s="174"/>
      <c r="W283" s="190"/>
      <c r="X283" s="213"/>
      <c r="Y283" s="177"/>
      <c r="Z283" s="177"/>
      <c r="AA283" s="190"/>
      <c r="AB283" s="145"/>
      <c r="AC283" s="145"/>
      <c r="AD283" s="214"/>
      <c r="AE283" s="145"/>
      <c r="AF283" s="22"/>
    </row>
    <row r="284" spans="1:32" ht="15.75" customHeight="1" x14ac:dyDescent="0.45">
      <c r="A284" s="22"/>
      <c r="B284" s="22"/>
      <c r="C284" s="22"/>
      <c r="D284" s="164"/>
      <c r="E284" s="22"/>
      <c r="F284" s="165"/>
      <c r="G284" s="22"/>
      <c r="H284" s="22"/>
      <c r="I284" s="479"/>
      <c r="J284" s="167"/>
      <c r="K284" s="22"/>
      <c r="L284" s="220"/>
      <c r="M284" s="167"/>
      <c r="N284" s="167"/>
      <c r="O284" s="221"/>
      <c r="P284" s="222"/>
      <c r="Q284" s="223"/>
      <c r="R284" s="22"/>
      <c r="S284" s="224"/>
      <c r="T284" s="225"/>
      <c r="U284" s="174"/>
      <c r="V284" s="174"/>
      <c r="W284" s="190"/>
      <c r="X284" s="213"/>
      <c r="Y284" s="177"/>
      <c r="Z284" s="177"/>
      <c r="AA284" s="190"/>
      <c r="AB284" s="145"/>
      <c r="AC284" s="145"/>
      <c r="AD284" s="214"/>
      <c r="AE284" s="145"/>
      <c r="AF284" s="22"/>
    </row>
    <row r="285" spans="1:32" ht="15.75" customHeight="1" x14ac:dyDescent="0.45">
      <c r="A285" s="22"/>
      <c r="B285" s="22"/>
      <c r="C285" s="22"/>
      <c r="D285" s="164"/>
      <c r="E285" s="22"/>
      <c r="F285" s="165"/>
      <c r="G285" s="22"/>
      <c r="H285" s="22"/>
      <c r="I285" s="479"/>
      <c r="J285" s="167"/>
      <c r="K285" s="22"/>
      <c r="L285" s="220"/>
      <c r="M285" s="167"/>
      <c r="N285" s="167"/>
      <c r="O285" s="221"/>
      <c r="P285" s="222"/>
      <c r="Q285" s="223"/>
      <c r="R285" s="22"/>
      <c r="S285" s="224"/>
      <c r="T285" s="225"/>
      <c r="U285" s="174"/>
      <c r="V285" s="174"/>
      <c r="W285" s="190"/>
      <c r="X285" s="213"/>
      <c r="Y285" s="177"/>
      <c r="Z285" s="177"/>
      <c r="AA285" s="190"/>
      <c r="AB285" s="145"/>
      <c r="AC285" s="145"/>
      <c r="AD285" s="214"/>
      <c r="AE285" s="145"/>
      <c r="AF285" s="22"/>
    </row>
    <row r="286" spans="1:32" ht="15.75" customHeight="1" x14ac:dyDescent="0.45">
      <c r="A286" s="22"/>
      <c r="B286" s="22"/>
      <c r="C286" s="22"/>
      <c r="D286" s="164"/>
      <c r="E286" s="22"/>
      <c r="F286" s="165"/>
      <c r="G286" s="22"/>
      <c r="H286" s="22"/>
      <c r="I286" s="479"/>
      <c r="J286" s="167"/>
      <c r="K286" s="22"/>
      <c r="L286" s="220"/>
      <c r="M286" s="167"/>
      <c r="N286" s="167"/>
      <c r="O286" s="221"/>
      <c r="P286" s="222"/>
      <c r="Q286" s="223"/>
      <c r="R286" s="22"/>
      <c r="S286" s="224"/>
      <c r="T286" s="225"/>
      <c r="U286" s="174"/>
      <c r="V286" s="174"/>
      <c r="W286" s="190"/>
      <c r="X286" s="213"/>
      <c r="Y286" s="177"/>
      <c r="Z286" s="177"/>
      <c r="AA286" s="190"/>
      <c r="AB286" s="145"/>
      <c r="AC286" s="145"/>
      <c r="AD286" s="214"/>
      <c r="AE286" s="145"/>
      <c r="AF286" s="22"/>
    </row>
    <row r="287" spans="1:32" ht="15.75" customHeight="1" x14ac:dyDescent="0.45">
      <c r="A287" s="22"/>
      <c r="B287" s="22"/>
      <c r="C287" s="22"/>
      <c r="D287" s="164"/>
      <c r="E287" s="22"/>
      <c r="F287" s="165"/>
      <c r="G287" s="22"/>
      <c r="H287" s="22"/>
      <c r="I287" s="479"/>
      <c r="J287" s="167"/>
      <c r="K287" s="22"/>
      <c r="L287" s="220"/>
      <c r="M287" s="167"/>
      <c r="N287" s="167"/>
      <c r="O287" s="221"/>
      <c r="P287" s="222"/>
      <c r="Q287" s="223"/>
      <c r="R287" s="22"/>
      <c r="S287" s="224"/>
      <c r="T287" s="225"/>
      <c r="U287" s="174"/>
      <c r="V287" s="174"/>
      <c r="W287" s="190"/>
      <c r="X287" s="213"/>
      <c r="Y287" s="177"/>
      <c r="Z287" s="177"/>
      <c r="AA287" s="190"/>
      <c r="AB287" s="145"/>
      <c r="AC287" s="145"/>
      <c r="AD287" s="214"/>
      <c r="AE287" s="145"/>
      <c r="AF287" s="22"/>
    </row>
    <row r="288" spans="1:32" ht="15.75" customHeight="1" x14ac:dyDescent="0.45">
      <c r="A288" s="22"/>
      <c r="B288" s="22"/>
      <c r="C288" s="22"/>
      <c r="D288" s="164"/>
      <c r="E288" s="22"/>
      <c r="F288" s="165"/>
      <c r="G288" s="22"/>
      <c r="H288" s="22"/>
      <c r="I288" s="479"/>
      <c r="J288" s="167"/>
      <c r="K288" s="22"/>
      <c r="L288" s="220"/>
      <c r="M288" s="167"/>
      <c r="N288" s="167"/>
      <c r="O288" s="221"/>
      <c r="P288" s="222"/>
      <c r="Q288" s="223"/>
      <c r="R288" s="22"/>
      <c r="S288" s="224"/>
      <c r="T288" s="225"/>
      <c r="U288" s="174"/>
      <c r="V288" s="174"/>
      <c r="W288" s="190"/>
      <c r="X288" s="213"/>
      <c r="Y288" s="177"/>
      <c r="Z288" s="177"/>
      <c r="AA288" s="190"/>
      <c r="AB288" s="145"/>
      <c r="AC288" s="145"/>
      <c r="AD288" s="214"/>
      <c r="AE288" s="145"/>
      <c r="AF288" s="22"/>
    </row>
    <row r="289" spans="1:32" ht="15.75" customHeight="1" x14ac:dyDescent="0.45">
      <c r="A289" s="22"/>
      <c r="B289" s="22"/>
      <c r="C289" s="22"/>
      <c r="D289" s="164"/>
      <c r="E289" s="22"/>
      <c r="F289" s="165"/>
      <c r="G289" s="22"/>
      <c r="H289" s="22"/>
      <c r="I289" s="479"/>
      <c r="J289" s="167"/>
      <c r="K289" s="22"/>
      <c r="L289" s="220"/>
      <c r="M289" s="167"/>
      <c r="N289" s="167"/>
      <c r="O289" s="221"/>
      <c r="P289" s="222"/>
      <c r="Q289" s="223"/>
      <c r="R289" s="22"/>
      <c r="S289" s="224"/>
      <c r="T289" s="225"/>
      <c r="U289" s="174"/>
      <c r="V289" s="174"/>
      <c r="W289" s="190"/>
      <c r="X289" s="213"/>
      <c r="Y289" s="177"/>
      <c r="Z289" s="177"/>
      <c r="AA289" s="190"/>
      <c r="AB289" s="145"/>
      <c r="AC289" s="145"/>
      <c r="AD289" s="214"/>
      <c r="AE289" s="145"/>
      <c r="AF289" s="22"/>
    </row>
    <row r="290" spans="1:32" ht="15.75" customHeight="1" x14ac:dyDescent="0.45">
      <c r="A290" s="22"/>
      <c r="B290" s="22"/>
      <c r="C290" s="22"/>
      <c r="D290" s="164"/>
      <c r="E290" s="22"/>
      <c r="F290" s="165"/>
      <c r="G290" s="22"/>
      <c r="H290" s="22"/>
      <c r="I290" s="479"/>
      <c r="J290" s="167"/>
      <c r="K290" s="22"/>
      <c r="L290" s="220"/>
      <c r="M290" s="167"/>
      <c r="N290" s="167"/>
      <c r="O290" s="221"/>
      <c r="P290" s="222"/>
      <c r="Q290" s="223"/>
      <c r="R290" s="22"/>
      <c r="S290" s="224"/>
      <c r="T290" s="225"/>
      <c r="U290" s="174"/>
      <c r="V290" s="174"/>
      <c r="W290" s="190"/>
      <c r="X290" s="213"/>
      <c r="Y290" s="177"/>
      <c r="Z290" s="177"/>
      <c r="AA290" s="190"/>
      <c r="AB290" s="145"/>
      <c r="AC290" s="145"/>
      <c r="AD290" s="214"/>
      <c r="AE290" s="145"/>
      <c r="AF290" s="22"/>
    </row>
    <row r="291" spans="1:32" ht="15.75" customHeight="1" x14ac:dyDescent="0.4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</row>
    <row r="292" spans="1:32" ht="15.75" customHeight="1" x14ac:dyDescent="0.4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</row>
    <row r="293" spans="1:32" ht="15.75" customHeight="1" x14ac:dyDescent="0.4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</row>
    <row r="294" spans="1:32" ht="15.75" customHeight="1" x14ac:dyDescent="0.4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</row>
    <row r="295" spans="1:32" ht="15.75" customHeight="1" x14ac:dyDescent="0.4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</row>
    <row r="296" spans="1:32" ht="15.75" customHeight="1" x14ac:dyDescent="0.4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</row>
    <row r="297" spans="1:32" ht="15.75" customHeight="1" x14ac:dyDescent="0.4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</row>
    <row r="298" spans="1:32" ht="15.75" customHeight="1" x14ac:dyDescent="0.4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</row>
    <row r="299" spans="1:32" ht="15.75" customHeight="1" x14ac:dyDescent="0.4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</row>
    <row r="300" spans="1:32" ht="15.75" customHeight="1" x14ac:dyDescent="0.4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</row>
    <row r="301" spans="1:32" ht="15.75" customHeight="1" x14ac:dyDescent="0.4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</row>
    <row r="302" spans="1:32" ht="15.75" customHeight="1" x14ac:dyDescent="0.4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</row>
    <row r="303" spans="1:32" ht="15.75" customHeight="1" x14ac:dyDescent="0.4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</row>
    <row r="304" spans="1:32" ht="15.75" customHeight="1" x14ac:dyDescent="0.4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</row>
    <row r="305" spans="1:32" ht="15.75" customHeight="1" x14ac:dyDescent="0.4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</row>
    <row r="306" spans="1:32" ht="15.75" customHeight="1" x14ac:dyDescent="0.4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</row>
    <row r="307" spans="1:32" ht="15.75" customHeight="1" x14ac:dyDescent="0.4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</row>
    <row r="308" spans="1:32" ht="15.75" customHeight="1" x14ac:dyDescent="0.4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</row>
    <row r="309" spans="1:32" ht="15.75" customHeight="1" x14ac:dyDescent="0.4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</row>
    <row r="310" spans="1:32" ht="15.75" customHeight="1" x14ac:dyDescent="0.4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</row>
    <row r="311" spans="1:32" ht="15.75" customHeight="1" x14ac:dyDescent="0.4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</row>
    <row r="312" spans="1:32" ht="15.75" customHeight="1" x14ac:dyDescent="0.4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</row>
    <row r="313" spans="1:32" ht="15.75" customHeight="1" x14ac:dyDescent="0.4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</row>
    <row r="314" spans="1:32" ht="15.75" customHeight="1" x14ac:dyDescent="0.4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</row>
    <row r="315" spans="1:32" ht="15.75" customHeight="1" x14ac:dyDescent="0.4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</row>
    <row r="316" spans="1:32" ht="15.75" customHeight="1" x14ac:dyDescent="0.4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</row>
    <row r="317" spans="1:32" ht="15.75" customHeight="1" x14ac:dyDescent="0.4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</row>
    <row r="318" spans="1:32" ht="15.75" customHeight="1" x14ac:dyDescent="0.4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</row>
    <row r="319" spans="1:32" ht="15.75" customHeight="1" x14ac:dyDescent="0.4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</row>
    <row r="320" spans="1:32" ht="15.75" customHeight="1" x14ac:dyDescent="0.4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</row>
    <row r="321" spans="1:32" ht="15.75" customHeight="1" x14ac:dyDescent="0.4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</row>
    <row r="322" spans="1:32" ht="15.75" customHeight="1" x14ac:dyDescent="0.4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</row>
    <row r="323" spans="1:32" ht="15.75" customHeight="1" x14ac:dyDescent="0.4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</row>
    <row r="324" spans="1:32" ht="15.75" customHeight="1" x14ac:dyDescent="0.4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</row>
    <row r="325" spans="1:32" ht="15.75" customHeight="1" x14ac:dyDescent="0.4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</row>
    <row r="326" spans="1:32" ht="15.75" customHeight="1" x14ac:dyDescent="0.4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</row>
    <row r="327" spans="1:32" ht="15.75" customHeight="1" x14ac:dyDescent="0.4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</row>
    <row r="328" spans="1:32" ht="15.75" customHeight="1" x14ac:dyDescent="0.4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</row>
    <row r="329" spans="1:32" ht="15.75" customHeight="1" x14ac:dyDescent="0.4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</row>
    <row r="330" spans="1:32" ht="15.75" customHeight="1" x14ac:dyDescent="0.4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</row>
    <row r="331" spans="1:32" ht="15.75" customHeight="1" x14ac:dyDescent="0.4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</row>
    <row r="332" spans="1:32" ht="15.75" customHeight="1" x14ac:dyDescent="0.4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</row>
    <row r="333" spans="1:32" ht="15.75" customHeight="1" x14ac:dyDescent="0.4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</row>
    <row r="334" spans="1:32" ht="15.75" customHeight="1" x14ac:dyDescent="0.4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</row>
    <row r="335" spans="1:32" ht="15.75" customHeight="1" x14ac:dyDescent="0.4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</row>
    <row r="336" spans="1:32" ht="15.75" customHeight="1" x14ac:dyDescent="0.4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</row>
    <row r="337" spans="1:32" ht="15.75" customHeight="1" x14ac:dyDescent="0.4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</row>
    <row r="338" spans="1:32" ht="15.75" customHeight="1" x14ac:dyDescent="0.4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</row>
    <row r="339" spans="1:32" ht="15.75" customHeight="1" x14ac:dyDescent="0.4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</row>
    <row r="340" spans="1:32" ht="15.75" customHeight="1" x14ac:dyDescent="0.4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</row>
    <row r="341" spans="1:32" ht="15.75" customHeight="1" x14ac:dyDescent="0.4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</row>
    <row r="342" spans="1:32" ht="15.75" customHeight="1" x14ac:dyDescent="0.4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</row>
    <row r="343" spans="1:32" ht="15.75" customHeight="1" x14ac:dyDescent="0.4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</row>
    <row r="344" spans="1:32" ht="15.75" customHeight="1" x14ac:dyDescent="0.4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</row>
    <row r="345" spans="1:32" ht="15.75" customHeight="1" x14ac:dyDescent="0.4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</row>
    <row r="346" spans="1:32" ht="15.75" customHeight="1" x14ac:dyDescent="0.4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</row>
    <row r="347" spans="1:32" ht="15.75" customHeight="1" x14ac:dyDescent="0.4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</row>
    <row r="348" spans="1:32" ht="15.75" customHeight="1" x14ac:dyDescent="0.4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</row>
    <row r="349" spans="1:32" ht="15.75" customHeight="1" x14ac:dyDescent="0.4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</row>
    <row r="350" spans="1:32" ht="15.75" customHeight="1" x14ac:dyDescent="0.4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</row>
    <row r="351" spans="1:32" ht="15.75" customHeight="1" x14ac:dyDescent="0.4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</row>
    <row r="352" spans="1:32" ht="15.75" customHeight="1" x14ac:dyDescent="0.4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</row>
    <row r="353" spans="1:32" ht="15.75" customHeight="1" x14ac:dyDescent="0.4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</row>
    <row r="354" spans="1:32" ht="15.75" customHeight="1" x14ac:dyDescent="0.4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</row>
    <row r="355" spans="1:32" ht="15.75" customHeight="1" x14ac:dyDescent="0.4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</row>
    <row r="356" spans="1:32" ht="15.75" customHeight="1" x14ac:dyDescent="0.4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</row>
    <row r="357" spans="1:32" ht="15.75" customHeight="1" x14ac:dyDescent="0.4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</row>
    <row r="358" spans="1:32" ht="15.75" customHeight="1" x14ac:dyDescent="0.4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</row>
    <row r="359" spans="1:32" ht="15.75" customHeight="1" x14ac:dyDescent="0.4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</row>
    <row r="360" spans="1:32" ht="15.75" customHeight="1" x14ac:dyDescent="0.4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</row>
    <row r="361" spans="1:32" ht="15.75" customHeight="1" x14ac:dyDescent="0.4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</row>
    <row r="362" spans="1:32" ht="15.75" customHeight="1" x14ac:dyDescent="0.4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</row>
    <row r="363" spans="1:32" ht="15.75" customHeight="1" x14ac:dyDescent="0.4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</row>
    <row r="364" spans="1:32" ht="15.75" customHeight="1" x14ac:dyDescent="0.4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</row>
    <row r="365" spans="1:32" ht="15.75" customHeight="1" x14ac:dyDescent="0.4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</row>
    <row r="366" spans="1:32" ht="15.75" customHeight="1" x14ac:dyDescent="0.4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</row>
    <row r="367" spans="1:32" ht="15.75" customHeight="1" x14ac:dyDescent="0.4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</row>
    <row r="368" spans="1:32" ht="15.75" customHeight="1" x14ac:dyDescent="0.4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</row>
    <row r="369" spans="1:32" ht="15.75" customHeight="1" x14ac:dyDescent="0.4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</row>
    <row r="370" spans="1:32" ht="15.75" customHeight="1" x14ac:dyDescent="0.4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</row>
    <row r="371" spans="1:32" ht="15.75" customHeight="1" x14ac:dyDescent="0.4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</row>
    <row r="372" spans="1:32" ht="15.75" customHeight="1" x14ac:dyDescent="0.4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</row>
    <row r="373" spans="1:32" ht="15.75" customHeight="1" x14ac:dyDescent="0.4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</row>
    <row r="374" spans="1:32" ht="15.75" customHeight="1" x14ac:dyDescent="0.4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</row>
    <row r="375" spans="1:32" ht="15.75" customHeight="1" x14ac:dyDescent="0.4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</row>
    <row r="376" spans="1:32" ht="15.75" customHeight="1" x14ac:dyDescent="0.4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</row>
    <row r="377" spans="1:32" ht="15.75" customHeight="1" x14ac:dyDescent="0.4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</row>
    <row r="378" spans="1:32" ht="15.75" customHeight="1" x14ac:dyDescent="0.4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</row>
    <row r="379" spans="1:32" ht="15.75" customHeight="1" x14ac:dyDescent="0.4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</row>
    <row r="380" spans="1:32" ht="15.75" customHeight="1" x14ac:dyDescent="0.4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</row>
    <row r="381" spans="1:32" ht="15.75" customHeight="1" x14ac:dyDescent="0.4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</row>
    <row r="382" spans="1:32" ht="15.75" customHeight="1" x14ac:dyDescent="0.4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</row>
    <row r="383" spans="1:32" ht="15.75" customHeight="1" x14ac:dyDescent="0.4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</row>
    <row r="384" spans="1:32" ht="15.75" customHeight="1" x14ac:dyDescent="0.4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</row>
    <row r="385" spans="1:32" ht="15.75" customHeight="1" x14ac:dyDescent="0.4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</row>
    <row r="386" spans="1:32" ht="15.75" customHeight="1" x14ac:dyDescent="0.4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</row>
    <row r="387" spans="1:32" ht="15.75" customHeight="1" x14ac:dyDescent="0.4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</row>
    <row r="388" spans="1:32" ht="15.75" customHeight="1" x14ac:dyDescent="0.4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</row>
    <row r="389" spans="1:32" ht="15.75" customHeight="1" x14ac:dyDescent="0.4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</row>
    <row r="390" spans="1:32" ht="15.75" customHeight="1" x14ac:dyDescent="0.4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</row>
    <row r="391" spans="1:32" ht="15.75" customHeight="1" x14ac:dyDescent="0.4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</row>
    <row r="392" spans="1:32" ht="15.75" customHeight="1" x14ac:dyDescent="0.4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</row>
    <row r="393" spans="1:32" ht="15.75" customHeight="1" x14ac:dyDescent="0.4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</row>
    <row r="394" spans="1:32" ht="15.75" customHeight="1" x14ac:dyDescent="0.4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</row>
    <row r="395" spans="1:32" ht="15.75" customHeight="1" x14ac:dyDescent="0.4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</row>
    <row r="396" spans="1:32" ht="15.75" customHeight="1" x14ac:dyDescent="0.4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</row>
    <row r="397" spans="1:32" ht="15.75" customHeight="1" x14ac:dyDescent="0.4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</row>
    <row r="398" spans="1:32" ht="15.75" customHeight="1" x14ac:dyDescent="0.4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</row>
    <row r="399" spans="1:32" ht="15.75" customHeight="1" x14ac:dyDescent="0.4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</row>
    <row r="400" spans="1:32" ht="15.75" customHeight="1" x14ac:dyDescent="0.4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</row>
    <row r="401" spans="1:32" ht="15.75" customHeight="1" x14ac:dyDescent="0.4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</row>
    <row r="402" spans="1:32" ht="15.75" customHeight="1" x14ac:dyDescent="0.4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</row>
    <row r="403" spans="1:32" ht="15.75" customHeight="1" x14ac:dyDescent="0.4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</row>
    <row r="404" spans="1:32" ht="15.75" customHeight="1" x14ac:dyDescent="0.4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</row>
    <row r="405" spans="1:32" ht="15.75" customHeight="1" x14ac:dyDescent="0.4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</row>
    <row r="406" spans="1:32" ht="15.75" customHeight="1" x14ac:dyDescent="0.4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</row>
    <row r="407" spans="1:32" ht="15.75" customHeight="1" x14ac:dyDescent="0.4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</row>
    <row r="408" spans="1:32" ht="15.75" customHeight="1" x14ac:dyDescent="0.4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</row>
    <row r="409" spans="1:32" ht="15.75" customHeight="1" x14ac:dyDescent="0.4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</row>
    <row r="410" spans="1:32" ht="15.75" customHeight="1" x14ac:dyDescent="0.4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</row>
    <row r="411" spans="1:32" ht="15.75" customHeight="1" x14ac:dyDescent="0.4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</row>
    <row r="412" spans="1:32" ht="15.75" customHeight="1" x14ac:dyDescent="0.4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</row>
    <row r="413" spans="1:32" ht="15.75" customHeight="1" x14ac:dyDescent="0.4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</row>
    <row r="414" spans="1:32" ht="15.75" customHeight="1" x14ac:dyDescent="0.4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</row>
    <row r="415" spans="1:32" ht="15.75" customHeight="1" x14ac:dyDescent="0.4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</row>
    <row r="416" spans="1:32" ht="15.75" customHeight="1" x14ac:dyDescent="0.4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</row>
    <row r="417" spans="1:32" ht="15.75" customHeight="1" x14ac:dyDescent="0.4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</row>
    <row r="418" spans="1:32" ht="15.75" customHeight="1" x14ac:dyDescent="0.4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</row>
    <row r="419" spans="1:32" ht="15.75" customHeight="1" x14ac:dyDescent="0.4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</row>
    <row r="420" spans="1:32" ht="15.75" customHeight="1" x14ac:dyDescent="0.4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</row>
    <row r="421" spans="1:32" ht="15.75" customHeight="1" x14ac:dyDescent="0.4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</row>
    <row r="422" spans="1:32" ht="15.75" customHeight="1" x14ac:dyDescent="0.4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</row>
    <row r="423" spans="1:32" ht="15.75" customHeight="1" x14ac:dyDescent="0.4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</row>
    <row r="424" spans="1:32" ht="15.75" customHeight="1" x14ac:dyDescent="0.4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</row>
    <row r="425" spans="1:32" ht="15.75" customHeight="1" x14ac:dyDescent="0.4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</row>
    <row r="426" spans="1:32" ht="15.75" customHeight="1" x14ac:dyDescent="0.4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</row>
    <row r="427" spans="1:32" ht="15.75" customHeight="1" x14ac:dyDescent="0.4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</row>
    <row r="428" spans="1:32" ht="15.75" customHeight="1" x14ac:dyDescent="0.4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</row>
    <row r="429" spans="1:32" ht="15.75" customHeight="1" x14ac:dyDescent="0.4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</row>
    <row r="430" spans="1:32" ht="15.75" customHeight="1" x14ac:dyDescent="0.4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</row>
    <row r="431" spans="1:32" ht="15.75" customHeight="1" x14ac:dyDescent="0.4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</row>
    <row r="432" spans="1:32" ht="15.75" customHeight="1" x14ac:dyDescent="0.4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</row>
    <row r="433" spans="1:32" ht="15.75" customHeight="1" x14ac:dyDescent="0.4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</row>
    <row r="434" spans="1:32" ht="15.75" customHeight="1" x14ac:dyDescent="0.4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</row>
    <row r="435" spans="1:32" ht="15.75" customHeight="1" x14ac:dyDescent="0.4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</row>
    <row r="436" spans="1:32" ht="15.75" customHeight="1" x14ac:dyDescent="0.4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</row>
    <row r="437" spans="1:32" ht="15.75" customHeight="1" x14ac:dyDescent="0.4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</row>
    <row r="438" spans="1:32" ht="15.75" customHeight="1" x14ac:dyDescent="0.4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</row>
    <row r="439" spans="1:32" ht="15.75" customHeight="1" x14ac:dyDescent="0.4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</row>
    <row r="440" spans="1:32" ht="15.75" customHeight="1" x14ac:dyDescent="0.4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</row>
    <row r="441" spans="1:32" ht="15.75" customHeight="1" x14ac:dyDescent="0.4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</row>
    <row r="442" spans="1:32" ht="15.75" customHeight="1" x14ac:dyDescent="0.4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</row>
    <row r="443" spans="1:32" ht="15.75" customHeight="1" x14ac:dyDescent="0.4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</row>
    <row r="444" spans="1:32" ht="15.75" customHeight="1" x14ac:dyDescent="0.4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</row>
    <row r="445" spans="1:32" ht="15.75" customHeight="1" x14ac:dyDescent="0.4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</row>
    <row r="446" spans="1:32" ht="15.75" customHeight="1" x14ac:dyDescent="0.4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</row>
    <row r="447" spans="1:32" ht="15.75" customHeight="1" x14ac:dyDescent="0.4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</row>
    <row r="448" spans="1:32" ht="15.75" customHeight="1" x14ac:dyDescent="0.4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</row>
    <row r="449" spans="1:32" ht="15.75" customHeight="1" x14ac:dyDescent="0.4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</row>
    <row r="450" spans="1:32" ht="15.75" customHeight="1" x14ac:dyDescent="0.4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</row>
    <row r="451" spans="1:32" ht="15.75" customHeight="1" x14ac:dyDescent="0.4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</row>
    <row r="452" spans="1:32" ht="15.75" customHeight="1" x14ac:dyDescent="0.4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</row>
    <row r="453" spans="1:32" ht="15.75" customHeight="1" x14ac:dyDescent="0.4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</row>
    <row r="454" spans="1:32" ht="15.75" customHeight="1" x14ac:dyDescent="0.4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</row>
    <row r="455" spans="1:32" ht="15.75" customHeight="1" x14ac:dyDescent="0.4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</row>
    <row r="456" spans="1:32" ht="15.75" customHeight="1" x14ac:dyDescent="0.4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</row>
    <row r="457" spans="1:32" ht="15.75" customHeight="1" x14ac:dyDescent="0.4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</row>
    <row r="458" spans="1:32" ht="15.75" customHeight="1" x14ac:dyDescent="0.4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</row>
    <row r="459" spans="1:32" ht="15.75" customHeight="1" x14ac:dyDescent="0.4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</row>
    <row r="460" spans="1:32" ht="15.75" customHeight="1" x14ac:dyDescent="0.4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</row>
    <row r="461" spans="1:32" ht="15.75" customHeight="1" x14ac:dyDescent="0.4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</row>
    <row r="462" spans="1:32" ht="15.75" customHeight="1" x14ac:dyDescent="0.4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</row>
    <row r="463" spans="1:32" ht="15.75" customHeight="1" x14ac:dyDescent="0.4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</row>
    <row r="464" spans="1:32" ht="15.75" customHeight="1" x14ac:dyDescent="0.4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</row>
    <row r="465" spans="1:32" ht="15.75" customHeight="1" x14ac:dyDescent="0.4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</row>
    <row r="466" spans="1:32" ht="15.75" customHeight="1" x14ac:dyDescent="0.4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</row>
    <row r="467" spans="1:32" ht="15.75" customHeight="1" x14ac:dyDescent="0.4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</row>
    <row r="468" spans="1:32" ht="15.75" customHeight="1" x14ac:dyDescent="0.4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</row>
    <row r="469" spans="1:32" ht="15.75" customHeight="1" x14ac:dyDescent="0.4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</row>
    <row r="470" spans="1:32" ht="15.75" customHeight="1" x14ac:dyDescent="0.4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</row>
    <row r="471" spans="1:32" ht="15.75" customHeight="1" x14ac:dyDescent="0.4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</row>
    <row r="472" spans="1:32" ht="15.75" customHeight="1" x14ac:dyDescent="0.4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</row>
    <row r="473" spans="1:32" ht="15.75" customHeight="1" x14ac:dyDescent="0.4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</row>
    <row r="474" spans="1:32" ht="15.75" customHeight="1" x14ac:dyDescent="0.4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</row>
    <row r="475" spans="1:32" ht="15.75" customHeight="1" x14ac:dyDescent="0.4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</row>
    <row r="476" spans="1:32" ht="15.75" customHeight="1" x14ac:dyDescent="0.4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</row>
    <row r="477" spans="1:32" ht="15.75" customHeight="1" x14ac:dyDescent="0.4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</row>
    <row r="478" spans="1:32" ht="15.75" customHeight="1" x14ac:dyDescent="0.4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</row>
    <row r="479" spans="1:32" ht="15.75" customHeight="1" x14ac:dyDescent="0.4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</row>
    <row r="480" spans="1:32" ht="15.75" customHeight="1" x14ac:dyDescent="0.4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</row>
    <row r="481" spans="1:32" ht="15.75" customHeight="1" x14ac:dyDescent="0.4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</row>
    <row r="482" spans="1:32" ht="15.75" customHeight="1" x14ac:dyDescent="0.4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</row>
    <row r="483" spans="1:32" ht="15.75" customHeight="1" x14ac:dyDescent="0.4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</row>
    <row r="484" spans="1:32" ht="15.75" customHeight="1" x14ac:dyDescent="0.4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</row>
    <row r="485" spans="1:32" ht="15.75" customHeight="1" x14ac:dyDescent="0.4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</row>
    <row r="486" spans="1:32" ht="15.75" customHeight="1" x14ac:dyDescent="0.4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</row>
    <row r="487" spans="1:32" ht="15.75" customHeight="1" x14ac:dyDescent="0.4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</row>
    <row r="488" spans="1:32" ht="15.75" customHeight="1" x14ac:dyDescent="0.4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</row>
    <row r="489" spans="1:32" ht="15.75" customHeight="1" x14ac:dyDescent="0.4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</row>
    <row r="490" spans="1:32" ht="15.75" customHeight="1" x14ac:dyDescent="0.4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</row>
    <row r="491" spans="1:32" ht="15.75" customHeight="1" x14ac:dyDescent="0.4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</row>
    <row r="492" spans="1:32" ht="15.75" customHeight="1" x14ac:dyDescent="0.4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</row>
    <row r="493" spans="1:32" ht="15.75" customHeight="1" x14ac:dyDescent="0.4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</row>
    <row r="494" spans="1:32" ht="15.75" customHeight="1" x14ac:dyDescent="0.4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</row>
    <row r="495" spans="1:32" ht="15.75" customHeight="1" x14ac:dyDescent="0.4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</row>
    <row r="496" spans="1:32" ht="15.75" customHeight="1" x14ac:dyDescent="0.4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</row>
    <row r="497" spans="1:32" ht="15.75" customHeight="1" x14ac:dyDescent="0.4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</row>
    <row r="498" spans="1:32" ht="15.75" customHeight="1" x14ac:dyDescent="0.4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</row>
    <row r="499" spans="1:32" ht="15.75" customHeight="1" x14ac:dyDescent="0.4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</row>
    <row r="500" spans="1:32" ht="15.75" customHeight="1" x14ac:dyDescent="0.4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</row>
    <row r="501" spans="1:32" ht="15.75" customHeight="1" x14ac:dyDescent="0.4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</row>
    <row r="502" spans="1:32" ht="15.75" customHeight="1" x14ac:dyDescent="0.4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</row>
    <row r="503" spans="1:32" ht="15.75" customHeight="1" x14ac:dyDescent="0.4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</row>
    <row r="504" spans="1:32" ht="15.75" customHeight="1" x14ac:dyDescent="0.4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</row>
    <row r="505" spans="1:32" ht="15.75" customHeight="1" x14ac:dyDescent="0.4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</row>
    <row r="506" spans="1:32" ht="15.75" customHeight="1" x14ac:dyDescent="0.4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</row>
    <row r="507" spans="1:32" ht="15.75" customHeight="1" x14ac:dyDescent="0.4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</row>
    <row r="508" spans="1:32" ht="15.75" customHeight="1" x14ac:dyDescent="0.4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</row>
    <row r="509" spans="1:32" ht="15.75" customHeight="1" x14ac:dyDescent="0.4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</row>
    <row r="510" spans="1:32" ht="15.75" customHeight="1" x14ac:dyDescent="0.4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</row>
    <row r="511" spans="1:32" ht="15.75" customHeight="1" x14ac:dyDescent="0.4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</row>
    <row r="512" spans="1:32" ht="15.75" customHeight="1" x14ac:dyDescent="0.4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</row>
    <row r="513" spans="1:32" ht="15.75" customHeight="1" x14ac:dyDescent="0.4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</row>
    <row r="514" spans="1:32" ht="15.75" customHeight="1" x14ac:dyDescent="0.4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</row>
    <row r="515" spans="1:32" ht="15.75" customHeight="1" x14ac:dyDescent="0.4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</row>
    <row r="516" spans="1:32" ht="15.75" customHeight="1" x14ac:dyDescent="0.4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</row>
    <row r="517" spans="1:32" ht="15.75" customHeight="1" x14ac:dyDescent="0.4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</row>
    <row r="518" spans="1:32" ht="15.75" customHeight="1" x14ac:dyDescent="0.4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</row>
    <row r="519" spans="1:32" ht="15.75" customHeight="1" x14ac:dyDescent="0.4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</row>
    <row r="520" spans="1:32" ht="15.75" customHeight="1" x14ac:dyDescent="0.4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</row>
    <row r="521" spans="1:32" ht="15.75" customHeight="1" x14ac:dyDescent="0.4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</row>
    <row r="522" spans="1:32" ht="15.75" customHeight="1" x14ac:dyDescent="0.4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</row>
    <row r="523" spans="1:32" ht="15.75" customHeight="1" x14ac:dyDescent="0.4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</row>
    <row r="524" spans="1:32" ht="15.75" customHeight="1" x14ac:dyDescent="0.4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</row>
    <row r="525" spans="1:32" ht="15.75" customHeight="1" x14ac:dyDescent="0.4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</row>
    <row r="526" spans="1:32" ht="15.75" customHeight="1" x14ac:dyDescent="0.4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</row>
    <row r="527" spans="1:32" ht="15.75" customHeight="1" x14ac:dyDescent="0.4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</row>
    <row r="528" spans="1:32" ht="15.75" customHeight="1" x14ac:dyDescent="0.4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</row>
    <row r="529" spans="1:32" ht="15.75" customHeight="1" x14ac:dyDescent="0.4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</row>
    <row r="530" spans="1:32" ht="15.75" customHeight="1" x14ac:dyDescent="0.4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</row>
    <row r="531" spans="1:32" ht="15.75" customHeight="1" x14ac:dyDescent="0.4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</row>
    <row r="532" spans="1:32" ht="15.75" customHeight="1" x14ac:dyDescent="0.4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</row>
    <row r="533" spans="1:32" ht="15.75" customHeight="1" x14ac:dyDescent="0.4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</row>
    <row r="534" spans="1:32" ht="15.75" customHeight="1" x14ac:dyDescent="0.4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</row>
    <row r="535" spans="1:32" ht="15.75" customHeight="1" x14ac:dyDescent="0.4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</row>
    <row r="536" spans="1:32" ht="15.75" customHeight="1" x14ac:dyDescent="0.4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</row>
    <row r="537" spans="1:32" ht="15.75" customHeight="1" x14ac:dyDescent="0.4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</row>
    <row r="538" spans="1:32" ht="15.75" customHeight="1" x14ac:dyDescent="0.4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</row>
    <row r="539" spans="1:32" ht="15.75" customHeight="1" x14ac:dyDescent="0.4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</row>
    <row r="540" spans="1:32" ht="15.75" customHeight="1" x14ac:dyDescent="0.4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</row>
    <row r="541" spans="1:32" ht="15.75" customHeight="1" x14ac:dyDescent="0.4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</row>
    <row r="542" spans="1:32" ht="15.75" customHeight="1" x14ac:dyDescent="0.4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</row>
    <row r="543" spans="1:32" ht="15.75" customHeight="1" x14ac:dyDescent="0.4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</row>
    <row r="544" spans="1:32" ht="15.75" customHeight="1" x14ac:dyDescent="0.4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</row>
    <row r="545" spans="1:32" ht="15.75" customHeight="1" x14ac:dyDescent="0.4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</row>
    <row r="546" spans="1:32" ht="15.75" customHeight="1" x14ac:dyDescent="0.4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</row>
    <row r="547" spans="1:32" ht="15.75" customHeight="1" x14ac:dyDescent="0.4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</row>
    <row r="548" spans="1:32" ht="15.75" customHeight="1" x14ac:dyDescent="0.4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</row>
    <row r="549" spans="1:32" ht="15.75" customHeight="1" x14ac:dyDescent="0.4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</row>
    <row r="550" spans="1:32" ht="15.75" customHeight="1" x14ac:dyDescent="0.4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</row>
    <row r="551" spans="1:32" ht="15.75" customHeight="1" x14ac:dyDescent="0.4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</row>
    <row r="552" spans="1:32" ht="15.75" customHeight="1" x14ac:dyDescent="0.4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</row>
    <row r="553" spans="1:32" ht="15.75" customHeight="1" x14ac:dyDescent="0.4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</row>
    <row r="554" spans="1:32" ht="15.75" customHeight="1" x14ac:dyDescent="0.4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</row>
    <row r="555" spans="1:32" ht="15.75" customHeight="1" x14ac:dyDescent="0.4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</row>
    <row r="556" spans="1:32" ht="15.75" customHeight="1" x14ac:dyDescent="0.4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</row>
    <row r="557" spans="1:32" ht="15.75" customHeight="1" x14ac:dyDescent="0.4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</row>
    <row r="558" spans="1:32" ht="15.75" customHeight="1" x14ac:dyDescent="0.4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</row>
    <row r="559" spans="1:32" ht="15.75" customHeight="1" x14ac:dyDescent="0.4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</row>
    <row r="560" spans="1:32" ht="15.75" customHeight="1" x14ac:dyDescent="0.4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</row>
    <row r="561" spans="1:32" ht="15.75" customHeight="1" x14ac:dyDescent="0.4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</row>
    <row r="562" spans="1:32" ht="15.75" customHeight="1" x14ac:dyDescent="0.4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</row>
    <row r="563" spans="1:32" ht="15.75" customHeight="1" x14ac:dyDescent="0.4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</row>
    <row r="564" spans="1:32" ht="15.75" customHeight="1" x14ac:dyDescent="0.4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</row>
    <row r="565" spans="1:32" ht="15.75" customHeight="1" x14ac:dyDescent="0.4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</row>
    <row r="566" spans="1:32" ht="15.75" customHeight="1" x14ac:dyDescent="0.4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</row>
    <row r="567" spans="1:32" ht="15.75" customHeight="1" x14ac:dyDescent="0.4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</row>
    <row r="568" spans="1:32" ht="15.75" customHeight="1" x14ac:dyDescent="0.4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</row>
    <row r="569" spans="1:32" ht="15.75" customHeight="1" x14ac:dyDescent="0.4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</row>
    <row r="570" spans="1:32" ht="15.75" customHeight="1" x14ac:dyDescent="0.4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</row>
    <row r="571" spans="1:32" ht="15.75" customHeight="1" x14ac:dyDescent="0.4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</row>
    <row r="572" spans="1:32" ht="15.75" customHeight="1" x14ac:dyDescent="0.4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</row>
    <row r="573" spans="1:32" ht="15.75" customHeight="1" x14ac:dyDescent="0.4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</row>
    <row r="574" spans="1:32" ht="15.75" customHeight="1" x14ac:dyDescent="0.4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</row>
    <row r="575" spans="1:32" ht="15.75" customHeight="1" x14ac:dyDescent="0.4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</row>
    <row r="576" spans="1:32" ht="15.75" customHeight="1" x14ac:dyDescent="0.4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</row>
    <row r="577" spans="1:32" ht="15.75" customHeight="1" x14ac:dyDescent="0.4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</row>
    <row r="578" spans="1:32" ht="15.75" customHeight="1" x14ac:dyDescent="0.4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</row>
    <row r="579" spans="1:32" ht="15.75" customHeight="1" x14ac:dyDescent="0.4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</row>
    <row r="580" spans="1:32" ht="15.75" customHeight="1" x14ac:dyDescent="0.4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</row>
    <row r="581" spans="1:32" ht="15.75" customHeight="1" x14ac:dyDescent="0.4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</row>
    <row r="582" spans="1:32" ht="15.75" customHeight="1" x14ac:dyDescent="0.4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</row>
    <row r="583" spans="1:32" ht="15.75" customHeight="1" x14ac:dyDescent="0.4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</row>
    <row r="584" spans="1:32" ht="15.75" customHeight="1" x14ac:dyDescent="0.4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</row>
    <row r="585" spans="1:32" ht="15.75" customHeight="1" x14ac:dyDescent="0.4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</row>
    <row r="586" spans="1:32" ht="15.75" customHeight="1" x14ac:dyDescent="0.4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</row>
    <row r="587" spans="1:32" ht="15.75" customHeight="1" x14ac:dyDescent="0.4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</row>
    <row r="588" spans="1:32" ht="15.75" customHeight="1" x14ac:dyDescent="0.4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</row>
    <row r="589" spans="1:32" ht="15.75" customHeight="1" x14ac:dyDescent="0.4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</row>
    <row r="590" spans="1:32" ht="15.75" customHeight="1" x14ac:dyDescent="0.4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</row>
    <row r="591" spans="1:32" ht="15.75" customHeight="1" x14ac:dyDescent="0.4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</row>
    <row r="592" spans="1:32" ht="15.75" customHeight="1" x14ac:dyDescent="0.4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</row>
    <row r="593" spans="1:32" ht="15.75" customHeight="1" x14ac:dyDescent="0.4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</row>
    <row r="594" spans="1:32" ht="15.75" customHeight="1" x14ac:dyDescent="0.4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</row>
    <row r="595" spans="1:32" ht="15.75" customHeight="1" x14ac:dyDescent="0.4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</row>
    <row r="596" spans="1:32" ht="15.75" customHeight="1" x14ac:dyDescent="0.4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</row>
    <row r="597" spans="1:32" ht="15.75" customHeight="1" x14ac:dyDescent="0.4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</row>
    <row r="598" spans="1:32" ht="15.75" customHeight="1" x14ac:dyDescent="0.4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</row>
    <row r="599" spans="1:32" ht="15.75" customHeight="1" x14ac:dyDescent="0.4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</row>
    <row r="600" spans="1:32" ht="15.75" customHeight="1" x14ac:dyDescent="0.4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</row>
    <row r="601" spans="1:32" ht="15.75" customHeight="1" x14ac:dyDescent="0.4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</row>
    <row r="602" spans="1:32" ht="15.75" customHeight="1" x14ac:dyDescent="0.4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</row>
    <row r="603" spans="1:32" ht="15.75" customHeight="1" x14ac:dyDescent="0.4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</row>
    <row r="604" spans="1:32" ht="15.75" customHeight="1" x14ac:dyDescent="0.4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</row>
    <row r="605" spans="1:32" ht="15.75" customHeight="1" x14ac:dyDescent="0.4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</row>
    <row r="606" spans="1:32" ht="15.75" customHeight="1" x14ac:dyDescent="0.4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</row>
    <row r="607" spans="1:32" ht="15.75" customHeight="1" x14ac:dyDescent="0.4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</row>
    <row r="608" spans="1:32" ht="15.75" customHeight="1" x14ac:dyDescent="0.4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</row>
    <row r="609" spans="1:32" ht="15.75" customHeight="1" x14ac:dyDescent="0.4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</row>
    <row r="610" spans="1:32" ht="15.75" customHeight="1" x14ac:dyDescent="0.4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</row>
    <row r="611" spans="1:32" ht="15.75" customHeight="1" x14ac:dyDescent="0.4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</row>
    <row r="612" spans="1:32" ht="15.75" customHeight="1" x14ac:dyDescent="0.4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</row>
    <row r="613" spans="1:32" ht="15.75" customHeight="1" x14ac:dyDescent="0.4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</row>
    <row r="614" spans="1:32" ht="15.75" customHeight="1" x14ac:dyDescent="0.4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</row>
    <row r="615" spans="1:32" ht="15.75" customHeight="1" x14ac:dyDescent="0.4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</row>
    <row r="616" spans="1:32" ht="15.75" customHeight="1" x14ac:dyDescent="0.4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</row>
    <row r="617" spans="1:32" ht="15.75" customHeight="1" x14ac:dyDescent="0.4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</row>
    <row r="618" spans="1:32" ht="15.75" customHeight="1" x14ac:dyDescent="0.4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</row>
    <row r="619" spans="1:32" ht="15.75" customHeight="1" x14ac:dyDescent="0.4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</row>
    <row r="620" spans="1:32" ht="15.75" customHeight="1" x14ac:dyDescent="0.4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</row>
    <row r="621" spans="1:32" ht="15.75" customHeight="1" x14ac:dyDescent="0.4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</row>
    <row r="622" spans="1:32" ht="15.75" customHeight="1" x14ac:dyDescent="0.4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</row>
    <row r="623" spans="1:32" ht="15.75" customHeight="1" x14ac:dyDescent="0.4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</row>
    <row r="624" spans="1:32" ht="15.75" customHeight="1" x14ac:dyDescent="0.4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</row>
    <row r="625" spans="1:32" ht="15.75" customHeight="1" x14ac:dyDescent="0.4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</row>
    <row r="626" spans="1:32" ht="15.75" customHeight="1" x14ac:dyDescent="0.4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</row>
    <row r="627" spans="1:32" ht="15.75" customHeight="1" x14ac:dyDescent="0.4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</row>
    <row r="628" spans="1:32" ht="15.75" customHeight="1" x14ac:dyDescent="0.4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</row>
    <row r="629" spans="1:32" ht="15.75" customHeight="1" x14ac:dyDescent="0.4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</row>
    <row r="630" spans="1:32" ht="15.75" customHeight="1" x14ac:dyDescent="0.4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</row>
    <row r="631" spans="1:32" ht="15.75" customHeight="1" x14ac:dyDescent="0.4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</row>
    <row r="632" spans="1:32" ht="15.75" customHeight="1" x14ac:dyDescent="0.4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</row>
    <row r="633" spans="1:32" ht="15.75" customHeight="1" x14ac:dyDescent="0.4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</row>
    <row r="634" spans="1:32" ht="15.75" customHeight="1" x14ac:dyDescent="0.4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</row>
    <row r="635" spans="1:32" ht="15.75" customHeight="1" x14ac:dyDescent="0.4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</row>
    <row r="636" spans="1:32" ht="15.75" customHeight="1" x14ac:dyDescent="0.4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</row>
    <row r="637" spans="1:32" ht="15.75" customHeight="1" x14ac:dyDescent="0.4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</row>
    <row r="638" spans="1:32" ht="15.75" customHeight="1" x14ac:dyDescent="0.4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</row>
    <row r="639" spans="1:32" ht="15.75" customHeight="1" x14ac:dyDescent="0.4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</row>
    <row r="640" spans="1:32" ht="15.75" customHeight="1" x14ac:dyDescent="0.4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</row>
    <row r="641" spans="1:32" ht="15.75" customHeight="1" x14ac:dyDescent="0.4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</row>
    <row r="642" spans="1:32" ht="15.75" customHeight="1" x14ac:dyDescent="0.4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</row>
    <row r="643" spans="1:32" ht="15.75" customHeight="1" x14ac:dyDescent="0.4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</row>
    <row r="644" spans="1:32" ht="15.75" customHeight="1" x14ac:dyDescent="0.4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</row>
    <row r="645" spans="1:32" ht="15.75" customHeight="1" x14ac:dyDescent="0.4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</row>
    <row r="646" spans="1:32" ht="15.75" customHeight="1" x14ac:dyDescent="0.4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</row>
    <row r="647" spans="1:32" ht="15.75" customHeight="1" x14ac:dyDescent="0.4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</row>
    <row r="648" spans="1:32" ht="15.75" customHeight="1" x14ac:dyDescent="0.4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</row>
    <row r="649" spans="1:32" ht="15.75" customHeight="1" x14ac:dyDescent="0.4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</row>
    <row r="650" spans="1:32" ht="15.75" customHeight="1" x14ac:dyDescent="0.4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</row>
    <row r="651" spans="1:32" ht="15.75" customHeight="1" x14ac:dyDescent="0.4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</row>
    <row r="652" spans="1:32" ht="15.75" customHeight="1" x14ac:dyDescent="0.4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</row>
    <row r="653" spans="1:32" ht="15.75" customHeight="1" x14ac:dyDescent="0.4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</row>
    <row r="654" spans="1:32" ht="15.75" customHeight="1" x14ac:dyDescent="0.4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</row>
    <row r="655" spans="1:32" ht="15.75" customHeight="1" x14ac:dyDescent="0.4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</row>
    <row r="656" spans="1:32" ht="15.75" customHeight="1" x14ac:dyDescent="0.4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</row>
    <row r="657" spans="1:32" ht="15.75" customHeight="1" x14ac:dyDescent="0.4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</row>
    <row r="658" spans="1:32" ht="15.75" customHeight="1" x14ac:dyDescent="0.4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</row>
    <row r="659" spans="1:32" ht="15.75" customHeight="1" x14ac:dyDescent="0.4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</row>
    <row r="660" spans="1:32" ht="15.75" customHeight="1" x14ac:dyDescent="0.4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</row>
    <row r="661" spans="1:32" ht="15.75" customHeight="1" x14ac:dyDescent="0.4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</row>
    <row r="662" spans="1:32" ht="15.75" customHeight="1" x14ac:dyDescent="0.4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</row>
    <row r="663" spans="1:32" ht="15.75" customHeight="1" x14ac:dyDescent="0.4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</row>
    <row r="664" spans="1:32" ht="15.75" customHeight="1" x14ac:dyDescent="0.4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</row>
    <row r="665" spans="1:32" ht="15.75" customHeight="1" x14ac:dyDescent="0.4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</row>
    <row r="666" spans="1:32" ht="15.75" customHeight="1" x14ac:dyDescent="0.4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</row>
    <row r="667" spans="1:32" ht="15.75" customHeight="1" x14ac:dyDescent="0.4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</row>
    <row r="668" spans="1:32" ht="15.75" customHeight="1" x14ac:dyDescent="0.4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</row>
    <row r="669" spans="1:32" ht="15.75" customHeight="1" x14ac:dyDescent="0.4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</row>
    <row r="670" spans="1:32" ht="15.75" customHeight="1" x14ac:dyDescent="0.4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</row>
    <row r="671" spans="1:32" ht="15.75" customHeight="1" x14ac:dyDescent="0.4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</row>
    <row r="672" spans="1:32" ht="15.75" customHeight="1" x14ac:dyDescent="0.4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</row>
    <row r="673" spans="1:32" ht="15.75" customHeight="1" x14ac:dyDescent="0.4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</row>
    <row r="674" spans="1:32" ht="15.75" customHeight="1" x14ac:dyDescent="0.4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</row>
    <row r="675" spans="1:32" ht="15.75" customHeight="1" x14ac:dyDescent="0.4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</row>
    <row r="676" spans="1:32" ht="15.75" customHeight="1" x14ac:dyDescent="0.4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</row>
    <row r="677" spans="1:32" ht="15.75" customHeight="1" x14ac:dyDescent="0.4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</row>
    <row r="678" spans="1:32" ht="15.75" customHeight="1" x14ac:dyDescent="0.4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</row>
    <row r="679" spans="1:32" ht="15.75" customHeight="1" x14ac:dyDescent="0.4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</row>
    <row r="680" spans="1:32" ht="15.75" customHeight="1" x14ac:dyDescent="0.4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</row>
    <row r="681" spans="1:32" ht="15.75" customHeight="1" x14ac:dyDescent="0.4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</row>
    <row r="682" spans="1:32" ht="15.75" customHeight="1" x14ac:dyDescent="0.4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</row>
    <row r="683" spans="1:32" ht="15.75" customHeight="1" x14ac:dyDescent="0.4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</row>
    <row r="684" spans="1:32" ht="15.75" customHeight="1" x14ac:dyDescent="0.4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</row>
    <row r="685" spans="1:32" ht="15.75" customHeight="1" x14ac:dyDescent="0.4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</row>
    <row r="686" spans="1:32" ht="15.75" customHeight="1" x14ac:dyDescent="0.4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</row>
    <row r="687" spans="1:32" ht="15.75" customHeight="1" x14ac:dyDescent="0.4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</row>
    <row r="688" spans="1:32" ht="15.75" customHeight="1" x14ac:dyDescent="0.4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</row>
    <row r="689" spans="1:32" ht="15.75" customHeight="1" x14ac:dyDescent="0.4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</row>
    <row r="690" spans="1:32" ht="15.75" customHeight="1" x14ac:dyDescent="0.4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</row>
    <row r="691" spans="1:32" ht="15.75" customHeight="1" x14ac:dyDescent="0.4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</row>
    <row r="692" spans="1:32" ht="15.75" customHeight="1" x14ac:dyDescent="0.4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</row>
    <row r="693" spans="1:32" ht="15.75" customHeight="1" x14ac:dyDescent="0.4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</row>
    <row r="694" spans="1:32" ht="15.75" customHeight="1" x14ac:dyDescent="0.4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</row>
    <row r="695" spans="1:32" ht="15.75" customHeight="1" x14ac:dyDescent="0.4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</row>
    <row r="696" spans="1:32" ht="15.75" customHeight="1" x14ac:dyDescent="0.4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</row>
    <row r="697" spans="1:32" ht="15.75" customHeight="1" x14ac:dyDescent="0.4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</row>
    <row r="698" spans="1:32" ht="15.75" customHeight="1" x14ac:dyDescent="0.4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</row>
    <row r="699" spans="1:32" ht="15.75" customHeight="1" x14ac:dyDescent="0.4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</row>
    <row r="700" spans="1:32" ht="15.75" customHeight="1" x14ac:dyDescent="0.4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</row>
    <row r="701" spans="1:32" ht="15.75" customHeight="1" x14ac:dyDescent="0.4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</row>
    <row r="702" spans="1:32" ht="15.75" customHeight="1" x14ac:dyDescent="0.4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</row>
    <row r="703" spans="1:32" ht="15.75" customHeight="1" x14ac:dyDescent="0.4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</row>
    <row r="704" spans="1:32" ht="15.75" customHeight="1" x14ac:dyDescent="0.4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</row>
    <row r="705" spans="1:32" ht="15.75" customHeight="1" x14ac:dyDescent="0.4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</row>
    <row r="706" spans="1:32" ht="15.75" customHeight="1" x14ac:dyDescent="0.4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</row>
    <row r="707" spans="1:32" ht="15.75" customHeight="1" x14ac:dyDescent="0.4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</row>
    <row r="708" spans="1:32" ht="15.75" customHeight="1" x14ac:dyDescent="0.4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</row>
    <row r="709" spans="1:32" ht="15.75" customHeight="1" x14ac:dyDescent="0.4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</row>
    <row r="710" spans="1:32" ht="15.75" customHeight="1" x14ac:dyDescent="0.4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</row>
    <row r="711" spans="1:32" ht="15.75" customHeight="1" x14ac:dyDescent="0.4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</row>
    <row r="712" spans="1:32" ht="15.75" customHeight="1" x14ac:dyDescent="0.4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</row>
    <row r="713" spans="1:32" ht="15.75" customHeight="1" x14ac:dyDescent="0.4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</row>
    <row r="714" spans="1:32" ht="15.75" customHeight="1" x14ac:dyDescent="0.4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</row>
    <row r="715" spans="1:32" ht="15.75" customHeight="1" x14ac:dyDescent="0.4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</row>
    <row r="716" spans="1:32" ht="15.75" customHeight="1" x14ac:dyDescent="0.4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</row>
    <row r="717" spans="1:32" ht="15.75" customHeight="1" x14ac:dyDescent="0.4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</row>
    <row r="718" spans="1:32" ht="15.75" customHeight="1" x14ac:dyDescent="0.4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</row>
    <row r="719" spans="1:32" ht="15.75" customHeight="1" x14ac:dyDescent="0.4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</row>
    <row r="720" spans="1:32" ht="15.75" customHeight="1" x14ac:dyDescent="0.4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</row>
    <row r="721" spans="1:32" ht="15.75" customHeight="1" x14ac:dyDescent="0.4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</row>
    <row r="722" spans="1:32" ht="15.75" customHeight="1" x14ac:dyDescent="0.4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</row>
    <row r="723" spans="1:32" ht="15.75" customHeight="1" x14ac:dyDescent="0.4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</row>
    <row r="724" spans="1:32" ht="15.75" customHeight="1" x14ac:dyDescent="0.4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</row>
    <row r="725" spans="1:32" ht="15.75" customHeight="1" x14ac:dyDescent="0.4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</row>
    <row r="726" spans="1:32" ht="15.75" customHeight="1" x14ac:dyDescent="0.4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</row>
    <row r="727" spans="1:32" ht="15.75" customHeight="1" x14ac:dyDescent="0.4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</row>
    <row r="728" spans="1:32" ht="15.75" customHeight="1" x14ac:dyDescent="0.4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</row>
    <row r="729" spans="1:32" ht="15.75" customHeight="1" x14ac:dyDescent="0.4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</row>
    <row r="730" spans="1:32" ht="15.75" customHeight="1" x14ac:dyDescent="0.4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</row>
    <row r="731" spans="1:32" ht="15.75" customHeight="1" x14ac:dyDescent="0.4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</row>
    <row r="732" spans="1:32" ht="15.75" customHeight="1" x14ac:dyDescent="0.4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</row>
    <row r="733" spans="1:32" ht="15.75" customHeight="1" x14ac:dyDescent="0.4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</row>
    <row r="734" spans="1:32" ht="15.75" customHeight="1" x14ac:dyDescent="0.4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</row>
    <row r="735" spans="1:32" ht="15.75" customHeight="1" x14ac:dyDescent="0.4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</row>
    <row r="736" spans="1:32" ht="15.75" customHeight="1" x14ac:dyDescent="0.4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</row>
    <row r="737" spans="1:32" ht="15.75" customHeight="1" x14ac:dyDescent="0.4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</row>
    <row r="738" spans="1:32" ht="15.75" customHeight="1" x14ac:dyDescent="0.4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</row>
    <row r="739" spans="1:32" ht="15.75" customHeight="1" x14ac:dyDescent="0.4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</row>
    <row r="740" spans="1:32" ht="15.75" customHeight="1" x14ac:dyDescent="0.4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</row>
    <row r="741" spans="1:32" ht="15.75" customHeight="1" x14ac:dyDescent="0.4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</row>
    <row r="742" spans="1:32" ht="15.75" customHeight="1" x14ac:dyDescent="0.4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</row>
    <row r="743" spans="1:32" ht="15.75" customHeight="1" x14ac:dyDescent="0.4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</row>
    <row r="744" spans="1:32" ht="15.75" customHeight="1" x14ac:dyDescent="0.4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</row>
    <row r="745" spans="1:32" ht="15.75" customHeight="1" x14ac:dyDescent="0.4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</row>
    <row r="746" spans="1:32" ht="15.75" customHeight="1" x14ac:dyDescent="0.4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</row>
    <row r="747" spans="1:32" ht="15.75" customHeight="1" x14ac:dyDescent="0.4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</row>
    <row r="748" spans="1:32" ht="15.75" customHeight="1" x14ac:dyDescent="0.4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</row>
    <row r="749" spans="1:32" ht="15.75" customHeight="1" x14ac:dyDescent="0.4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</row>
    <row r="750" spans="1:32" ht="15.75" customHeight="1" x14ac:dyDescent="0.4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</row>
    <row r="751" spans="1:32" ht="15.75" customHeight="1" x14ac:dyDescent="0.4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</row>
    <row r="752" spans="1:32" ht="15.75" customHeight="1" x14ac:dyDescent="0.4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</row>
    <row r="753" spans="1:32" ht="15.75" customHeight="1" x14ac:dyDescent="0.4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</row>
    <row r="754" spans="1:32" ht="15.75" customHeight="1" x14ac:dyDescent="0.4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</row>
    <row r="755" spans="1:32" ht="15.75" customHeight="1" x14ac:dyDescent="0.4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</row>
    <row r="756" spans="1:32" ht="15.75" customHeight="1" x14ac:dyDescent="0.4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</row>
    <row r="757" spans="1:32" ht="15.75" customHeight="1" x14ac:dyDescent="0.4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</row>
    <row r="758" spans="1:32" ht="15.75" customHeight="1" x14ac:dyDescent="0.4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</row>
    <row r="759" spans="1:32" ht="15.75" customHeight="1" x14ac:dyDescent="0.4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</row>
    <row r="760" spans="1:32" ht="15.75" customHeight="1" x14ac:dyDescent="0.4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</row>
    <row r="761" spans="1:32" ht="15.75" customHeight="1" x14ac:dyDescent="0.4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</row>
    <row r="762" spans="1:32" ht="15.75" customHeight="1" x14ac:dyDescent="0.4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</row>
    <row r="763" spans="1:32" ht="15.75" customHeight="1" x14ac:dyDescent="0.4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</row>
    <row r="764" spans="1:32" ht="15.75" customHeight="1" x14ac:dyDescent="0.4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</row>
    <row r="765" spans="1:32" ht="15.75" customHeight="1" x14ac:dyDescent="0.4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</row>
    <row r="766" spans="1:32" ht="15.75" customHeight="1" x14ac:dyDescent="0.4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</row>
    <row r="767" spans="1:32" ht="15.75" customHeight="1" x14ac:dyDescent="0.4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</row>
    <row r="768" spans="1:32" ht="15.75" customHeight="1" x14ac:dyDescent="0.4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</row>
    <row r="769" spans="1:32" ht="15.75" customHeight="1" x14ac:dyDescent="0.4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</row>
    <row r="770" spans="1:32" ht="15.75" customHeight="1" x14ac:dyDescent="0.4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</row>
    <row r="771" spans="1:32" ht="15.75" customHeight="1" x14ac:dyDescent="0.4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</row>
    <row r="772" spans="1:32" ht="15.75" customHeight="1" x14ac:dyDescent="0.4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</row>
    <row r="773" spans="1:32" ht="15.75" customHeight="1" x14ac:dyDescent="0.4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</row>
    <row r="774" spans="1:32" ht="15.75" customHeight="1" x14ac:dyDescent="0.4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</row>
    <row r="775" spans="1:32" ht="15.75" customHeight="1" x14ac:dyDescent="0.4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</row>
    <row r="776" spans="1:32" ht="15.75" customHeight="1" x14ac:dyDescent="0.4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</row>
    <row r="777" spans="1:32" ht="15.75" customHeight="1" x14ac:dyDescent="0.4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</row>
    <row r="778" spans="1:32" ht="15.75" customHeight="1" x14ac:dyDescent="0.4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</row>
    <row r="779" spans="1:32" ht="15.75" customHeight="1" x14ac:dyDescent="0.4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</row>
    <row r="780" spans="1:32" ht="15.75" customHeight="1" x14ac:dyDescent="0.4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</row>
    <row r="781" spans="1:32" ht="15.75" customHeight="1" x14ac:dyDescent="0.4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</row>
    <row r="782" spans="1:32" ht="15.75" customHeight="1" x14ac:dyDescent="0.4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</row>
    <row r="783" spans="1:32" ht="15.75" customHeight="1" x14ac:dyDescent="0.4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</row>
    <row r="784" spans="1:32" ht="15.75" customHeight="1" x14ac:dyDescent="0.4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</row>
    <row r="785" spans="1:32" ht="15.75" customHeight="1" x14ac:dyDescent="0.4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</row>
    <row r="786" spans="1:32" ht="15.75" customHeight="1" x14ac:dyDescent="0.4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</row>
    <row r="787" spans="1:32" ht="15.75" customHeight="1" x14ac:dyDescent="0.4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</row>
    <row r="788" spans="1:32" ht="15.75" customHeight="1" x14ac:dyDescent="0.4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</row>
    <row r="789" spans="1:32" ht="15.75" customHeight="1" x14ac:dyDescent="0.4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</row>
    <row r="790" spans="1:32" ht="15.75" customHeight="1" x14ac:dyDescent="0.4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</row>
    <row r="791" spans="1:32" ht="15.75" customHeight="1" x14ac:dyDescent="0.4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</row>
    <row r="792" spans="1:32" ht="15.75" customHeight="1" x14ac:dyDescent="0.4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</row>
    <row r="793" spans="1:32" ht="15.75" customHeight="1" x14ac:dyDescent="0.4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</row>
    <row r="794" spans="1:32" ht="15.75" customHeight="1" x14ac:dyDescent="0.4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</row>
    <row r="795" spans="1:32" ht="15.75" customHeight="1" x14ac:dyDescent="0.4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</row>
    <row r="796" spans="1:32" ht="15.75" customHeight="1" x14ac:dyDescent="0.4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</row>
    <row r="797" spans="1:32" ht="15.75" customHeight="1" x14ac:dyDescent="0.4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</row>
    <row r="798" spans="1:32" ht="15.75" customHeight="1" x14ac:dyDescent="0.4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</row>
    <row r="799" spans="1:32" ht="15.75" customHeight="1" x14ac:dyDescent="0.4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</row>
    <row r="800" spans="1:32" ht="15.75" customHeight="1" x14ac:dyDescent="0.4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</row>
    <row r="801" spans="1:32" ht="15.75" customHeight="1" x14ac:dyDescent="0.4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</row>
    <row r="802" spans="1:32" ht="15.75" customHeight="1" x14ac:dyDescent="0.4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</row>
    <row r="803" spans="1:32" ht="15.75" customHeight="1" x14ac:dyDescent="0.4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</row>
    <row r="804" spans="1:32" ht="15.75" customHeight="1" x14ac:dyDescent="0.4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</row>
    <row r="805" spans="1:32" ht="15.75" customHeight="1" x14ac:dyDescent="0.4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</row>
    <row r="806" spans="1:32" ht="15.75" customHeight="1" x14ac:dyDescent="0.4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</row>
    <row r="807" spans="1:32" ht="15.75" customHeight="1" x14ac:dyDescent="0.4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</row>
    <row r="808" spans="1:32" ht="15.75" customHeight="1" x14ac:dyDescent="0.4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</row>
    <row r="809" spans="1:32" ht="15.75" customHeight="1" x14ac:dyDescent="0.4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</row>
    <row r="810" spans="1:32" ht="15.75" customHeight="1" x14ac:dyDescent="0.4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</row>
    <row r="811" spans="1:32" ht="15.75" customHeight="1" x14ac:dyDescent="0.4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</row>
    <row r="812" spans="1:32" ht="15.75" customHeight="1" x14ac:dyDescent="0.4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</row>
    <row r="813" spans="1:32" ht="15.75" customHeight="1" x14ac:dyDescent="0.4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</row>
    <row r="814" spans="1:32" ht="15.75" customHeight="1" x14ac:dyDescent="0.4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</row>
    <row r="815" spans="1:32" ht="15.75" customHeight="1" x14ac:dyDescent="0.4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</row>
    <row r="816" spans="1:32" ht="15.75" customHeight="1" x14ac:dyDescent="0.4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</row>
    <row r="817" spans="1:32" ht="15.75" customHeight="1" x14ac:dyDescent="0.4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</row>
    <row r="818" spans="1:32" ht="15.75" customHeight="1" x14ac:dyDescent="0.4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</row>
    <row r="819" spans="1:32" ht="15.75" customHeight="1" x14ac:dyDescent="0.4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</row>
    <row r="820" spans="1:32" ht="15.75" customHeight="1" x14ac:dyDescent="0.4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</row>
    <row r="821" spans="1:32" ht="15.75" customHeight="1" x14ac:dyDescent="0.4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</row>
    <row r="822" spans="1:32" ht="15.75" customHeight="1" x14ac:dyDescent="0.4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</row>
    <row r="823" spans="1:32" ht="15.75" customHeight="1" x14ac:dyDescent="0.4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</row>
    <row r="824" spans="1:32" ht="15.75" customHeight="1" x14ac:dyDescent="0.4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</row>
    <row r="825" spans="1:32" ht="15.75" customHeight="1" x14ac:dyDescent="0.4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</row>
    <row r="826" spans="1:32" ht="15.75" customHeight="1" x14ac:dyDescent="0.4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</row>
    <row r="827" spans="1:32" ht="15.75" customHeight="1" x14ac:dyDescent="0.4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</row>
    <row r="828" spans="1:32" ht="15.75" customHeight="1" x14ac:dyDescent="0.4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</row>
    <row r="829" spans="1:32" ht="15.75" customHeight="1" x14ac:dyDescent="0.4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</row>
    <row r="830" spans="1:32" ht="15.75" customHeight="1" x14ac:dyDescent="0.4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</row>
    <row r="831" spans="1:32" ht="15.75" customHeight="1" x14ac:dyDescent="0.4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</row>
    <row r="832" spans="1:32" ht="15.75" customHeight="1" x14ac:dyDescent="0.4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</row>
    <row r="833" spans="1:32" ht="15.75" customHeight="1" x14ac:dyDescent="0.4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</row>
    <row r="834" spans="1:32" ht="15.75" customHeight="1" x14ac:dyDescent="0.4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</row>
    <row r="835" spans="1:32" ht="15.75" customHeight="1" x14ac:dyDescent="0.4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</row>
    <row r="836" spans="1:32" ht="15.75" customHeight="1" x14ac:dyDescent="0.4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</row>
    <row r="837" spans="1:32" ht="15.75" customHeight="1" x14ac:dyDescent="0.4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</row>
    <row r="838" spans="1:32" ht="15.75" customHeight="1" x14ac:dyDescent="0.4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</row>
    <row r="839" spans="1:32" ht="15.75" customHeight="1" x14ac:dyDescent="0.4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</row>
    <row r="840" spans="1:32" ht="15.75" customHeight="1" x14ac:dyDescent="0.4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</row>
    <row r="841" spans="1:32" ht="15.75" customHeight="1" x14ac:dyDescent="0.4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</row>
    <row r="842" spans="1:32" ht="15.75" customHeight="1" x14ac:dyDescent="0.4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</row>
    <row r="843" spans="1:32" ht="15.75" customHeight="1" x14ac:dyDescent="0.4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</row>
    <row r="844" spans="1:32" ht="15.75" customHeight="1" x14ac:dyDescent="0.4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</row>
    <row r="845" spans="1:32" ht="15.75" customHeight="1" x14ac:dyDescent="0.4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</row>
    <row r="846" spans="1:32" ht="15.75" customHeight="1" x14ac:dyDescent="0.4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</row>
    <row r="847" spans="1:32" ht="15.75" customHeight="1" x14ac:dyDescent="0.4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</row>
    <row r="848" spans="1:32" ht="15.75" customHeight="1" x14ac:dyDescent="0.4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</row>
    <row r="849" spans="1:32" ht="15.75" customHeight="1" x14ac:dyDescent="0.4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</row>
    <row r="850" spans="1:32" ht="15.75" customHeight="1" x14ac:dyDescent="0.4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</row>
    <row r="851" spans="1:32" ht="15.75" customHeight="1" x14ac:dyDescent="0.4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</row>
    <row r="852" spans="1:32" ht="15.75" customHeight="1" x14ac:dyDescent="0.4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</row>
    <row r="853" spans="1:32" ht="15.75" customHeight="1" x14ac:dyDescent="0.4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</row>
    <row r="854" spans="1:32" ht="15.75" customHeight="1" x14ac:dyDescent="0.4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</row>
    <row r="855" spans="1:32" ht="15.75" customHeight="1" x14ac:dyDescent="0.4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</row>
    <row r="856" spans="1:32" ht="15.75" customHeight="1" x14ac:dyDescent="0.4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</row>
    <row r="857" spans="1:32" ht="15.75" customHeight="1" x14ac:dyDescent="0.4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</row>
    <row r="858" spans="1:32" ht="15.75" customHeight="1" x14ac:dyDescent="0.4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</row>
    <row r="859" spans="1:32" ht="15.75" customHeight="1" x14ac:dyDescent="0.4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</row>
    <row r="860" spans="1:32" ht="15.75" customHeight="1" x14ac:dyDescent="0.4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</row>
    <row r="861" spans="1:32" ht="15.75" customHeight="1" x14ac:dyDescent="0.4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</row>
    <row r="862" spans="1:32" ht="15.75" customHeight="1" x14ac:dyDescent="0.4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</row>
    <row r="863" spans="1:32" ht="15.75" customHeight="1" x14ac:dyDescent="0.4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</row>
    <row r="864" spans="1:32" ht="15.75" customHeight="1" x14ac:dyDescent="0.4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</row>
    <row r="865" spans="1:32" ht="15.75" customHeight="1" x14ac:dyDescent="0.4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</row>
    <row r="866" spans="1:32" ht="15.75" customHeight="1" x14ac:dyDescent="0.4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</row>
    <row r="867" spans="1:32" ht="15.75" customHeight="1" x14ac:dyDescent="0.4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</row>
    <row r="868" spans="1:32" ht="15.75" customHeight="1" x14ac:dyDescent="0.4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</row>
    <row r="869" spans="1:32" ht="15.75" customHeight="1" x14ac:dyDescent="0.4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</row>
    <row r="870" spans="1:32" ht="15.75" customHeight="1" x14ac:dyDescent="0.4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</row>
    <row r="871" spans="1:32" ht="15.75" customHeight="1" x14ac:dyDescent="0.4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</row>
    <row r="872" spans="1:32" ht="15.75" customHeight="1" x14ac:dyDescent="0.4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</row>
    <row r="873" spans="1:32" ht="15.75" customHeight="1" x14ac:dyDescent="0.4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</row>
    <row r="874" spans="1:32" ht="15.75" customHeight="1" x14ac:dyDescent="0.4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</row>
    <row r="875" spans="1:32" ht="15.75" customHeight="1" x14ac:dyDescent="0.4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</row>
    <row r="876" spans="1:32" ht="15.75" customHeight="1" x14ac:dyDescent="0.4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</row>
    <row r="877" spans="1:32" ht="15.75" customHeight="1" x14ac:dyDescent="0.4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</row>
    <row r="878" spans="1:32" ht="15.75" customHeight="1" x14ac:dyDescent="0.4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</row>
    <row r="879" spans="1:32" ht="15.75" customHeight="1" x14ac:dyDescent="0.4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</row>
    <row r="880" spans="1:32" ht="15.75" customHeight="1" x14ac:dyDescent="0.4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</row>
    <row r="881" spans="1:32" ht="15.75" customHeight="1" x14ac:dyDescent="0.4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</row>
    <row r="882" spans="1:32" ht="15.75" customHeight="1" x14ac:dyDescent="0.4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</row>
    <row r="883" spans="1:32" ht="15.75" customHeight="1" x14ac:dyDescent="0.4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</row>
    <row r="884" spans="1:32" ht="15.75" customHeight="1" x14ac:dyDescent="0.4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</row>
    <row r="885" spans="1:32" ht="15.75" customHeight="1" x14ac:dyDescent="0.4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</row>
    <row r="886" spans="1:32" ht="15.75" customHeight="1" x14ac:dyDescent="0.4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</row>
    <row r="887" spans="1:32" ht="15.75" customHeight="1" x14ac:dyDescent="0.4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</row>
    <row r="888" spans="1:32" ht="15.75" customHeight="1" x14ac:dyDescent="0.4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</row>
    <row r="889" spans="1:32" ht="15.75" customHeight="1" x14ac:dyDescent="0.4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</row>
    <row r="890" spans="1:32" ht="15.75" customHeight="1" x14ac:dyDescent="0.4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</row>
    <row r="891" spans="1:32" ht="15.75" customHeight="1" x14ac:dyDescent="0.4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</row>
    <row r="892" spans="1:32" ht="15.75" customHeight="1" x14ac:dyDescent="0.4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</row>
    <row r="893" spans="1:32" ht="15.75" customHeight="1" x14ac:dyDescent="0.4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</row>
    <row r="894" spans="1:32" ht="15.75" customHeight="1" x14ac:dyDescent="0.4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</row>
    <row r="895" spans="1:32" ht="15.75" customHeight="1" x14ac:dyDescent="0.4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</row>
    <row r="896" spans="1:32" ht="15.75" customHeight="1" x14ac:dyDescent="0.4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</row>
    <row r="897" spans="1:32" ht="15.75" customHeight="1" x14ac:dyDescent="0.4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</row>
    <row r="898" spans="1:32" ht="15.75" customHeight="1" x14ac:dyDescent="0.4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</row>
    <row r="899" spans="1:32" ht="15.75" customHeight="1" x14ac:dyDescent="0.4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</row>
    <row r="900" spans="1:32" ht="15.75" customHeight="1" x14ac:dyDescent="0.4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</row>
    <row r="901" spans="1:32" ht="15.75" customHeight="1" x14ac:dyDescent="0.4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</row>
    <row r="902" spans="1:32" ht="15.75" customHeight="1" x14ac:dyDescent="0.4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</row>
    <row r="903" spans="1:32" ht="15.75" customHeight="1" x14ac:dyDescent="0.4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</row>
    <row r="904" spans="1:32" ht="15.75" customHeight="1" x14ac:dyDescent="0.4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</row>
    <row r="905" spans="1:32" ht="15.75" customHeight="1" x14ac:dyDescent="0.4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</row>
    <row r="906" spans="1:32" ht="15.75" customHeight="1" x14ac:dyDescent="0.4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</row>
    <row r="907" spans="1:32" ht="15.75" customHeight="1" x14ac:dyDescent="0.4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</row>
    <row r="908" spans="1:32" ht="15.75" customHeight="1" x14ac:dyDescent="0.4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</row>
    <row r="909" spans="1:32" ht="15.75" customHeight="1" x14ac:dyDescent="0.4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</row>
    <row r="910" spans="1:32" ht="15.75" customHeight="1" x14ac:dyDescent="0.4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</row>
    <row r="911" spans="1:32" ht="15.75" customHeight="1" x14ac:dyDescent="0.4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</row>
    <row r="912" spans="1:32" ht="15.75" customHeight="1" x14ac:dyDescent="0.4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</row>
    <row r="913" spans="1:32" ht="15.75" customHeight="1" x14ac:dyDescent="0.4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</row>
    <row r="914" spans="1:32" ht="15.75" customHeight="1" x14ac:dyDescent="0.4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</row>
    <row r="915" spans="1:32" ht="15.75" customHeight="1" x14ac:dyDescent="0.4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</row>
    <row r="916" spans="1:32" ht="15.75" customHeight="1" x14ac:dyDescent="0.4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</row>
    <row r="917" spans="1:32" ht="15.75" customHeight="1" x14ac:dyDescent="0.4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</row>
    <row r="918" spans="1:32" ht="15.75" customHeight="1" x14ac:dyDescent="0.4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</row>
    <row r="919" spans="1:32" ht="15.75" customHeight="1" x14ac:dyDescent="0.4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</row>
    <row r="920" spans="1:32" ht="15.75" customHeight="1" x14ac:dyDescent="0.4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</row>
    <row r="921" spans="1:32" ht="15.75" customHeight="1" x14ac:dyDescent="0.4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</row>
    <row r="922" spans="1:32" ht="15.75" customHeight="1" x14ac:dyDescent="0.4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</row>
    <row r="923" spans="1:32" ht="15.75" customHeight="1" x14ac:dyDescent="0.4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</row>
    <row r="924" spans="1:32" ht="15.75" customHeight="1" x14ac:dyDescent="0.4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</row>
    <row r="925" spans="1:32" ht="15.75" customHeight="1" x14ac:dyDescent="0.4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</row>
    <row r="926" spans="1:32" ht="15.75" customHeight="1" x14ac:dyDescent="0.4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</row>
    <row r="927" spans="1:32" ht="15.75" customHeight="1" x14ac:dyDescent="0.4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</row>
    <row r="928" spans="1:32" ht="15.75" customHeight="1" x14ac:dyDescent="0.4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</row>
    <row r="929" spans="1:32" ht="15.75" customHeight="1" x14ac:dyDescent="0.4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</row>
    <row r="930" spans="1:32" ht="15.75" customHeight="1" x14ac:dyDescent="0.4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</row>
    <row r="931" spans="1:32" ht="15.75" customHeight="1" x14ac:dyDescent="0.4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</row>
    <row r="932" spans="1:32" ht="15.75" customHeight="1" x14ac:dyDescent="0.4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</row>
    <row r="933" spans="1:32" ht="15.75" customHeight="1" x14ac:dyDescent="0.4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</row>
    <row r="934" spans="1:32" ht="15.75" customHeight="1" x14ac:dyDescent="0.4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</row>
    <row r="935" spans="1:32" ht="15.75" customHeight="1" x14ac:dyDescent="0.4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</row>
    <row r="936" spans="1:32" ht="15.75" customHeight="1" x14ac:dyDescent="0.4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</row>
    <row r="937" spans="1:32" ht="15.75" customHeight="1" x14ac:dyDescent="0.4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</row>
    <row r="938" spans="1:32" ht="15.75" customHeight="1" x14ac:dyDescent="0.4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</row>
    <row r="939" spans="1:32" ht="15.75" customHeight="1" x14ac:dyDescent="0.4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</row>
    <row r="940" spans="1:32" ht="15.75" customHeight="1" x14ac:dyDescent="0.4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</row>
    <row r="941" spans="1:32" ht="15.75" customHeight="1" x14ac:dyDescent="0.4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</row>
    <row r="942" spans="1:32" ht="15.75" customHeight="1" x14ac:dyDescent="0.4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</row>
    <row r="943" spans="1:32" ht="15.75" customHeight="1" x14ac:dyDescent="0.4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</row>
    <row r="944" spans="1:32" ht="15.75" customHeight="1" x14ac:dyDescent="0.4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</row>
    <row r="945" spans="1:32" ht="15.75" customHeight="1" x14ac:dyDescent="0.4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</row>
    <row r="946" spans="1:32" ht="15.75" customHeight="1" x14ac:dyDescent="0.4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</row>
    <row r="947" spans="1:32" ht="15.75" customHeight="1" x14ac:dyDescent="0.4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</row>
    <row r="948" spans="1:32" ht="15.75" customHeight="1" x14ac:dyDescent="0.4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</row>
    <row r="949" spans="1:32" ht="15.75" customHeight="1" x14ac:dyDescent="0.4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</row>
    <row r="950" spans="1:32" ht="15.75" customHeight="1" x14ac:dyDescent="0.4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</row>
    <row r="951" spans="1:32" ht="15.75" customHeight="1" x14ac:dyDescent="0.4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</row>
    <row r="952" spans="1:32" ht="15.75" customHeight="1" x14ac:dyDescent="0.4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</row>
    <row r="953" spans="1:32" ht="15.75" customHeight="1" x14ac:dyDescent="0.4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</row>
    <row r="954" spans="1:32" ht="15.75" customHeight="1" x14ac:dyDescent="0.4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</row>
    <row r="955" spans="1:32" ht="15.75" customHeight="1" x14ac:dyDescent="0.4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</row>
    <row r="956" spans="1:32" ht="15.75" customHeight="1" x14ac:dyDescent="0.4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</row>
    <row r="957" spans="1:32" ht="15.75" customHeight="1" x14ac:dyDescent="0.4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</row>
    <row r="958" spans="1:32" ht="15.75" customHeight="1" x14ac:dyDescent="0.4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</row>
    <row r="959" spans="1:32" ht="15.75" customHeight="1" x14ac:dyDescent="0.4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</row>
    <row r="960" spans="1:32" ht="15.75" customHeight="1" x14ac:dyDescent="0.4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</row>
    <row r="961" spans="1:32" ht="15.75" customHeight="1" x14ac:dyDescent="0.4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</row>
    <row r="962" spans="1:32" ht="15.75" customHeight="1" x14ac:dyDescent="0.4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</row>
    <row r="963" spans="1:32" ht="15.75" customHeight="1" x14ac:dyDescent="0.4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</row>
    <row r="964" spans="1:32" ht="15.75" customHeight="1" x14ac:dyDescent="0.4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</row>
    <row r="965" spans="1:32" ht="15.75" customHeight="1" x14ac:dyDescent="0.4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</row>
    <row r="966" spans="1:32" ht="15.75" customHeight="1" x14ac:dyDescent="0.4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</row>
    <row r="967" spans="1:32" ht="15.75" customHeight="1" x14ac:dyDescent="0.4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</row>
    <row r="968" spans="1:32" ht="15.75" customHeight="1" x14ac:dyDescent="0.4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</row>
    <row r="969" spans="1:32" ht="15.75" customHeight="1" x14ac:dyDescent="0.4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</row>
    <row r="970" spans="1:32" ht="15.75" customHeight="1" x14ac:dyDescent="0.4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</row>
    <row r="971" spans="1:32" ht="15.75" customHeight="1" x14ac:dyDescent="0.4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</row>
    <row r="972" spans="1:32" ht="15.75" customHeight="1" x14ac:dyDescent="0.4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</row>
    <row r="973" spans="1:32" ht="15.75" customHeight="1" x14ac:dyDescent="0.4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</row>
    <row r="974" spans="1:32" ht="15.75" customHeight="1" x14ac:dyDescent="0.4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</row>
    <row r="975" spans="1:32" ht="15.75" customHeight="1" x14ac:dyDescent="0.4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</row>
    <row r="976" spans="1:32" ht="15.75" customHeight="1" x14ac:dyDescent="0.4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</row>
    <row r="977" spans="1:32" ht="15.75" customHeight="1" x14ac:dyDescent="0.4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</row>
    <row r="978" spans="1:32" ht="15.75" customHeight="1" x14ac:dyDescent="0.4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</row>
    <row r="979" spans="1:32" ht="15.75" customHeight="1" x14ac:dyDescent="0.4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</row>
    <row r="980" spans="1:32" ht="15.75" customHeight="1" x14ac:dyDescent="0.4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</row>
    <row r="981" spans="1:32" ht="15.75" customHeight="1" x14ac:dyDescent="0.4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</row>
    <row r="982" spans="1:32" ht="15.75" customHeight="1" x14ac:dyDescent="0.4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</row>
    <row r="983" spans="1:32" ht="15.75" customHeight="1" x14ac:dyDescent="0.4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</row>
    <row r="984" spans="1:32" ht="15.75" customHeight="1" x14ac:dyDescent="0.4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</row>
    <row r="985" spans="1:32" ht="15.75" customHeight="1" x14ac:dyDescent="0.4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</row>
    <row r="986" spans="1:32" ht="15.75" customHeight="1" x14ac:dyDescent="0.4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</row>
    <row r="987" spans="1:32" ht="15.75" customHeight="1" x14ac:dyDescent="0.4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</row>
    <row r="988" spans="1:32" ht="15.75" customHeight="1" x14ac:dyDescent="0.4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</row>
    <row r="989" spans="1:32" ht="15.75" customHeight="1" x14ac:dyDescent="0.4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</row>
    <row r="990" spans="1:32" ht="15.75" customHeight="1" x14ac:dyDescent="0.4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</row>
    <row r="991" spans="1:32" ht="15.75" customHeight="1" x14ac:dyDescent="0.4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</row>
    <row r="992" spans="1:32" ht="15.75" customHeight="1" x14ac:dyDescent="0.4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</row>
    <row r="993" spans="1:32" ht="15.75" customHeight="1" x14ac:dyDescent="0.4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</row>
    <row r="994" spans="1:32" ht="15.75" customHeight="1" x14ac:dyDescent="0.4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</row>
    <row r="995" spans="1:32" ht="15.75" customHeight="1" x14ac:dyDescent="0.4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</row>
    <row r="996" spans="1:32" ht="15.75" customHeight="1" x14ac:dyDescent="0.4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</row>
    <row r="997" spans="1:32" ht="15.75" customHeight="1" x14ac:dyDescent="0.4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</row>
    <row r="998" spans="1:32" ht="15.75" customHeight="1" x14ac:dyDescent="0.4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</row>
    <row r="999" spans="1:32" ht="15.75" customHeight="1" x14ac:dyDescent="0.4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</row>
    <row r="1000" spans="1:32" ht="15.75" customHeight="1" x14ac:dyDescent="0.4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</row>
  </sheetData>
  <conditionalFormatting sqref="Z1:Z1000">
    <cfRule type="cellIs" dxfId="143" priority="1" operator="greaterThanOrEqual">
      <formula>"3%"</formula>
    </cfRule>
  </conditionalFormatting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4.3984375" defaultRowHeight="15" customHeight="1" x14ac:dyDescent="0.45"/>
  <cols>
    <col min="1" max="1" width="40.265625" customWidth="1"/>
    <col min="2" max="2" width="1.86328125" customWidth="1"/>
    <col min="3" max="7" width="15.3984375" customWidth="1"/>
    <col min="8" max="8" width="11.1328125" customWidth="1"/>
    <col min="9" max="9" width="2.1328125" customWidth="1"/>
    <col min="10" max="10" width="13.86328125" customWidth="1"/>
    <col min="11" max="12" width="17.265625" customWidth="1"/>
    <col min="13" max="13" width="13.86328125" customWidth="1"/>
    <col min="14" max="14" width="11.1328125" customWidth="1"/>
    <col min="15" max="15" width="2.1328125" customWidth="1"/>
    <col min="16" max="16" width="11.73046875" customWidth="1"/>
    <col min="17" max="17" width="12.1328125" customWidth="1"/>
    <col min="18" max="18" width="11.73046875" customWidth="1"/>
    <col min="19" max="19" width="12.1328125" customWidth="1"/>
    <col min="20" max="20" width="11.1328125" customWidth="1"/>
    <col min="21" max="21" width="12.3984375" customWidth="1"/>
    <col min="22" max="26" width="8.73046875" customWidth="1"/>
  </cols>
  <sheetData>
    <row r="1" spans="1:26" ht="42.75" x14ac:dyDescent="0.45">
      <c r="A1" s="480" t="s">
        <v>330</v>
      </c>
      <c r="B1" s="481"/>
      <c r="C1" s="482" t="s">
        <v>331</v>
      </c>
      <c r="D1" s="482" t="s">
        <v>332</v>
      </c>
      <c r="E1" s="482" t="s">
        <v>333</v>
      </c>
      <c r="F1" s="482" t="s">
        <v>334</v>
      </c>
      <c r="G1" s="482" t="s">
        <v>335</v>
      </c>
      <c r="H1" s="482" t="s">
        <v>336</v>
      </c>
      <c r="I1" s="22"/>
      <c r="J1" s="483" t="s">
        <v>337</v>
      </c>
      <c r="K1" s="483" t="s">
        <v>338</v>
      </c>
      <c r="L1" s="483" t="s">
        <v>339</v>
      </c>
      <c r="M1" s="483" t="s">
        <v>340</v>
      </c>
      <c r="N1" s="483" t="s">
        <v>336</v>
      </c>
      <c r="O1" s="22"/>
      <c r="P1" s="484" t="s">
        <v>341</v>
      </c>
      <c r="Q1" s="485" t="s">
        <v>342</v>
      </c>
      <c r="R1" s="484" t="s">
        <v>343</v>
      </c>
      <c r="S1" s="485" t="s">
        <v>344</v>
      </c>
      <c r="T1" s="484" t="s">
        <v>345</v>
      </c>
      <c r="U1" s="485" t="s">
        <v>346</v>
      </c>
      <c r="V1" s="22"/>
      <c r="W1" s="22"/>
      <c r="X1" s="22"/>
      <c r="Y1" s="22"/>
      <c r="Z1" s="22"/>
    </row>
    <row r="2" spans="1:26" ht="14.25" x14ac:dyDescent="0.45">
      <c r="A2" s="157" t="s">
        <v>347</v>
      </c>
      <c r="B2" s="157"/>
      <c r="C2" s="486">
        <v>528</v>
      </c>
      <c r="D2" s="145">
        <v>528</v>
      </c>
      <c r="E2" s="145">
        <v>537</v>
      </c>
      <c r="F2" s="145">
        <v>536</v>
      </c>
      <c r="G2" s="145">
        <v>532</v>
      </c>
      <c r="H2" s="145">
        <f t="shared" ref="H2:H55" si="0">AVERAGE(E2:G2)</f>
        <v>535</v>
      </c>
      <c r="I2" s="22"/>
      <c r="J2" s="486">
        <v>493</v>
      </c>
      <c r="K2" s="145">
        <v>460</v>
      </c>
      <c r="L2" s="145">
        <v>1402</v>
      </c>
      <c r="M2" s="145"/>
      <c r="N2" s="145">
        <f t="shared" ref="N2:N5" si="1">AVERAGE(J2:L2)</f>
        <v>785</v>
      </c>
      <c r="O2" s="22"/>
      <c r="P2" s="159">
        <v>319</v>
      </c>
      <c r="Q2" s="159">
        <v>54</v>
      </c>
      <c r="R2" s="22">
        <v>216</v>
      </c>
      <c r="S2" s="22">
        <v>57</v>
      </c>
      <c r="T2" s="159">
        <f t="shared" ref="T2:U2" si="2">AVERAGE(P2,R2)</f>
        <v>267.5</v>
      </c>
      <c r="U2" s="159">
        <f t="shared" si="2"/>
        <v>55.5</v>
      </c>
      <c r="V2" s="22"/>
      <c r="W2" s="22"/>
      <c r="X2" s="22"/>
      <c r="Y2" s="22"/>
      <c r="Z2" s="22"/>
    </row>
    <row r="3" spans="1:26" ht="14.25" x14ac:dyDescent="0.45">
      <c r="A3" s="157" t="s">
        <v>65</v>
      </c>
      <c r="B3" s="157"/>
      <c r="C3" s="486">
        <v>605</v>
      </c>
      <c r="D3" s="348">
        <v>605</v>
      </c>
      <c r="E3" s="145">
        <v>610</v>
      </c>
      <c r="F3" s="145">
        <v>610</v>
      </c>
      <c r="G3" s="145">
        <v>615</v>
      </c>
      <c r="H3" s="145">
        <f t="shared" si="0"/>
        <v>611.66666666666663</v>
      </c>
      <c r="I3" s="22"/>
      <c r="J3" s="486">
        <v>2644</v>
      </c>
      <c r="K3" s="145">
        <v>3382</v>
      </c>
      <c r="L3" s="145">
        <v>2761</v>
      </c>
      <c r="M3" s="145"/>
      <c r="N3" s="145">
        <f t="shared" si="1"/>
        <v>2929</v>
      </c>
      <c r="O3" s="22"/>
      <c r="P3" s="159">
        <v>507</v>
      </c>
      <c r="Q3" s="159">
        <v>80</v>
      </c>
      <c r="R3" s="22">
        <v>593</v>
      </c>
      <c r="S3" s="22">
        <v>152</v>
      </c>
      <c r="T3" s="159">
        <f t="shared" ref="T3:U3" si="3">AVERAGE(P3,R3)</f>
        <v>550</v>
      </c>
      <c r="U3" s="159">
        <f t="shared" si="3"/>
        <v>116</v>
      </c>
      <c r="V3" s="22"/>
      <c r="W3" s="22"/>
      <c r="X3" s="22"/>
      <c r="Y3" s="22"/>
      <c r="Z3" s="22"/>
    </row>
    <row r="4" spans="1:26" ht="14.25" x14ac:dyDescent="0.45">
      <c r="A4" s="157" t="s">
        <v>348</v>
      </c>
      <c r="B4" s="157"/>
      <c r="C4" s="486">
        <v>1626</v>
      </c>
      <c r="D4" s="145">
        <v>1576</v>
      </c>
      <c r="E4" s="145">
        <v>1682</v>
      </c>
      <c r="F4" s="145">
        <v>1672</v>
      </c>
      <c r="G4" s="145">
        <v>1661</v>
      </c>
      <c r="H4" s="145">
        <f t="shared" si="0"/>
        <v>1671.6666666666667</v>
      </c>
      <c r="I4" s="22"/>
      <c r="J4" s="486">
        <v>6069</v>
      </c>
      <c r="K4" s="145">
        <v>5448</v>
      </c>
      <c r="L4" s="145">
        <v>7078</v>
      </c>
      <c r="M4" s="145"/>
      <c r="N4" s="145">
        <f t="shared" si="1"/>
        <v>6198.333333333333</v>
      </c>
      <c r="O4" s="22"/>
      <c r="P4" s="159">
        <v>698</v>
      </c>
      <c r="Q4" s="159">
        <v>715</v>
      </c>
      <c r="R4" s="22">
        <v>1036</v>
      </c>
      <c r="S4" s="22">
        <v>1476</v>
      </c>
      <c r="T4" s="159">
        <f t="shared" ref="T4:U4" si="4">AVERAGE(P4,R4)</f>
        <v>867</v>
      </c>
      <c r="U4" s="159">
        <f t="shared" si="4"/>
        <v>1095.5</v>
      </c>
      <c r="V4" s="22"/>
      <c r="W4" s="22"/>
      <c r="X4" s="22"/>
      <c r="Y4" s="22"/>
      <c r="Z4" s="22"/>
    </row>
    <row r="5" spans="1:26" ht="14.25" x14ac:dyDescent="0.45">
      <c r="A5" s="157" t="s">
        <v>349</v>
      </c>
      <c r="B5" s="157"/>
      <c r="C5" s="486">
        <v>16425</v>
      </c>
      <c r="D5" s="145">
        <v>16510</v>
      </c>
      <c r="E5" s="145">
        <v>16750</v>
      </c>
      <c r="F5" s="145">
        <v>16765</v>
      </c>
      <c r="G5" s="145">
        <v>16820</v>
      </c>
      <c r="H5" s="145">
        <f t="shared" si="0"/>
        <v>16778.333333333332</v>
      </c>
      <c r="I5" s="22"/>
      <c r="J5" s="486">
        <v>164954</v>
      </c>
      <c r="K5" s="145">
        <v>150720</v>
      </c>
      <c r="L5" s="145">
        <v>136133</v>
      </c>
      <c r="M5" s="145"/>
      <c r="N5" s="145">
        <f t="shared" si="1"/>
        <v>150602.33333333334</v>
      </c>
      <c r="O5" s="22"/>
      <c r="P5" s="145">
        <v>8246</v>
      </c>
      <c r="Q5" s="145">
        <v>6390</v>
      </c>
      <c r="R5" s="22">
        <v>8331</v>
      </c>
      <c r="S5" s="22">
        <v>7498</v>
      </c>
      <c r="T5" s="159">
        <f t="shared" ref="T5:U5" si="5">AVERAGE(P5,R5)</f>
        <v>8288.5</v>
      </c>
      <c r="U5" s="159">
        <f t="shared" si="5"/>
        <v>6944</v>
      </c>
      <c r="V5" s="22"/>
      <c r="W5" s="22"/>
      <c r="X5" s="22"/>
      <c r="Y5" s="22"/>
      <c r="Z5" s="22"/>
    </row>
    <row r="6" spans="1:26" ht="14.25" x14ac:dyDescent="0.45">
      <c r="A6" s="487" t="s">
        <v>350</v>
      </c>
      <c r="B6" s="190"/>
      <c r="C6" s="488"/>
      <c r="D6" s="488"/>
      <c r="E6" s="488"/>
      <c r="F6" s="489">
        <f>Summary!K17</f>
        <v>2763</v>
      </c>
      <c r="G6" s="489">
        <f t="shared" ref="G6:G9" si="6">F6</f>
        <v>2763</v>
      </c>
      <c r="H6" s="145">
        <f t="shared" si="0"/>
        <v>2763</v>
      </c>
      <c r="I6" s="22"/>
      <c r="J6" s="486"/>
      <c r="K6" s="145"/>
      <c r="L6" s="145"/>
      <c r="M6" s="145"/>
      <c r="N6" s="145"/>
      <c r="O6" s="22"/>
      <c r="P6" s="65"/>
      <c r="Q6" s="65"/>
      <c r="R6" s="22">
        <v>521</v>
      </c>
      <c r="S6" s="22">
        <v>98</v>
      </c>
      <c r="T6" s="159">
        <f t="shared" ref="T6:U6" si="7">AVERAGE(P6,R6)</f>
        <v>521</v>
      </c>
      <c r="U6" s="159">
        <f t="shared" si="7"/>
        <v>98</v>
      </c>
      <c r="V6" s="22"/>
      <c r="W6" s="22"/>
      <c r="X6" s="22"/>
      <c r="Y6" s="22"/>
      <c r="Z6" s="22"/>
    </row>
    <row r="7" spans="1:26" ht="14.25" x14ac:dyDescent="0.45">
      <c r="A7" s="490" t="s">
        <v>351</v>
      </c>
      <c r="B7" s="491"/>
      <c r="C7" s="488"/>
      <c r="D7" s="488"/>
      <c r="E7" s="488"/>
      <c r="F7" s="489">
        <f>Summary!K18</f>
        <v>7252</v>
      </c>
      <c r="G7" s="489">
        <f t="shared" si="6"/>
        <v>7252</v>
      </c>
      <c r="H7" s="145">
        <f t="shared" si="0"/>
        <v>7252</v>
      </c>
      <c r="I7" s="22"/>
      <c r="J7" s="486"/>
      <c r="K7" s="145"/>
      <c r="L7" s="145"/>
      <c r="M7" s="145"/>
      <c r="N7" s="145"/>
      <c r="O7" s="22"/>
      <c r="P7" s="65"/>
      <c r="Q7" s="65"/>
      <c r="R7" s="22">
        <v>1415</v>
      </c>
      <c r="S7" s="22">
        <v>184</v>
      </c>
      <c r="T7" s="159">
        <f t="shared" ref="T7:U7" si="8">AVERAGE(P7,R7)</f>
        <v>1415</v>
      </c>
      <c r="U7" s="159">
        <f t="shared" si="8"/>
        <v>184</v>
      </c>
      <c r="V7" s="22"/>
      <c r="W7" s="22"/>
      <c r="X7" s="22"/>
      <c r="Y7" s="22"/>
      <c r="Z7" s="22"/>
    </row>
    <row r="8" spans="1:26" ht="14.25" x14ac:dyDescent="0.45">
      <c r="A8" s="487" t="s">
        <v>79</v>
      </c>
      <c r="B8" s="190"/>
      <c r="C8" s="488"/>
      <c r="D8" s="488"/>
      <c r="E8" s="488"/>
      <c r="F8" s="489">
        <f>Summary!K19</f>
        <v>349.33333333333331</v>
      </c>
      <c r="G8" s="489">
        <f t="shared" si="6"/>
        <v>349.33333333333331</v>
      </c>
      <c r="H8" s="145">
        <f t="shared" si="0"/>
        <v>349.33333333333331</v>
      </c>
      <c r="I8" s="22"/>
      <c r="J8" s="486"/>
      <c r="K8" s="145"/>
      <c r="L8" s="145"/>
      <c r="M8" s="145"/>
      <c r="N8" s="145"/>
      <c r="O8" s="22"/>
      <c r="P8" s="65"/>
      <c r="Q8" s="65"/>
      <c r="R8" s="22">
        <v>3</v>
      </c>
      <c r="S8" s="22">
        <v>2</v>
      </c>
      <c r="T8" s="159">
        <f t="shared" ref="T8:U8" si="9">AVERAGE(P8,R8)</f>
        <v>3</v>
      </c>
      <c r="U8" s="159">
        <f t="shared" si="9"/>
        <v>2</v>
      </c>
      <c r="V8" s="22"/>
      <c r="W8" s="22"/>
      <c r="X8" s="22"/>
      <c r="Y8" s="22"/>
      <c r="Z8" s="22"/>
    </row>
    <row r="9" spans="1:26" ht="14.25" x14ac:dyDescent="0.45">
      <c r="A9" s="487" t="s">
        <v>82</v>
      </c>
      <c r="B9" s="190"/>
      <c r="C9" s="488"/>
      <c r="D9" s="489"/>
      <c r="E9" s="489"/>
      <c r="F9" s="489">
        <f>Summary!K20</f>
        <v>103.33333333333333</v>
      </c>
      <c r="G9" s="489">
        <f t="shared" si="6"/>
        <v>103.33333333333333</v>
      </c>
      <c r="H9" s="145">
        <f t="shared" si="0"/>
        <v>103.33333333333333</v>
      </c>
      <c r="I9" s="22"/>
      <c r="J9" s="486"/>
      <c r="K9" s="145"/>
      <c r="L9" s="145"/>
      <c r="M9" s="145"/>
      <c r="N9" s="145"/>
      <c r="O9" s="22"/>
      <c r="P9" s="65"/>
      <c r="Q9" s="65"/>
      <c r="R9" s="22">
        <v>29</v>
      </c>
      <c r="S9" s="22">
        <v>18</v>
      </c>
      <c r="T9" s="159">
        <f t="shared" ref="T9:U9" si="10">AVERAGE(P9,R9)</f>
        <v>29</v>
      </c>
      <c r="U9" s="159">
        <f t="shared" si="10"/>
        <v>18</v>
      </c>
      <c r="V9" s="22"/>
      <c r="W9" s="22"/>
      <c r="X9" s="22"/>
      <c r="Y9" s="22"/>
      <c r="Z9" s="22"/>
    </row>
    <row r="10" spans="1:26" ht="14.25" x14ac:dyDescent="0.45">
      <c r="A10" s="157" t="s">
        <v>352</v>
      </c>
      <c r="B10" s="157"/>
      <c r="C10" s="486">
        <v>1006</v>
      </c>
      <c r="D10" s="145">
        <v>1006</v>
      </c>
      <c r="E10" s="145">
        <v>1009</v>
      </c>
      <c r="F10" s="145">
        <v>1015</v>
      </c>
      <c r="G10" s="145">
        <v>1008</v>
      </c>
      <c r="H10" s="145">
        <f t="shared" si="0"/>
        <v>1010.6666666666666</v>
      </c>
      <c r="I10" s="22"/>
      <c r="J10" s="486">
        <v>12236</v>
      </c>
      <c r="K10" s="145">
        <v>8029</v>
      </c>
      <c r="L10" s="145">
        <v>5891</v>
      </c>
      <c r="M10" s="145"/>
      <c r="N10" s="145">
        <f>AVERAGE(J10:L10)</f>
        <v>8718.6666666666661</v>
      </c>
      <c r="O10" s="22"/>
      <c r="P10" s="145">
        <v>2316</v>
      </c>
      <c r="Q10" s="159">
        <v>573</v>
      </c>
      <c r="R10" s="22">
        <v>2433</v>
      </c>
      <c r="S10" s="22">
        <v>405</v>
      </c>
      <c r="T10" s="159">
        <f t="shared" ref="T10:U10" si="11">AVERAGE(P10,R10)</f>
        <v>2374.5</v>
      </c>
      <c r="U10" s="159">
        <f t="shared" si="11"/>
        <v>489</v>
      </c>
      <c r="V10" s="22"/>
      <c r="W10" s="22"/>
      <c r="X10" s="22"/>
      <c r="Y10" s="22"/>
      <c r="Z10" s="22"/>
    </row>
    <row r="11" spans="1:26" ht="14.25" x14ac:dyDescent="0.45">
      <c r="A11" s="487" t="s">
        <v>87</v>
      </c>
      <c r="B11" s="190"/>
      <c r="C11" s="488"/>
      <c r="D11" s="488"/>
      <c r="E11" s="488"/>
      <c r="F11" s="489">
        <f>Summary!K22</f>
        <v>2</v>
      </c>
      <c r="G11" s="489">
        <f>$F$11</f>
        <v>2</v>
      </c>
      <c r="H11" s="145">
        <f t="shared" si="0"/>
        <v>2</v>
      </c>
      <c r="I11" s="22"/>
      <c r="J11" s="486"/>
      <c r="K11" s="145"/>
      <c r="L11" s="145"/>
      <c r="M11" s="145"/>
      <c r="N11" s="145"/>
      <c r="O11" s="22"/>
      <c r="P11" s="65"/>
      <c r="Q11" s="65"/>
      <c r="R11" s="22">
        <v>64</v>
      </c>
      <c r="S11" s="22">
        <v>66</v>
      </c>
      <c r="T11" s="159">
        <f t="shared" ref="T11:U11" si="12">AVERAGE(P11,R11)</f>
        <v>64</v>
      </c>
      <c r="U11" s="159">
        <f t="shared" si="12"/>
        <v>66</v>
      </c>
      <c r="V11" s="22"/>
      <c r="W11" s="22"/>
      <c r="X11" s="22"/>
      <c r="Y11" s="22"/>
      <c r="Z11" s="22"/>
    </row>
    <row r="12" spans="1:26" ht="14.25" x14ac:dyDescent="0.45">
      <c r="A12" s="157" t="s">
        <v>90</v>
      </c>
      <c r="B12" s="157"/>
      <c r="C12" s="486">
        <v>2633</v>
      </c>
      <c r="D12" s="145">
        <v>2640</v>
      </c>
      <c r="E12" s="145">
        <v>2655</v>
      </c>
      <c r="F12" s="145">
        <v>2631</v>
      </c>
      <c r="G12" s="145">
        <v>2867</v>
      </c>
      <c r="H12" s="145">
        <f t="shared" si="0"/>
        <v>2717.6666666666665</v>
      </c>
      <c r="I12" s="22"/>
      <c r="J12" s="486">
        <v>7846</v>
      </c>
      <c r="K12" s="145">
        <v>7039</v>
      </c>
      <c r="L12" s="145">
        <v>9101</v>
      </c>
      <c r="M12" s="145"/>
      <c r="N12" s="145">
        <f t="shared" ref="N12:N16" si="13">AVERAGE(J12:L12)</f>
        <v>7995.333333333333</v>
      </c>
      <c r="O12" s="22"/>
      <c r="P12" s="145">
        <v>1066</v>
      </c>
      <c r="Q12" s="145">
        <v>1825</v>
      </c>
      <c r="R12" s="22">
        <v>1040</v>
      </c>
      <c r="S12" s="22">
        <v>1285</v>
      </c>
      <c r="T12" s="159">
        <f t="shared" ref="T12:U12" si="14">AVERAGE(P12,R12)</f>
        <v>1053</v>
      </c>
      <c r="U12" s="159">
        <f t="shared" si="14"/>
        <v>1555</v>
      </c>
      <c r="V12" s="22"/>
      <c r="W12" s="22"/>
      <c r="X12" s="22"/>
      <c r="Y12" s="22"/>
      <c r="Z12" s="22"/>
    </row>
    <row r="13" spans="1:26" ht="14.25" x14ac:dyDescent="0.45">
      <c r="A13" s="157" t="s">
        <v>353</v>
      </c>
      <c r="B13" s="157"/>
      <c r="C13" s="486">
        <v>1940</v>
      </c>
      <c r="D13" s="348">
        <v>1940</v>
      </c>
      <c r="E13" s="145">
        <v>1985</v>
      </c>
      <c r="F13" s="145">
        <v>1985</v>
      </c>
      <c r="G13" s="145">
        <v>1985</v>
      </c>
      <c r="H13" s="145">
        <f t="shared" si="0"/>
        <v>1985</v>
      </c>
      <c r="I13" s="22"/>
      <c r="J13" s="486">
        <v>21530</v>
      </c>
      <c r="K13" s="145">
        <v>16584</v>
      </c>
      <c r="L13" s="145">
        <v>20707</v>
      </c>
      <c r="M13" s="145"/>
      <c r="N13" s="145">
        <f t="shared" si="13"/>
        <v>19607</v>
      </c>
      <c r="O13" s="22"/>
      <c r="P13" s="145">
        <v>1260</v>
      </c>
      <c r="Q13" s="145">
        <v>2483</v>
      </c>
      <c r="R13" s="22">
        <v>1002</v>
      </c>
      <c r="S13" s="22">
        <v>2492</v>
      </c>
      <c r="T13" s="159">
        <f t="shared" ref="T13:U13" si="15">AVERAGE(P13,R13)</f>
        <v>1131</v>
      </c>
      <c r="U13" s="159">
        <f t="shared" si="15"/>
        <v>2487.5</v>
      </c>
      <c r="V13" s="22"/>
      <c r="W13" s="22"/>
      <c r="X13" s="22"/>
      <c r="Y13" s="22"/>
      <c r="Z13" s="22"/>
    </row>
    <row r="14" spans="1:26" ht="14.25" x14ac:dyDescent="0.45">
      <c r="A14" s="157" t="s">
        <v>354</v>
      </c>
      <c r="B14" s="157"/>
      <c r="C14" s="486">
        <v>475</v>
      </c>
      <c r="D14" s="145">
        <v>475</v>
      </c>
      <c r="E14" s="145">
        <v>475</v>
      </c>
      <c r="F14" s="145">
        <v>475</v>
      </c>
      <c r="G14" s="145">
        <v>475</v>
      </c>
      <c r="H14" s="145">
        <f t="shared" si="0"/>
        <v>475</v>
      </c>
      <c r="I14" s="22"/>
      <c r="J14" s="486">
        <v>2240</v>
      </c>
      <c r="K14" s="145">
        <v>3264</v>
      </c>
      <c r="L14" s="145">
        <v>967</v>
      </c>
      <c r="M14" s="145"/>
      <c r="N14" s="145">
        <f t="shared" si="13"/>
        <v>2157</v>
      </c>
      <c r="O14" s="22"/>
      <c r="P14" s="492">
        <v>0</v>
      </c>
      <c r="Q14" s="492">
        <v>0</v>
      </c>
      <c r="R14" s="22">
        <v>69</v>
      </c>
      <c r="S14" s="22">
        <v>431</v>
      </c>
      <c r="T14" s="159">
        <f t="shared" ref="T14:U14" si="16">AVERAGE(P14,R14)</f>
        <v>34.5</v>
      </c>
      <c r="U14" s="159">
        <f t="shared" si="16"/>
        <v>215.5</v>
      </c>
      <c r="V14" s="22"/>
      <c r="W14" s="22"/>
      <c r="X14" s="22"/>
      <c r="Y14" s="22"/>
      <c r="Z14" s="22"/>
    </row>
    <row r="15" spans="1:26" ht="14.25" x14ac:dyDescent="0.45">
      <c r="A15" s="157" t="s">
        <v>97</v>
      </c>
      <c r="B15" s="157"/>
      <c r="C15" s="493">
        <v>1975</v>
      </c>
      <c r="D15" s="348">
        <v>1385</v>
      </c>
      <c r="E15" s="145">
        <v>1385</v>
      </c>
      <c r="F15" s="145">
        <v>1375</v>
      </c>
      <c r="G15" s="145">
        <v>1375</v>
      </c>
      <c r="H15" s="145">
        <f t="shared" si="0"/>
        <v>1378.3333333333333</v>
      </c>
      <c r="I15" s="22"/>
      <c r="J15" s="486">
        <v>6854</v>
      </c>
      <c r="K15" s="145">
        <v>6165</v>
      </c>
      <c r="L15" s="145">
        <v>6404</v>
      </c>
      <c r="M15" s="145"/>
      <c r="N15" s="145">
        <f t="shared" si="13"/>
        <v>6474.333333333333</v>
      </c>
      <c r="O15" s="22"/>
      <c r="P15" s="159">
        <v>321</v>
      </c>
      <c r="Q15" s="159">
        <v>861</v>
      </c>
      <c r="R15" s="22">
        <v>412</v>
      </c>
      <c r="S15" s="22">
        <v>731</v>
      </c>
      <c r="T15" s="159">
        <f t="shared" ref="T15:U15" si="17">AVERAGE(P15,R15)</f>
        <v>366.5</v>
      </c>
      <c r="U15" s="159">
        <f t="shared" si="17"/>
        <v>796</v>
      </c>
      <c r="V15" s="22"/>
      <c r="W15" s="22"/>
      <c r="X15" s="22"/>
      <c r="Y15" s="22"/>
      <c r="Z15" s="22"/>
    </row>
    <row r="16" spans="1:26" ht="14.25" x14ac:dyDescent="0.45">
      <c r="A16" s="157" t="s">
        <v>99</v>
      </c>
      <c r="B16" s="157"/>
      <c r="C16" s="486">
        <v>7430</v>
      </c>
      <c r="D16" s="145">
        <v>7410</v>
      </c>
      <c r="E16" s="145">
        <v>7415</v>
      </c>
      <c r="F16" s="145">
        <v>7400</v>
      </c>
      <c r="G16" s="145">
        <v>7360</v>
      </c>
      <c r="H16" s="145">
        <f t="shared" si="0"/>
        <v>7391.666666666667</v>
      </c>
      <c r="I16" s="22"/>
      <c r="J16" s="486">
        <v>17427</v>
      </c>
      <c r="K16" s="145">
        <v>18352</v>
      </c>
      <c r="L16" s="145">
        <v>27011</v>
      </c>
      <c r="M16" s="145"/>
      <c r="N16" s="145">
        <f t="shared" si="13"/>
        <v>20930</v>
      </c>
      <c r="O16" s="22"/>
      <c r="P16" s="145">
        <v>1554</v>
      </c>
      <c r="Q16" s="145">
        <v>1114</v>
      </c>
      <c r="R16" s="22">
        <v>1611</v>
      </c>
      <c r="S16" s="22">
        <v>985</v>
      </c>
      <c r="T16" s="159">
        <f t="shared" ref="T16:U16" si="18">AVERAGE(P16,R16)</f>
        <v>1582.5</v>
      </c>
      <c r="U16" s="159">
        <f t="shared" si="18"/>
        <v>1049.5</v>
      </c>
      <c r="V16" s="22"/>
      <c r="W16" s="22"/>
      <c r="X16" s="22"/>
      <c r="Y16" s="22"/>
      <c r="Z16" s="22"/>
    </row>
    <row r="17" spans="1:26" ht="14.25" x14ac:dyDescent="0.45">
      <c r="A17" s="190" t="s">
        <v>102</v>
      </c>
      <c r="B17" s="190"/>
      <c r="C17" s="488"/>
      <c r="D17" s="488"/>
      <c r="E17" s="488"/>
      <c r="F17" s="489">
        <f>Summary!K28</f>
        <v>24.333333333333332</v>
      </c>
      <c r="G17" s="489">
        <f>$F$17</f>
        <v>24.333333333333332</v>
      </c>
      <c r="H17" s="145">
        <f t="shared" si="0"/>
        <v>24.333333333333332</v>
      </c>
      <c r="I17" s="22"/>
      <c r="J17" s="486"/>
      <c r="K17" s="145"/>
      <c r="L17" s="145"/>
      <c r="M17" s="145"/>
      <c r="N17" s="145"/>
      <c r="O17" s="22"/>
      <c r="P17" s="65"/>
      <c r="Q17" s="65"/>
      <c r="R17" s="22">
        <v>215</v>
      </c>
      <c r="S17" s="22">
        <v>49</v>
      </c>
      <c r="T17" s="159">
        <f t="shared" ref="T17:U17" si="19">AVERAGE(P17,R17)</f>
        <v>215</v>
      </c>
      <c r="U17" s="159">
        <f t="shared" si="19"/>
        <v>49</v>
      </c>
      <c r="V17" s="22"/>
      <c r="W17" s="22"/>
      <c r="X17" s="22"/>
      <c r="Y17" s="22"/>
      <c r="Z17" s="22"/>
    </row>
    <row r="18" spans="1:26" ht="14.25" x14ac:dyDescent="0.45">
      <c r="A18" s="494" t="s">
        <v>104</v>
      </c>
      <c r="B18" s="157"/>
      <c r="C18" s="486">
        <v>7295</v>
      </c>
      <c r="D18" s="145">
        <v>7320</v>
      </c>
      <c r="E18" s="145">
        <v>7360</v>
      </c>
      <c r="F18" s="145">
        <v>7380</v>
      </c>
      <c r="G18" s="145">
        <v>7360</v>
      </c>
      <c r="H18" s="145">
        <f t="shared" si="0"/>
        <v>7366.666666666667</v>
      </c>
      <c r="I18" s="22"/>
      <c r="J18" s="486">
        <v>48335</v>
      </c>
      <c r="K18" s="145">
        <v>45403</v>
      </c>
      <c r="L18" s="145">
        <v>42033</v>
      </c>
      <c r="M18" s="145"/>
      <c r="N18" s="145">
        <f t="shared" ref="N18:N19" si="20">AVERAGE(J18:L18)</f>
        <v>45257</v>
      </c>
      <c r="O18" s="22"/>
      <c r="P18" s="145">
        <v>2594</v>
      </c>
      <c r="Q18" s="145">
        <v>3005</v>
      </c>
      <c r="R18" s="22">
        <v>2304</v>
      </c>
      <c r="S18" s="22">
        <v>3214</v>
      </c>
      <c r="T18" s="159">
        <f t="shared" ref="T18:U18" si="21">AVERAGE(P18,R18)</f>
        <v>2449</v>
      </c>
      <c r="U18" s="159">
        <f t="shared" si="21"/>
        <v>3109.5</v>
      </c>
      <c r="V18" s="22"/>
      <c r="W18" s="22"/>
      <c r="X18" s="22"/>
      <c r="Y18" s="22"/>
      <c r="Z18" s="22"/>
    </row>
    <row r="19" spans="1:26" ht="14.25" x14ac:dyDescent="0.45">
      <c r="A19" s="157" t="s">
        <v>355</v>
      </c>
      <c r="B19" s="157"/>
      <c r="C19" s="486">
        <v>278</v>
      </c>
      <c r="D19" s="348">
        <v>259</v>
      </c>
      <c r="E19" s="145">
        <v>279</v>
      </c>
      <c r="F19" s="145">
        <v>279</v>
      </c>
      <c r="G19" s="145">
        <v>277</v>
      </c>
      <c r="H19" s="145">
        <f t="shared" si="0"/>
        <v>278.33333333333331</v>
      </c>
      <c r="I19" s="22"/>
      <c r="J19" s="486">
        <v>2278</v>
      </c>
      <c r="K19" s="145">
        <v>1872</v>
      </c>
      <c r="L19" s="145">
        <v>2061</v>
      </c>
      <c r="M19" s="145"/>
      <c r="N19" s="145">
        <f t="shared" si="20"/>
        <v>2070.3333333333335</v>
      </c>
      <c r="O19" s="22"/>
      <c r="P19" s="159">
        <v>280</v>
      </c>
      <c r="Q19" s="159">
        <v>543</v>
      </c>
      <c r="R19" s="22">
        <v>355</v>
      </c>
      <c r="S19" s="22">
        <v>400</v>
      </c>
      <c r="T19" s="159">
        <f t="shared" ref="T19:U19" si="22">AVERAGE(P19,R19)</f>
        <v>317.5</v>
      </c>
      <c r="U19" s="159">
        <f t="shared" si="22"/>
        <v>471.5</v>
      </c>
      <c r="V19" s="22"/>
      <c r="W19" s="22"/>
      <c r="X19" s="22"/>
      <c r="Y19" s="22"/>
      <c r="Z19" s="22"/>
    </row>
    <row r="20" spans="1:26" ht="14.25" x14ac:dyDescent="0.45">
      <c r="A20" s="487" t="s">
        <v>356</v>
      </c>
      <c r="B20" s="190"/>
      <c r="C20" s="488"/>
      <c r="D20" s="488"/>
      <c r="E20" s="488"/>
      <c r="F20" s="489">
        <f>Summary!K31</f>
        <v>2</v>
      </c>
      <c r="G20" s="489">
        <f>$F$20</f>
        <v>2</v>
      </c>
      <c r="H20" s="145">
        <f t="shared" si="0"/>
        <v>2</v>
      </c>
      <c r="I20" s="22"/>
      <c r="J20" s="486"/>
      <c r="K20" s="145"/>
      <c r="L20" s="145"/>
      <c r="M20" s="145"/>
      <c r="N20" s="145"/>
      <c r="O20" s="22"/>
      <c r="P20" s="65"/>
      <c r="Q20" s="65"/>
      <c r="R20" s="22">
        <v>104</v>
      </c>
      <c r="S20" s="22">
        <v>1</v>
      </c>
      <c r="T20" s="159">
        <f t="shared" ref="T20:U20" si="23">AVERAGE(P20,R20)</f>
        <v>104</v>
      </c>
      <c r="U20" s="159">
        <f t="shared" si="23"/>
        <v>1</v>
      </c>
      <c r="V20" s="22"/>
      <c r="W20" s="22"/>
      <c r="X20" s="22"/>
      <c r="Y20" s="22"/>
      <c r="Z20" s="22"/>
    </row>
    <row r="21" spans="1:26" ht="15.75" customHeight="1" x14ac:dyDescent="0.45">
      <c r="A21" s="157" t="s">
        <v>110</v>
      </c>
      <c r="B21" s="157"/>
      <c r="C21" s="486">
        <v>25003</v>
      </c>
      <c r="D21" s="348">
        <v>23534</v>
      </c>
      <c r="E21" s="145">
        <v>25752</v>
      </c>
      <c r="F21" s="145">
        <v>26016</v>
      </c>
      <c r="G21" s="145">
        <v>26140</v>
      </c>
      <c r="H21" s="145">
        <f t="shared" si="0"/>
        <v>25969.333333333332</v>
      </c>
      <c r="I21" s="22"/>
      <c r="J21" s="486">
        <v>75399</v>
      </c>
      <c r="K21" s="145">
        <v>66487</v>
      </c>
      <c r="L21" s="145">
        <v>81820</v>
      </c>
      <c r="M21" s="145"/>
      <c r="N21" s="145">
        <f>AVERAGE(J21:L21)</f>
        <v>74568.666666666672</v>
      </c>
      <c r="O21" s="22"/>
      <c r="P21" s="145">
        <v>2736</v>
      </c>
      <c r="Q21" s="145">
        <v>4848</v>
      </c>
      <c r="R21" s="22">
        <v>3186</v>
      </c>
      <c r="S21" s="22">
        <v>4699</v>
      </c>
      <c r="T21" s="159">
        <f t="shared" ref="T21:U21" si="24">AVERAGE(P21,R21)</f>
        <v>2961</v>
      </c>
      <c r="U21" s="159">
        <f t="shared" si="24"/>
        <v>4773.5</v>
      </c>
      <c r="V21" s="22"/>
      <c r="W21" s="22"/>
      <c r="X21" s="22"/>
      <c r="Y21" s="22"/>
      <c r="Z21" s="22"/>
    </row>
    <row r="22" spans="1:26" ht="15.75" customHeight="1" x14ac:dyDescent="0.45">
      <c r="A22" s="490" t="s">
        <v>112</v>
      </c>
      <c r="B22" s="491"/>
      <c r="C22" s="488"/>
      <c r="D22" s="488"/>
      <c r="E22" s="488"/>
      <c r="F22" s="489">
        <f>Summary!K33</f>
        <v>423.33333333333331</v>
      </c>
      <c r="G22" s="489">
        <f>$F$22</f>
        <v>423.33333333333331</v>
      </c>
      <c r="H22" s="145">
        <f t="shared" si="0"/>
        <v>423.33333333333331</v>
      </c>
      <c r="I22" s="22"/>
      <c r="J22" s="486"/>
      <c r="K22" s="145"/>
      <c r="L22" s="145"/>
      <c r="M22" s="145"/>
      <c r="N22" s="145"/>
      <c r="O22" s="22"/>
      <c r="P22" s="65"/>
      <c r="Q22" s="65"/>
      <c r="R22" s="22">
        <v>116</v>
      </c>
      <c r="S22" s="22">
        <v>111</v>
      </c>
      <c r="T22" s="159">
        <f t="shared" ref="T22:U22" si="25">AVERAGE(P22,R22)</f>
        <v>116</v>
      </c>
      <c r="U22" s="159">
        <f t="shared" si="25"/>
        <v>111</v>
      </c>
      <c r="V22" s="22"/>
      <c r="W22" s="22"/>
      <c r="X22" s="22"/>
      <c r="Y22" s="22"/>
      <c r="Z22" s="22"/>
    </row>
    <row r="23" spans="1:26" ht="15.75" customHeight="1" x14ac:dyDescent="0.45">
      <c r="A23" s="157" t="s">
        <v>357</v>
      </c>
      <c r="B23" s="157"/>
      <c r="C23" s="486">
        <v>24245</v>
      </c>
      <c r="D23" s="145">
        <v>24735</v>
      </c>
      <c r="E23" s="145">
        <v>25145</v>
      </c>
      <c r="F23" s="145">
        <v>25310</v>
      </c>
      <c r="G23" s="145">
        <v>25480</v>
      </c>
      <c r="H23" s="145">
        <f t="shared" si="0"/>
        <v>25311.666666666668</v>
      </c>
      <c r="I23" s="22"/>
      <c r="J23" s="486">
        <v>138307</v>
      </c>
      <c r="K23" s="145">
        <v>135436</v>
      </c>
      <c r="L23" s="145">
        <v>134270</v>
      </c>
      <c r="M23" s="145"/>
      <c r="N23" s="145">
        <f>AVERAGE(J23:L23)</f>
        <v>136004.33333333334</v>
      </c>
      <c r="O23" s="22"/>
      <c r="P23" s="65">
        <v>12944</v>
      </c>
      <c r="Q23" s="65">
        <v>12591</v>
      </c>
      <c r="R23" s="22">
        <v>9559</v>
      </c>
      <c r="S23" s="22">
        <v>10381</v>
      </c>
      <c r="T23" s="159">
        <f t="shared" ref="T23:U23" si="26">AVERAGE(P23,R23)</f>
        <v>11251.5</v>
      </c>
      <c r="U23" s="159">
        <f t="shared" si="26"/>
        <v>11486</v>
      </c>
      <c r="V23" s="22"/>
      <c r="W23" s="22"/>
      <c r="X23" s="22"/>
      <c r="Y23" s="22"/>
      <c r="Z23" s="22"/>
    </row>
    <row r="24" spans="1:26" ht="15.75" customHeight="1" x14ac:dyDescent="0.45">
      <c r="A24" s="487" t="s">
        <v>358</v>
      </c>
      <c r="B24" s="190"/>
      <c r="C24" s="488"/>
      <c r="D24" s="488"/>
      <c r="E24" s="488"/>
      <c r="F24" s="489">
        <f>Summary!K35</f>
        <v>2288.3333333333335</v>
      </c>
      <c r="G24" s="489">
        <f t="shared" ref="G24:G25" si="27">F24</f>
        <v>2288.3333333333335</v>
      </c>
      <c r="H24" s="145">
        <f t="shared" si="0"/>
        <v>2288.3333333333335</v>
      </c>
      <c r="I24" s="22"/>
      <c r="J24" s="486"/>
      <c r="K24" s="145"/>
      <c r="L24" s="145"/>
      <c r="M24" s="145"/>
      <c r="N24" s="145"/>
      <c r="O24" s="22"/>
      <c r="P24" s="65"/>
      <c r="Q24" s="65"/>
      <c r="R24" s="22">
        <v>337</v>
      </c>
      <c r="S24" s="22">
        <v>231</v>
      </c>
      <c r="T24" s="159">
        <f t="shared" ref="T24:U24" si="28">AVERAGE(P24,R24)</f>
        <v>337</v>
      </c>
      <c r="U24" s="159">
        <f t="shared" si="28"/>
        <v>231</v>
      </c>
      <c r="V24" s="22"/>
      <c r="W24" s="22"/>
      <c r="X24" s="22"/>
      <c r="Y24" s="22"/>
      <c r="Z24" s="22"/>
    </row>
    <row r="25" spans="1:26" ht="15.75" customHeight="1" x14ac:dyDescent="0.45">
      <c r="A25" s="487" t="s">
        <v>359</v>
      </c>
      <c r="B25" s="190"/>
      <c r="C25" s="488"/>
      <c r="D25" s="488"/>
      <c r="E25" s="488"/>
      <c r="F25" s="489">
        <f>Summary!K36</f>
        <v>128.33333333333334</v>
      </c>
      <c r="G25" s="489">
        <f t="shared" si="27"/>
        <v>128.33333333333334</v>
      </c>
      <c r="H25" s="145">
        <f t="shared" si="0"/>
        <v>128.33333333333334</v>
      </c>
      <c r="I25" s="22"/>
      <c r="J25" s="486"/>
      <c r="K25" s="145"/>
      <c r="L25" s="145"/>
      <c r="M25" s="145"/>
      <c r="N25" s="145"/>
      <c r="O25" s="22"/>
      <c r="P25" s="65"/>
      <c r="Q25" s="65"/>
      <c r="R25" s="22">
        <v>0</v>
      </c>
      <c r="S25" s="22">
        <v>6</v>
      </c>
      <c r="T25" s="159">
        <f t="shared" ref="T25:U25" si="29">AVERAGE(P25,R25)</f>
        <v>0</v>
      </c>
      <c r="U25" s="159">
        <f t="shared" si="29"/>
        <v>6</v>
      </c>
      <c r="V25" s="22"/>
      <c r="W25" s="22"/>
      <c r="X25" s="22"/>
      <c r="Y25" s="22"/>
      <c r="Z25" s="22"/>
    </row>
    <row r="26" spans="1:26" ht="15.75" customHeight="1" x14ac:dyDescent="0.45">
      <c r="A26" s="157" t="s">
        <v>121</v>
      </c>
      <c r="B26" s="157"/>
      <c r="C26" s="486">
        <v>936</v>
      </c>
      <c r="D26" s="348">
        <v>936</v>
      </c>
      <c r="E26" s="145">
        <v>886</v>
      </c>
      <c r="F26" s="145">
        <v>815</v>
      </c>
      <c r="G26" s="145">
        <v>879</v>
      </c>
      <c r="H26" s="145">
        <f t="shared" si="0"/>
        <v>860</v>
      </c>
      <c r="I26" s="22"/>
      <c r="J26" s="486">
        <v>2348</v>
      </c>
      <c r="K26" s="145">
        <v>2549</v>
      </c>
      <c r="L26" s="145">
        <v>2533</v>
      </c>
      <c r="M26" s="145"/>
      <c r="N26" s="145">
        <f>AVERAGE(J26:L26)</f>
        <v>2476.6666666666665</v>
      </c>
      <c r="O26" s="22"/>
      <c r="P26" s="159">
        <v>349</v>
      </c>
      <c r="Q26" s="159">
        <v>484</v>
      </c>
      <c r="R26" s="22">
        <v>314</v>
      </c>
      <c r="S26" s="22">
        <v>442</v>
      </c>
      <c r="T26" s="159">
        <f t="shared" ref="T26:U26" si="30">AVERAGE(P26,R26)</f>
        <v>331.5</v>
      </c>
      <c r="U26" s="159">
        <f t="shared" si="30"/>
        <v>463</v>
      </c>
      <c r="V26" s="22"/>
      <c r="W26" s="22"/>
      <c r="X26" s="22"/>
      <c r="Y26" s="22"/>
      <c r="Z26" s="22"/>
    </row>
    <row r="27" spans="1:26" ht="15.75" customHeight="1" x14ac:dyDescent="0.45">
      <c r="A27" s="487" t="s">
        <v>123</v>
      </c>
      <c r="B27" s="190"/>
      <c r="C27" s="488"/>
      <c r="D27" s="488"/>
      <c r="E27" s="488"/>
      <c r="F27" s="489">
        <f>Summary!K38</f>
        <v>2</v>
      </c>
      <c r="G27" s="489">
        <f>$F$27</f>
        <v>2</v>
      </c>
      <c r="H27" s="145">
        <f t="shared" si="0"/>
        <v>2</v>
      </c>
      <c r="I27" s="22"/>
      <c r="J27" s="486"/>
      <c r="K27" s="145"/>
      <c r="L27" s="145"/>
      <c r="M27" s="145"/>
      <c r="N27" s="145"/>
      <c r="O27" s="22"/>
      <c r="P27" s="65"/>
      <c r="Q27" s="65"/>
      <c r="R27" s="22">
        <v>1</v>
      </c>
      <c r="S27" s="22">
        <v>65</v>
      </c>
      <c r="T27" s="159">
        <f t="shared" ref="T27:U27" si="31">AVERAGE(P27,R27)</f>
        <v>1</v>
      </c>
      <c r="U27" s="159">
        <f t="shared" si="31"/>
        <v>65</v>
      </c>
      <c r="V27" s="22"/>
      <c r="W27" s="22"/>
      <c r="X27" s="22"/>
      <c r="Y27" s="22"/>
      <c r="Z27" s="22"/>
    </row>
    <row r="28" spans="1:26" ht="15.75" customHeight="1" x14ac:dyDescent="0.45">
      <c r="A28" s="157" t="s">
        <v>360</v>
      </c>
      <c r="B28" s="157"/>
      <c r="C28" s="486">
        <v>1095</v>
      </c>
      <c r="D28" s="348">
        <v>1120</v>
      </c>
      <c r="E28" s="145">
        <v>1120</v>
      </c>
      <c r="F28" s="145">
        <v>1120</v>
      </c>
      <c r="G28" s="145">
        <v>1120</v>
      </c>
      <c r="H28" s="145">
        <f t="shared" si="0"/>
        <v>1120</v>
      </c>
      <c r="I28" s="22"/>
      <c r="J28" s="486">
        <v>17014</v>
      </c>
      <c r="K28" s="145">
        <v>21007</v>
      </c>
      <c r="L28" s="145">
        <v>19703</v>
      </c>
      <c r="M28" s="145"/>
      <c r="N28" s="145">
        <f>AVERAGE(J28:L28)</f>
        <v>19241.333333333332</v>
      </c>
      <c r="O28" s="22"/>
      <c r="P28" s="145">
        <v>1090</v>
      </c>
      <c r="Q28" s="145">
        <v>1943</v>
      </c>
      <c r="R28" s="22">
        <v>828</v>
      </c>
      <c r="S28" s="22">
        <v>1042</v>
      </c>
      <c r="T28" s="159">
        <f t="shared" ref="T28:U28" si="32">AVERAGE(P28,R28)</f>
        <v>959</v>
      </c>
      <c r="U28" s="159">
        <f t="shared" si="32"/>
        <v>1492.5</v>
      </c>
      <c r="V28" s="22"/>
      <c r="W28" s="22"/>
      <c r="X28" s="22"/>
      <c r="Y28" s="22"/>
      <c r="Z28" s="22"/>
    </row>
    <row r="29" spans="1:26" ht="15.75" customHeight="1" x14ac:dyDescent="0.45">
      <c r="A29" s="487" t="s">
        <v>127</v>
      </c>
      <c r="B29" s="190"/>
      <c r="C29" s="488"/>
      <c r="D29" s="488"/>
      <c r="E29" s="488"/>
      <c r="F29" s="489">
        <f>Summary!K40</f>
        <v>1</v>
      </c>
      <c r="G29" s="489">
        <f t="shared" ref="G29:G30" si="33">F29</f>
        <v>1</v>
      </c>
      <c r="H29" s="145">
        <f t="shared" si="0"/>
        <v>1</v>
      </c>
      <c r="I29" s="22"/>
      <c r="J29" s="486"/>
      <c r="K29" s="145"/>
      <c r="L29" s="145"/>
      <c r="M29" s="145"/>
      <c r="N29" s="145"/>
      <c r="O29" s="22"/>
      <c r="P29" s="65"/>
      <c r="Q29" s="65"/>
      <c r="R29" s="22">
        <v>0</v>
      </c>
      <c r="S29" s="22">
        <v>0</v>
      </c>
      <c r="T29" s="159">
        <f t="shared" ref="T29:U29" si="34">AVERAGE(P29,R29)</f>
        <v>0</v>
      </c>
      <c r="U29" s="159">
        <f t="shared" si="34"/>
        <v>0</v>
      </c>
      <c r="V29" s="22"/>
      <c r="W29" s="22"/>
      <c r="X29" s="22"/>
      <c r="Y29" s="22"/>
      <c r="Z29" s="22"/>
    </row>
    <row r="30" spans="1:26" ht="15.75" customHeight="1" x14ac:dyDescent="0.45">
      <c r="A30" s="490" t="s">
        <v>361</v>
      </c>
      <c r="B30" s="491"/>
      <c r="C30" s="488"/>
      <c r="D30" s="488"/>
      <c r="E30" s="488"/>
      <c r="F30" s="489">
        <f>Summary!K41</f>
        <v>1470</v>
      </c>
      <c r="G30" s="489">
        <f t="shared" si="33"/>
        <v>1470</v>
      </c>
      <c r="H30" s="145">
        <f t="shared" si="0"/>
        <v>1470</v>
      </c>
      <c r="I30" s="22"/>
      <c r="J30" s="486"/>
      <c r="K30" s="145"/>
      <c r="L30" s="145"/>
      <c r="M30" s="145"/>
      <c r="N30" s="145"/>
      <c r="O30" s="22"/>
      <c r="P30" s="65"/>
      <c r="Q30" s="65"/>
      <c r="R30" s="22">
        <v>415</v>
      </c>
      <c r="S30" s="22">
        <v>61</v>
      </c>
      <c r="T30" s="159">
        <f t="shared" ref="T30:U30" si="35">AVERAGE(P30,R30)</f>
        <v>415</v>
      </c>
      <c r="U30" s="159">
        <f t="shared" si="35"/>
        <v>61</v>
      </c>
      <c r="V30" s="22"/>
      <c r="W30" s="22"/>
      <c r="X30" s="22"/>
      <c r="Y30" s="22"/>
      <c r="Z30" s="22"/>
    </row>
    <row r="31" spans="1:26" ht="15.75" customHeight="1" x14ac:dyDescent="0.45">
      <c r="A31" s="157" t="s">
        <v>362</v>
      </c>
      <c r="B31" s="157"/>
      <c r="C31" s="486">
        <v>20042</v>
      </c>
      <c r="D31" s="145">
        <v>20145</v>
      </c>
      <c r="E31" s="145">
        <v>20262</v>
      </c>
      <c r="F31" s="145">
        <v>20291</v>
      </c>
      <c r="G31" s="145">
        <v>22022</v>
      </c>
      <c r="H31" s="145">
        <f t="shared" si="0"/>
        <v>20858.333333333332</v>
      </c>
      <c r="I31" s="22"/>
      <c r="J31" s="486">
        <v>145706</v>
      </c>
      <c r="K31" s="145">
        <v>129927</v>
      </c>
      <c r="L31" s="145">
        <v>130536</v>
      </c>
      <c r="M31" s="145"/>
      <c r="N31" s="145">
        <f t="shared" ref="N31:N36" si="36">AVERAGE(J31:L31)</f>
        <v>135389.66666666666</v>
      </c>
      <c r="O31" s="22"/>
      <c r="P31" s="145">
        <v>4047</v>
      </c>
      <c r="Q31" s="145">
        <v>8041</v>
      </c>
      <c r="R31" s="22">
        <v>3729</v>
      </c>
      <c r="S31" s="22">
        <v>7574</v>
      </c>
      <c r="T31" s="159">
        <f t="shared" ref="T31:U31" si="37">AVERAGE(P31,R31)</f>
        <v>3888</v>
      </c>
      <c r="U31" s="159">
        <f t="shared" si="37"/>
        <v>7807.5</v>
      </c>
      <c r="V31" s="22"/>
      <c r="W31" s="22"/>
      <c r="X31" s="22"/>
      <c r="Y31" s="22"/>
      <c r="Z31" s="22"/>
    </row>
    <row r="32" spans="1:26" ht="15.75" customHeight="1" x14ac:dyDescent="0.45">
      <c r="A32" s="157" t="s">
        <v>363</v>
      </c>
      <c r="B32" s="157"/>
      <c r="C32" s="486">
        <v>8010</v>
      </c>
      <c r="D32" s="145">
        <v>8015</v>
      </c>
      <c r="E32" s="145">
        <v>8120</v>
      </c>
      <c r="F32" s="145">
        <v>8115</v>
      </c>
      <c r="G32" s="145">
        <v>8080</v>
      </c>
      <c r="H32" s="145">
        <f t="shared" si="0"/>
        <v>8105</v>
      </c>
      <c r="I32" s="22"/>
      <c r="J32" s="486">
        <v>49015</v>
      </c>
      <c r="K32" s="145">
        <v>44705</v>
      </c>
      <c r="L32" s="145">
        <v>41956</v>
      </c>
      <c r="M32" s="145"/>
      <c r="N32" s="145">
        <f t="shared" si="36"/>
        <v>45225.333333333336</v>
      </c>
      <c r="O32" s="22"/>
      <c r="P32" s="145">
        <v>2157</v>
      </c>
      <c r="Q32" s="145">
        <v>3307</v>
      </c>
      <c r="R32" s="22">
        <v>2262</v>
      </c>
      <c r="S32" s="22">
        <v>3487</v>
      </c>
      <c r="T32" s="159">
        <f t="shared" ref="T32:U32" si="38">AVERAGE(P32,R32)</f>
        <v>2209.5</v>
      </c>
      <c r="U32" s="159">
        <f t="shared" si="38"/>
        <v>3397</v>
      </c>
      <c r="V32" s="22"/>
      <c r="W32" s="22"/>
      <c r="X32" s="22"/>
      <c r="Y32" s="22"/>
      <c r="Z32" s="22"/>
    </row>
    <row r="33" spans="1:26" ht="15.75" customHeight="1" x14ac:dyDescent="0.45">
      <c r="A33" s="157" t="s">
        <v>364</v>
      </c>
      <c r="B33" s="157"/>
      <c r="C33" s="486">
        <v>10091</v>
      </c>
      <c r="D33" s="145">
        <v>10091</v>
      </c>
      <c r="E33" s="145">
        <v>10123</v>
      </c>
      <c r="F33" s="145">
        <v>10156</v>
      </c>
      <c r="G33" s="145">
        <v>10142</v>
      </c>
      <c r="H33" s="145">
        <f t="shared" si="0"/>
        <v>10140.333333333334</v>
      </c>
      <c r="I33" s="22"/>
      <c r="J33" s="486">
        <v>46697</v>
      </c>
      <c r="K33" s="145">
        <v>46393</v>
      </c>
      <c r="L33" s="145">
        <v>47054</v>
      </c>
      <c r="M33" s="145"/>
      <c r="N33" s="145">
        <f t="shared" si="36"/>
        <v>46714.666666666664</v>
      </c>
      <c r="O33" s="22"/>
      <c r="P33" s="145">
        <v>2946</v>
      </c>
      <c r="Q33" s="145">
        <v>3407</v>
      </c>
      <c r="R33" s="22">
        <v>3094</v>
      </c>
      <c r="S33" s="22">
        <v>4063</v>
      </c>
      <c r="T33" s="159">
        <f t="shared" ref="T33:U33" si="39">AVERAGE(P33,R33)</f>
        <v>3020</v>
      </c>
      <c r="U33" s="159">
        <f t="shared" si="39"/>
        <v>3735</v>
      </c>
      <c r="V33" s="22"/>
      <c r="W33" s="22"/>
      <c r="X33" s="22"/>
      <c r="Y33" s="22"/>
      <c r="Z33" s="22"/>
    </row>
    <row r="34" spans="1:26" ht="15.75" customHeight="1" x14ac:dyDescent="0.45">
      <c r="A34" s="157" t="s">
        <v>365</v>
      </c>
      <c r="B34" s="157"/>
      <c r="C34" s="486">
        <v>677</v>
      </c>
      <c r="D34" s="145">
        <v>679</v>
      </c>
      <c r="E34" s="145">
        <v>683</v>
      </c>
      <c r="F34" s="145">
        <v>677</v>
      </c>
      <c r="G34" s="145">
        <v>737</v>
      </c>
      <c r="H34" s="145">
        <f t="shared" si="0"/>
        <v>699</v>
      </c>
      <c r="I34" s="22"/>
      <c r="J34" s="486">
        <v>1570</v>
      </c>
      <c r="K34" s="145">
        <v>2128</v>
      </c>
      <c r="L34" s="145">
        <v>1989</v>
      </c>
      <c r="M34" s="145"/>
      <c r="N34" s="145">
        <f t="shared" si="36"/>
        <v>1895.6666666666667</v>
      </c>
      <c r="O34" s="22"/>
      <c r="P34" s="159">
        <v>316</v>
      </c>
      <c r="Q34" s="159">
        <v>185</v>
      </c>
      <c r="R34" s="22">
        <v>302</v>
      </c>
      <c r="S34" s="22">
        <v>306</v>
      </c>
      <c r="T34" s="159">
        <f t="shared" ref="T34:U34" si="40">AVERAGE(P34,R34)</f>
        <v>309</v>
      </c>
      <c r="U34" s="159">
        <f t="shared" si="40"/>
        <v>245.5</v>
      </c>
      <c r="V34" s="22"/>
      <c r="W34" s="22"/>
      <c r="X34" s="22"/>
      <c r="Y34" s="22"/>
      <c r="Z34" s="22"/>
    </row>
    <row r="35" spans="1:26" ht="15.75" customHeight="1" x14ac:dyDescent="0.45">
      <c r="A35" s="157" t="s">
        <v>140</v>
      </c>
      <c r="B35" s="157"/>
      <c r="C35" s="486">
        <v>3285</v>
      </c>
      <c r="D35" s="145">
        <v>3285</v>
      </c>
      <c r="E35" s="145">
        <v>3285</v>
      </c>
      <c r="F35" s="145">
        <v>3310</v>
      </c>
      <c r="G35" s="145">
        <v>3320</v>
      </c>
      <c r="H35" s="145">
        <f t="shared" si="0"/>
        <v>3305</v>
      </c>
      <c r="I35" s="22"/>
      <c r="J35" s="486">
        <v>19226</v>
      </c>
      <c r="K35" s="145">
        <v>16129</v>
      </c>
      <c r="L35" s="145">
        <v>15145</v>
      </c>
      <c r="M35" s="145"/>
      <c r="N35" s="145">
        <f t="shared" si="36"/>
        <v>16833.333333333332</v>
      </c>
      <c r="O35" s="22"/>
      <c r="P35" s="159">
        <v>946</v>
      </c>
      <c r="Q35" s="145">
        <v>1372</v>
      </c>
      <c r="R35" s="22">
        <v>959</v>
      </c>
      <c r="S35" s="22">
        <v>1193</v>
      </c>
      <c r="T35" s="159">
        <f t="shared" ref="T35:U35" si="41">AVERAGE(P35,R35)</f>
        <v>952.5</v>
      </c>
      <c r="U35" s="159">
        <f t="shared" si="41"/>
        <v>1282.5</v>
      </c>
      <c r="V35" s="22"/>
      <c r="W35" s="22"/>
      <c r="X35" s="22"/>
      <c r="Y35" s="22"/>
      <c r="Z35" s="22"/>
    </row>
    <row r="36" spans="1:26" ht="15.75" customHeight="1" x14ac:dyDescent="0.45">
      <c r="A36" s="157" t="s">
        <v>142</v>
      </c>
      <c r="B36" s="157"/>
      <c r="C36" s="486">
        <v>26320</v>
      </c>
      <c r="D36" s="145">
        <v>26535</v>
      </c>
      <c r="E36" s="145">
        <v>26645</v>
      </c>
      <c r="F36" s="145">
        <v>26665</v>
      </c>
      <c r="G36" s="145">
        <v>26835</v>
      </c>
      <c r="H36" s="145">
        <f t="shared" si="0"/>
        <v>26715</v>
      </c>
      <c r="I36" s="22"/>
      <c r="J36" s="486">
        <v>74651</v>
      </c>
      <c r="K36" s="145">
        <v>77664</v>
      </c>
      <c r="L36" s="145">
        <v>82254</v>
      </c>
      <c r="M36" s="145"/>
      <c r="N36" s="145">
        <f t="shared" si="36"/>
        <v>78189.666666666672</v>
      </c>
      <c r="O36" s="22"/>
      <c r="P36" s="65">
        <v>4327</v>
      </c>
      <c r="Q36" s="65">
        <v>3295</v>
      </c>
      <c r="R36" s="22">
        <v>5049</v>
      </c>
      <c r="S36" s="22">
        <v>2986</v>
      </c>
      <c r="T36" s="159">
        <f t="shared" ref="T36:U36" si="42">AVERAGE(P36,R36)</f>
        <v>4688</v>
      </c>
      <c r="U36" s="159">
        <f t="shared" si="42"/>
        <v>3140.5</v>
      </c>
      <c r="V36" s="22"/>
      <c r="W36" s="22"/>
      <c r="X36" s="22"/>
      <c r="Y36" s="22"/>
      <c r="Z36" s="22"/>
    </row>
    <row r="37" spans="1:26" ht="15.75" customHeight="1" x14ac:dyDescent="0.45">
      <c r="A37" s="487" t="s">
        <v>366</v>
      </c>
      <c r="B37" s="190"/>
      <c r="C37" s="488"/>
      <c r="D37" s="488"/>
      <c r="E37" s="488"/>
      <c r="F37" s="489">
        <f>Summary!K48</f>
        <v>914.33333333333337</v>
      </c>
      <c r="G37" s="489">
        <f t="shared" ref="G37:G38" si="43">F37</f>
        <v>914.33333333333337</v>
      </c>
      <c r="H37" s="145">
        <f t="shared" si="0"/>
        <v>914.33333333333337</v>
      </c>
      <c r="I37" s="22"/>
      <c r="J37" s="486"/>
      <c r="K37" s="145"/>
      <c r="L37" s="145"/>
      <c r="M37" s="145"/>
      <c r="N37" s="145"/>
      <c r="O37" s="22"/>
      <c r="P37" s="65"/>
      <c r="Q37" s="65"/>
      <c r="R37" s="22">
        <v>160</v>
      </c>
      <c r="S37" s="22">
        <v>213</v>
      </c>
      <c r="T37" s="159">
        <f t="shared" ref="T37:U37" si="44">AVERAGE(P37,R37)</f>
        <v>160</v>
      </c>
      <c r="U37" s="159">
        <f t="shared" si="44"/>
        <v>213</v>
      </c>
      <c r="V37" s="22"/>
      <c r="W37" s="22"/>
      <c r="X37" s="22"/>
      <c r="Y37" s="22"/>
      <c r="Z37" s="22"/>
    </row>
    <row r="38" spans="1:26" ht="15.75" customHeight="1" x14ac:dyDescent="0.45">
      <c r="A38" s="487" t="s">
        <v>367</v>
      </c>
      <c r="B38" s="190"/>
      <c r="C38" s="488"/>
      <c r="D38" s="488"/>
      <c r="E38" s="488"/>
      <c r="F38" s="489">
        <f>Summary!K49</f>
        <v>369.33333333333331</v>
      </c>
      <c r="G38" s="489">
        <f t="shared" si="43"/>
        <v>369.33333333333331</v>
      </c>
      <c r="H38" s="145">
        <f t="shared" si="0"/>
        <v>369.33333333333331</v>
      </c>
      <c r="I38" s="22"/>
      <c r="J38" s="486"/>
      <c r="K38" s="145"/>
      <c r="L38" s="145"/>
      <c r="M38" s="145"/>
      <c r="N38" s="145"/>
      <c r="O38" s="22"/>
      <c r="P38" s="65"/>
      <c r="Q38" s="65"/>
      <c r="R38" s="22">
        <v>16</v>
      </c>
      <c r="S38" s="22">
        <v>4</v>
      </c>
      <c r="T38" s="159">
        <f t="shared" ref="T38:U38" si="45">AVERAGE(P38,R38)</f>
        <v>16</v>
      </c>
      <c r="U38" s="159">
        <f t="shared" si="45"/>
        <v>4</v>
      </c>
      <c r="V38" s="22"/>
      <c r="W38" s="22"/>
      <c r="X38" s="22"/>
      <c r="Y38" s="22"/>
      <c r="Z38" s="22"/>
    </row>
    <row r="39" spans="1:26" ht="15.75" customHeight="1" x14ac:dyDescent="0.45">
      <c r="A39" s="157" t="s">
        <v>148</v>
      </c>
      <c r="B39" s="157"/>
      <c r="C39" s="486">
        <v>9747</v>
      </c>
      <c r="D39" s="348">
        <v>9747</v>
      </c>
      <c r="E39" s="145">
        <v>9972</v>
      </c>
      <c r="F39" s="145">
        <v>10224</v>
      </c>
      <c r="G39" s="145">
        <v>10866</v>
      </c>
      <c r="H39" s="145">
        <f t="shared" si="0"/>
        <v>10354</v>
      </c>
      <c r="I39" s="22"/>
      <c r="J39" s="486">
        <v>29130</v>
      </c>
      <c r="K39" s="145">
        <v>27889</v>
      </c>
      <c r="L39" s="145">
        <v>27062</v>
      </c>
      <c r="M39" s="145"/>
      <c r="N39" s="145">
        <f t="shared" ref="N39:N42" si="46">AVERAGE(J39:L39)</f>
        <v>28027</v>
      </c>
      <c r="O39" s="22"/>
      <c r="P39" s="145">
        <v>4327</v>
      </c>
      <c r="Q39" s="145">
        <v>3295</v>
      </c>
      <c r="R39" s="22">
        <v>2379</v>
      </c>
      <c r="S39" s="22">
        <v>4003</v>
      </c>
      <c r="T39" s="159">
        <f t="shared" ref="T39:U39" si="47">AVERAGE(P39,R39)</f>
        <v>3353</v>
      </c>
      <c r="U39" s="159">
        <f t="shared" si="47"/>
        <v>3649</v>
      </c>
      <c r="V39" s="22"/>
      <c r="W39" s="22"/>
      <c r="X39" s="22"/>
      <c r="Y39" s="22"/>
      <c r="Z39" s="22"/>
    </row>
    <row r="40" spans="1:26" ht="15.75" customHeight="1" x14ac:dyDescent="0.45">
      <c r="A40" s="157" t="s">
        <v>368</v>
      </c>
      <c r="B40" s="157"/>
      <c r="C40" s="486">
        <v>24040</v>
      </c>
      <c r="D40" s="348">
        <v>24040</v>
      </c>
      <c r="E40" s="145">
        <v>24184</v>
      </c>
      <c r="F40" s="145">
        <v>24029</v>
      </c>
      <c r="G40" s="145">
        <v>24160</v>
      </c>
      <c r="H40" s="145">
        <f t="shared" si="0"/>
        <v>24124.333333333332</v>
      </c>
      <c r="I40" s="22"/>
      <c r="J40" s="486">
        <v>112263</v>
      </c>
      <c r="K40" s="145">
        <v>100957</v>
      </c>
      <c r="L40" s="145">
        <v>92173</v>
      </c>
      <c r="M40" s="145"/>
      <c r="N40" s="145">
        <f t="shared" si="46"/>
        <v>101797.66666666667</v>
      </c>
      <c r="O40" s="22"/>
      <c r="P40" s="65">
        <v>4324</v>
      </c>
      <c r="Q40" s="65">
        <v>6866</v>
      </c>
      <c r="R40" s="22">
        <v>4256</v>
      </c>
      <c r="S40" s="22">
        <v>7774</v>
      </c>
      <c r="T40" s="159">
        <f t="shared" ref="T40:U40" si="48">AVERAGE(P40,R40)</f>
        <v>4290</v>
      </c>
      <c r="U40" s="159">
        <f t="shared" si="48"/>
        <v>7320</v>
      </c>
      <c r="V40" s="22"/>
      <c r="W40" s="22"/>
      <c r="X40" s="22"/>
      <c r="Y40" s="22"/>
      <c r="Z40" s="22"/>
    </row>
    <row r="41" spans="1:26" ht="15.75" customHeight="1" x14ac:dyDescent="0.45">
      <c r="A41" s="157" t="s">
        <v>369</v>
      </c>
      <c r="B41" s="157"/>
      <c r="C41" s="486">
        <v>2148</v>
      </c>
      <c r="D41" s="348">
        <v>2109</v>
      </c>
      <c r="E41" s="145">
        <v>2155</v>
      </c>
      <c r="F41" s="145">
        <v>2151</v>
      </c>
      <c r="G41" s="145">
        <v>2136</v>
      </c>
      <c r="H41" s="145">
        <f t="shared" si="0"/>
        <v>2147.3333333333335</v>
      </c>
      <c r="I41" s="22"/>
      <c r="J41" s="486">
        <v>4697</v>
      </c>
      <c r="K41" s="145">
        <v>3254</v>
      </c>
      <c r="L41" s="145">
        <v>4221</v>
      </c>
      <c r="M41" s="145"/>
      <c r="N41" s="145">
        <f t="shared" si="46"/>
        <v>4057.3333333333335</v>
      </c>
      <c r="O41" s="22"/>
      <c r="P41" s="145">
        <v>1222</v>
      </c>
      <c r="Q41" s="159">
        <v>533</v>
      </c>
      <c r="R41" s="22">
        <v>1203</v>
      </c>
      <c r="S41" s="22">
        <v>699</v>
      </c>
      <c r="T41" s="159">
        <f t="shared" ref="T41:U41" si="49">AVERAGE(P41,R41)</f>
        <v>1212.5</v>
      </c>
      <c r="U41" s="159">
        <f t="shared" si="49"/>
        <v>616</v>
      </c>
      <c r="V41" s="22"/>
      <c r="W41" s="22"/>
      <c r="X41" s="22"/>
      <c r="Y41" s="22"/>
      <c r="Z41" s="22"/>
    </row>
    <row r="42" spans="1:26" ht="15.75" customHeight="1" x14ac:dyDescent="0.45">
      <c r="A42" s="157" t="s">
        <v>370</v>
      </c>
      <c r="B42" s="157"/>
      <c r="C42" s="486">
        <v>1790</v>
      </c>
      <c r="D42" s="145">
        <v>1795</v>
      </c>
      <c r="E42" s="145">
        <v>1800</v>
      </c>
      <c r="F42" s="145">
        <v>1785</v>
      </c>
      <c r="G42" s="145">
        <v>1770</v>
      </c>
      <c r="H42" s="145">
        <f t="shared" si="0"/>
        <v>1785</v>
      </c>
      <c r="I42" s="22"/>
      <c r="J42" s="486">
        <v>8789</v>
      </c>
      <c r="K42" s="145">
        <v>12278</v>
      </c>
      <c r="L42" s="145">
        <v>12801</v>
      </c>
      <c r="M42" s="145"/>
      <c r="N42" s="145">
        <f t="shared" si="46"/>
        <v>11289.333333333334</v>
      </c>
      <c r="O42" s="22"/>
      <c r="P42" s="145">
        <v>1088</v>
      </c>
      <c r="Q42" s="159">
        <v>585</v>
      </c>
      <c r="R42" s="22">
        <v>1086</v>
      </c>
      <c r="S42" s="22">
        <v>546</v>
      </c>
      <c r="T42" s="159">
        <f t="shared" ref="T42:U42" si="50">AVERAGE(P42,R42)</f>
        <v>1087</v>
      </c>
      <c r="U42" s="159">
        <f t="shared" si="50"/>
        <v>565.5</v>
      </c>
      <c r="V42" s="22"/>
      <c r="W42" s="22"/>
      <c r="X42" s="22"/>
      <c r="Y42" s="22"/>
      <c r="Z42" s="22"/>
    </row>
    <row r="43" spans="1:26" ht="15.75" customHeight="1" x14ac:dyDescent="0.45">
      <c r="A43" s="490" t="s">
        <v>371</v>
      </c>
      <c r="B43" s="491"/>
      <c r="C43" s="488"/>
      <c r="D43" s="488"/>
      <c r="E43" s="488"/>
      <c r="F43" s="489">
        <f>Summary!K54</f>
        <v>490</v>
      </c>
      <c r="G43" s="489">
        <f>$F$43</f>
        <v>490</v>
      </c>
      <c r="H43" s="145">
        <f t="shared" si="0"/>
        <v>490</v>
      </c>
      <c r="I43" s="22"/>
      <c r="J43" s="486"/>
      <c r="K43" s="145"/>
      <c r="L43" s="145"/>
      <c r="M43" s="145"/>
      <c r="N43" s="145"/>
      <c r="O43" s="22"/>
      <c r="P43" s="65"/>
      <c r="Q43" s="65"/>
      <c r="R43" s="22">
        <v>67</v>
      </c>
      <c r="S43" s="22">
        <v>574</v>
      </c>
      <c r="T43" s="159">
        <f t="shared" ref="T43:U43" si="51">AVERAGE(P43,R43)</f>
        <v>67</v>
      </c>
      <c r="U43" s="159">
        <f t="shared" si="51"/>
        <v>574</v>
      </c>
      <c r="V43" s="22"/>
      <c r="W43" s="22"/>
      <c r="X43" s="22"/>
      <c r="Y43" s="22"/>
      <c r="Z43" s="22"/>
    </row>
    <row r="44" spans="1:26" ht="15.75" customHeight="1" x14ac:dyDescent="0.45">
      <c r="A44" s="157" t="s">
        <v>372</v>
      </c>
      <c r="B44" s="157"/>
      <c r="C44" s="486">
        <v>3033</v>
      </c>
      <c r="D44" s="348">
        <v>3033</v>
      </c>
      <c r="E44" s="145">
        <v>3071</v>
      </c>
      <c r="F44" s="145">
        <v>3123</v>
      </c>
      <c r="G44" s="145">
        <v>3187</v>
      </c>
      <c r="H44" s="145">
        <f t="shared" si="0"/>
        <v>3127</v>
      </c>
      <c r="I44" s="22"/>
      <c r="J44" s="486">
        <v>11725</v>
      </c>
      <c r="K44" s="145">
        <v>11624</v>
      </c>
      <c r="L44" s="145">
        <v>8744</v>
      </c>
      <c r="M44" s="145"/>
      <c r="N44" s="145">
        <f>AVERAGE(J44:L44)</f>
        <v>10697.666666666666</v>
      </c>
      <c r="O44" s="22"/>
      <c r="P44" s="145">
        <v>1886</v>
      </c>
      <c r="Q44" s="159">
        <v>728</v>
      </c>
      <c r="R44" s="22">
        <v>1160</v>
      </c>
      <c r="S44" s="22">
        <v>981</v>
      </c>
      <c r="T44" s="159">
        <f t="shared" ref="T44:U44" si="52">AVERAGE(P44,R44)</f>
        <v>1523</v>
      </c>
      <c r="U44" s="159">
        <f t="shared" si="52"/>
        <v>854.5</v>
      </c>
      <c r="V44" s="22"/>
      <c r="W44" s="22"/>
      <c r="X44" s="22"/>
      <c r="Y44" s="22"/>
      <c r="Z44" s="22"/>
    </row>
    <row r="45" spans="1:26" ht="15.75" customHeight="1" x14ac:dyDescent="0.45">
      <c r="A45" s="487" t="s">
        <v>159</v>
      </c>
      <c r="B45" s="190"/>
      <c r="C45" s="488"/>
      <c r="D45" s="488"/>
      <c r="E45" s="488"/>
      <c r="F45" s="489">
        <f>Summary!K56</f>
        <v>2</v>
      </c>
      <c r="G45" s="489">
        <f t="shared" ref="G45:G46" si="53">F45</f>
        <v>2</v>
      </c>
      <c r="H45" s="145">
        <f t="shared" si="0"/>
        <v>2</v>
      </c>
      <c r="I45" s="22"/>
      <c r="J45" s="486"/>
      <c r="K45" s="145"/>
      <c r="L45" s="145"/>
      <c r="M45" s="145"/>
      <c r="N45" s="145"/>
      <c r="O45" s="22"/>
      <c r="P45" s="65"/>
      <c r="Q45" s="65"/>
      <c r="R45" s="22">
        <v>9</v>
      </c>
      <c r="S45" s="22">
        <v>37</v>
      </c>
      <c r="T45" s="159">
        <f t="shared" ref="T45:U45" si="54">AVERAGE(P45,R45)</f>
        <v>9</v>
      </c>
      <c r="U45" s="159">
        <f t="shared" si="54"/>
        <v>37</v>
      </c>
      <c r="V45" s="22"/>
      <c r="W45" s="22"/>
      <c r="X45" s="22"/>
      <c r="Y45" s="22"/>
      <c r="Z45" s="22"/>
    </row>
    <row r="46" spans="1:26" ht="15.75" customHeight="1" x14ac:dyDescent="0.45">
      <c r="A46" s="487" t="s">
        <v>373</v>
      </c>
      <c r="B46" s="190"/>
      <c r="C46" s="488"/>
      <c r="D46" s="488"/>
      <c r="E46" s="488"/>
      <c r="F46" s="489">
        <f>Summary!K57</f>
        <v>1</v>
      </c>
      <c r="G46" s="489">
        <f t="shared" si="53"/>
        <v>1</v>
      </c>
      <c r="H46" s="145">
        <f t="shared" si="0"/>
        <v>1</v>
      </c>
      <c r="I46" s="22"/>
      <c r="J46" s="486"/>
      <c r="K46" s="145"/>
      <c r="L46" s="145"/>
      <c r="M46" s="145"/>
      <c r="N46" s="145"/>
      <c r="O46" s="22"/>
      <c r="P46" s="65"/>
      <c r="Q46" s="65"/>
      <c r="R46" s="22">
        <v>0</v>
      </c>
      <c r="S46" s="22">
        <v>0</v>
      </c>
      <c r="T46" s="159">
        <f t="shared" ref="T46:U46" si="55">AVERAGE(P46,R46)</f>
        <v>0</v>
      </c>
      <c r="U46" s="159">
        <f t="shared" si="55"/>
        <v>0</v>
      </c>
      <c r="V46" s="22"/>
      <c r="W46" s="22"/>
      <c r="X46" s="22"/>
      <c r="Y46" s="22"/>
      <c r="Z46" s="22"/>
    </row>
    <row r="47" spans="1:26" ht="15.75" customHeight="1" x14ac:dyDescent="0.45">
      <c r="A47" s="157" t="s">
        <v>374</v>
      </c>
      <c r="B47" s="157"/>
      <c r="C47" s="486">
        <f>2055+2689+14515</f>
        <v>19259</v>
      </c>
      <c r="D47" s="145">
        <f>2005+420+23840</f>
        <v>26265</v>
      </c>
      <c r="E47" s="145">
        <f>2030+23455</f>
        <v>25485</v>
      </c>
      <c r="F47" s="145">
        <f>14735+6599+2600+2031</f>
        <v>25965</v>
      </c>
      <c r="G47" s="145">
        <f>22835+2182+1753</f>
        <v>26770</v>
      </c>
      <c r="H47" s="145">
        <f t="shared" si="0"/>
        <v>26073.333333333332</v>
      </c>
      <c r="I47" s="22"/>
      <c r="J47" s="486">
        <v>199435</v>
      </c>
      <c r="K47" s="145">
        <v>197620</v>
      </c>
      <c r="L47" s="145">
        <v>219628</v>
      </c>
      <c r="M47" s="145"/>
      <c r="N47" s="145">
        <f>AVERAGE(J47:L47)</f>
        <v>205561</v>
      </c>
      <c r="O47" s="22"/>
      <c r="P47" s="145">
        <v>12799</v>
      </c>
      <c r="Q47" s="145">
        <v>7997</v>
      </c>
      <c r="R47" s="22">
        <v>14547</v>
      </c>
      <c r="S47" s="22">
        <v>8716</v>
      </c>
      <c r="T47" s="159">
        <f t="shared" ref="T47:U47" si="56">AVERAGE(P47,R47)</f>
        <v>13673</v>
      </c>
      <c r="U47" s="159">
        <f t="shared" si="56"/>
        <v>8356.5</v>
      </c>
      <c r="V47" s="22"/>
      <c r="W47" s="22"/>
      <c r="X47" s="22"/>
      <c r="Y47" s="22"/>
      <c r="Z47" s="22"/>
    </row>
    <row r="48" spans="1:26" ht="15.75" customHeight="1" x14ac:dyDescent="0.45">
      <c r="A48" s="487" t="s">
        <v>375</v>
      </c>
      <c r="B48" s="190"/>
      <c r="C48" s="488"/>
      <c r="D48" s="488"/>
      <c r="E48" s="488"/>
      <c r="F48" s="489">
        <f>Summary!K59</f>
        <v>2487</v>
      </c>
      <c r="G48" s="489">
        <f>$F$48</f>
        <v>2487</v>
      </c>
      <c r="H48" s="145">
        <f t="shared" si="0"/>
        <v>2487</v>
      </c>
      <c r="I48" s="22"/>
      <c r="J48" s="486"/>
      <c r="K48" s="145"/>
      <c r="L48" s="145"/>
      <c r="M48" s="145"/>
      <c r="N48" s="145"/>
      <c r="O48" s="22"/>
      <c r="P48" s="65"/>
      <c r="Q48" s="65"/>
      <c r="R48" s="22">
        <v>1443</v>
      </c>
      <c r="S48" s="22">
        <v>436</v>
      </c>
      <c r="T48" s="159">
        <f t="shared" ref="T48:U48" si="57">AVERAGE(P48,R48)</f>
        <v>1443</v>
      </c>
      <c r="U48" s="159">
        <f t="shared" si="57"/>
        <v>436</v>
      </c>
      <c r="V48" s="22"/>
      <c r="W48" s="22"/>
      <c r="X48" s="22"/>
      <c r="Y48" s="22"/>
      <c r="Z48" s="22"/>
    </row>
    <row r="49" spans="1:26" ht="15.75" customHeight="1" x14ac:dyDescent="0.45">
      <c r="A49" s="157" t="s">
        <v>376</v>
      </c>
      <c r="B49" s="157"/>
      <c r="C49" s="486">
        <v>349</v>
      </c>
      <c r="D49" s="348">
        <v>349</v>
      </c>
      <c r="E49" s="145">
        <v>351</v>
      </c>
      <c r="F49" s="145">
        <v>343</v>
      </c>
      <c r="G49" s="145">
        <v>334</v>
      </c>
      <c r="H49" s="145">
        <f t="shared" si="0"/>
        <v>342.66666666666669</v>
      </c>
      <c r="I49" s="22"/>
      <c r="J49" s="486">
        <v>4797</v>
      </c>
      <c r="K49" s="145">
        <v>2522</v>
      </c>
      <c r="L49" s="145">
        <v>3548</v>
      </c>
      <c r="M49" s="145"/>
      <c r="N49" s="145">
        <f t="shared" ref="N49:N52" si="58">AVERAGE(J49:L49)</f>
        <v>3622.3333333333335</v>
      </c>
      <c r="O49" s="22"/>
      <c r="P49" s="159">
        <v>388</v>
      </c>
      <c r="Q49" s="159">
        <v>215</v>
      </c>
      <c r="R49" s="22">
        <v>516</v>
      </c>
      <c r="S49" s="22">
        <v>509</v>
      </c>
      <c r="T49" s="159">
        <f t="shared" ref="T49:U49" si="59">AVERAGE(P49,R49)</f>
        <v>452</v>
      </c>
      <c r="U49" s="159">
        <f t="shared" si="59"/>
        <v>362</v>
      </c>
      <c r="V49" s="22"/>
      <c r="W49" s="22"/>
      <c r="X49" s="22"/>
      <c r="Y49" s="22"/>
      <c r="Z49" s="22"/>
    </row>
    <row r="50" spans="1:26" ht="15.75" customHeight="1" x14ac:dyDescent="0.45">
      <c r="A50" s="157" t="s">
        <v>377</v>
      </c>
      <c r="B50" s="157"/>
      <c r="C50" s="486">
        <v>10075</v>
      </c>
      <c r="D50" s="145">
        <v>10075</v>
      </c>
      <c r="E50" s="145">
        <v>10374</v>
      </c>
      <c r="F50" s="145">
        <v>10464</v>
      </c>
      <c r="G50" s="145">
        <v>10604</v>
      </c>
      <c r="H50" s="145">
        <f t="shared" si="0"/>
        <v>10480.666666666666</v>
      </c>
      <c r="I50" s="22"/>
      <c r="J50" s="486">
        <v>35994</v>
      </c>
      <c r="K50" s="145">
        <v>16576</v>
      </c>
      <c r="L50" s="145">
        <v>15658</v>
      </c>
      <c r="M50" s="145"/>
      <c r="N50" s="145">
        <f t="shared" si="58"/>
        <v>22742.666666666668</v>
      </c>
      <c r="O50" s="22"/>
      <c r="P50" s="145">
        <v>2500</v>
      </c>
      <c r="Q50" s="145">
        <v>1074</v>
      </c>
      <c r="R50" s="22">
        <v>2578</v>
      </c>
      <c r="S50" s="22">
        <v>1002</v>
      </c>
      <c r="T50" s="159">
        <f t="shared" ref="T50:U50" si="60">AVERAGE(P50,R50)</f>
        <v>2539</v>
      </c>
      <c r="U50" s="159">
        <f t="shared" si="60"/>
        <v>1038</v>
      </c>
      <c r="V50" s="22"/>
      <c r="W50" s="22"/>
      <c r="X50" s="22"/>
      <c r="Y50" s="22"/>
      <c r="Z50" s="22"/>
    </row>
    <row r="51" spans="1:26" ht="15.75" customHeight="1" x14ac:dyDescent="0.45">
      <c r="A51" s="157" t="s">
        <v>378</v>
      </c>
      <c r="B51" s="157"/>
      <c r="C51" s="486">
        <v>3273</v>
      </c>
      <c r="D51" s="149">
        <v>3281</v>
      </c>
      <c r="E51" s="145">
        <v>3300</v>
      </c>
      <c r="F51" s="145">
        <v>3286</v>
      </c>
      <c r="G51" s="145">
        <v>3596</v>
      </c>
      <c r="H51" s="145">
        <f t="shared" si="0"/>
        <v>3394</v>
      </c>
      <c r="I51" s="22"/>
      <c r="J51" s="486">
        <v>17155</v>
      </c>
      <c r="K51" s="145">
        <v>29963</v>
      </c>
      <c r="L51" s="145">
        <v>13082</v>
      </c>
      <c r="M51" s="145"/>
      <c r="N51" s="145">
        <f t="shared" si="58"/>
        <v>20066.666666666668</v>
      </c>
      <c r="O51" s="22"/>
      <c r="P51" s="145">
        <v>1851</v>
      </c>
      <c r="Q51" s="159">
        <v>740</v>
      </c>
      <c r="R51" s="22">
        <v>1623</v>
      </c>
      <c r="S51" s="22">
        <v>1288</v>
      </c>
      <c r="T51" s="159">
        <f t="shared" ref="T51:U51" si="61">AVERAGE(P51,R51)</f>
        <v>1737</v>
      </c>
      <c r="U51" s="159">
        <f t="shared" si="61"/>
        <v>1014</v>
      </c>
      <c r="V51" s="22"/>
      <c r="W51" s="22"/>
      <c r="X51" s="22"/>
      <c r="Y51" s="22"/>
      <c r="Z51" s="22"/>
    </row>
    <row r="52" spans="1:26" ht="15.75" customHeight="1" x14ac:dyDescent="0.45">
      <c r="A52" s="157" t="s">
        <v>379</v>
      </c>
      <c r="B52" s="157"/>
      <c r="C52" s="486">
        <v>1875</v>
      </c>
      <c r="D52" s="145">
        <v>1885</v>
      </c>
      <c r="E52" s="145">
        <v>1915</v>
      </c>
      <c r="F52" s="145">
        <v>1950</v>
      </c>
      <c r="G52" s="145">
        <v>1875</v>
      </c>
      <c r="H52" s="145">
        <f t="shared" si="0"/>
        <v>1913.3333333333333</v>
      </c>
      <c r="I52" s="22"/>
      <c r="J52" s="486">
        <v>7890</v>
      </c>
      <c r="K52" s="145">
        <v>16812</v>
      </c>
      <c r="L52" s="145">
        <v>8085</v>
      </c>
      <c r="M52" s="145"/>
      <c r="N52" s="145">
        <f t="shared" si="58"/>
        <v>10929</v>
      </c>
      <c r="O52" s="22"/>
      <c r="P52" s="159">
        <v>0</v>
      </c>
      <c r="Q52" s="145">
        <v>2032</v>
      </c>
      <c r="R52" s="22">
        <v>397</v>
      </c>
      <c r="S52" s="22">
        <v>652</v>
      </c>
      <c r="T52" s="159">
        <f t="shared" ref="T52:U52" si="62">AVERAGE(P52,R52)</f>
        <v>198.5</v>
      </c>
      <c r="U52" s="159">
        <f t="shared" si="62"/>
        <v>1342</v>
      </c>
      <c r="V52" s="22"/>
      <c r="W52" s="22"/>
      <c r="X52" s="22"/>
      <c r="Y52" s="22"/>
      <c r="Z52" s="22"/>
    </row>
    <row r="53" spans="1:26" ht="15.75" customHeight="1" x14ac:dyDescent="0.45">
      <c r="A53" s="487" t="s">
        <v>380</v>
      </c>
      <c r="B53" s="190"/>
      <c r="C53" s="488"/>
      <c r="D53" s="488"/>
      <c r="E53" s="488"/>
      <c r="F53" s="489">
        <f>Summary!K64</f>
        <v>450</v>
      </c>
      <c r="G53" s="489">
        <f>$F$53</f>
        <v>450</v>
      </c>
      <c r="H53" s="145">
        <f t="shared" si="0"/>
        <v>450</v>
      </c>
      <c r="I53" s="22"/>
      <c r="J53" s="486"/>
      <c r="K53" s="145"/>
      <c r="L53" s="145"/>
      <c r="M53" s="145"/>
      <c r="N53" s="145"/>
      <c r="O53" s="22"/>
      <c r="P53" s="65"/>
      <c r="Q53" s="65"/>
      <c r="R53" s="22">
        <v>22</v>
      </c>
      <c r="S53" s="22">
        <v>7</v>
      </c>
      <c r="T53" s="159">
        <f t="shared" ref="T53:U53" si="63">AVERAGE(P53,R53)</f>
        <v>22</v>
      </c>
      <c r="U53" s="159">
        <f t="shared" si="63"/>
        <v>7</v>
      </c>
      <c r="V53" s="22"/>
      <c r="W53" s="22"/>
      <c r="X53" s="22"/>
      <c r="Y53" s="22"/>
      <c r="Z53" s="22"/>
    </row>
    <row r="54" spans="1:26" ht="15.75" customHeight="1" x14ac:dyDescent="0.45">
      <c r="A54" s="157" t="s">
        <v>177</v>
      </c>
      <c r="B54" s="157"/>
      <c r="C54" s="486">
        <v>810</v>
      </c>
      <c r="D54" s="348">
        <v>810</v>
      </c>
      <c r="E54" s="145">
        <v>805</v>
      </c>
      <c r="F54" s="145">
        <v>805</v>
      </c>
      <c r="G54" s="145">
        <v>840</v>
      </c>
      <c r="H54" s="145">
        <f t="shared" si="0"/>
        <v>816.66666666666663</v>
      </c>
      <c r="I54" s="22"/>
      <c r="J54" s="486">
        <v>7587</v>
      </c>
      <c r="K54" s="145">
        <v>9593</v>
      </c>
      <c r="L54" s="145">
        <v>6560</v>
      </c>
      <c r="M54" s="145"/>
      <c r="N54" s="145">
        <f t="shared" ref="N54:N55" si="64">AVERAGE(J54:L54)</f>
        <v>7913.333333333333</v>
      </c>
      <c r="O54" s="22"/>
      <c r="P54" s="159">
        <v>557</v>
      </c>
      <c r="Q54" s="159">
        <v>323</v>
      </c>
      <c r="R54" s="22">
        <v>498</v>
      </c>
      <c r="S54" s="22">
        <v>639</v>
      </c>
      <c r="T54" s="159">
        <f t="shared" ref="T54:U54" si="65">AVERAGE(P54,R54)</f>
        <v>527.5</v>
      </c>
      <c r="U54" s="159">
        <f t="shared" si="65"/>
        <v>481</v>
      </c>
      <c r="V54" s="22"/>
      <c r="W54" s="22"/>
      <c r="X54" s="22"/>
      <c r="Y54" s="22"/>
      <c r="Z54" s="22"/>
    </row>
    <row r="55" spans="1:26" ht="15.75" customHeight="1" x14ac:dyDescent="0.45">
      <c r="A55" s="157" t="s">
        <v>381</v>
      </c>
      <c r="B55" s="157"/>
      <c r="C55" s="486">
        <v>978</v>
      </c>
      <c r="D55" s="348">
        <v>939</v>
      </c>
      <c r="E55" s="145">
        <v>981</v>
      </c>
      <c r="F55" s="145">
        <v>979</v>
      </c>
      <c r="G55" s="145">
        <v>979</v>
      </c>
      <c r="H55" s="145">
        <f t="shared" si="0"/>
        <v>979.66666666666663</v>
      </c>
      <c r="I55" s="22"/>
      <c r="J55" s="486">
        <v>4475</v>
      </c>
      <c r="K55" s="145">
        <v>4034</v>
      </c>
      <c r="L55" s="145">
        <v>3901</v>
      </c>
      <c r="M55" s="145"/>
      <c r="N55" s="145">
        <f t="shared" si="64"/>
        <v>4136.666666666667</v>
      </c>
      <c r="O55" s="22"/>
      <c r="P55" s="159">
        <v>543</v>
      </c>
      <c r="Q55" s="159">
        <v>311</v>
      </c>
      <c r="R55" s="22">
        <v>563</v>
      </c>
      <c r="S55" s="22">
        <v>317</v>
      </c>
      <c r="T55" s="159">
        <f t="shared" ref="T55:U55" si="66">AVERAGE(P55,R55)</f>
        <v>553</v>
      </c>
      <c r="U55" s="159">
        <f t="shared" si="66"/>
        <v>314</v>
      </c>
      <c r="V55" s="22"/>
      <c r="W55" s="22"/>
      <c r="X55" s="22"/>
      <c r="Y55" s="22"/>
      <c r="Z55" s="22"/>
    </row>
    <row r="56" spans="1:26" ht="15.75" customHeight="1" x14ac:dyDescent="0.45">
      <c r="A56" s="157"/>
      <c r="B56" s="157"/>
      <c r="C56" s="74">
        <f t="shared" ref="C56:H56" si="67">SUM(C2:C55)</f>
        <v>239297</v>
      </c>
      <c r="D56" s="74">
        <f t="shared" si="67"/>
        <v>245057</v>
      </c>
      <c r="E56" s="74">
        <f t="shared" si="67"/>
        <v>248556</v>
      </c>
      <c r="F56" s="74">
        <f t="shared" si="67"/>
        <v>269224.66666666669</v>
      </c>
      <c r="G56" s="74">
        <f t="shared" si="67"/>
        <v>273729.66666666669</v>
      </c>
      <c r="H56" s="74">
        <f t="shared" si="67"/>
        <v>270344.33333333337</v>
      </c>
      <c r="I56" s="22"/>
      <c r="J56" s="486"/>
      <c r="K56" s="145"/>
      <c r="L56" s="145"/>
      <c r="M56" s="145"/>
      <c r="N56" s="145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 x14ac:dyDescent="0.45">
      <c r="A57" s="486" t="s">
        <v>382</v>
      </c>
      <c r="B57" s="157"/>
      <c r="C57" s="486"/>
      <c r="D57" s="145"/>
      <c r="E57" s="145">
        <f t="shared" ref="E57:H57" si="68">AVERAGE(C56:E56)</f>
        <v>244303.33333333334</v>
      </c>
      <c r="F57" s="145">
        <f t="shared" si="68"/>
        <v>254279.22222222225</v>
      </c>
      <c r="G57" s="145">
        <f t="shared" si="68"/>
        <v>263836.77777777781</v>
      </c>
      <c r="H57" s="145">
        <f t="shared" si="68"/>
        <v>271099.55555555556</v>
      </c>
      <c r="I57" s="22"/>
      <c r="J57" s="486"/>
      <c r="K57" s="145"/>
      <c r="L57" s="145"/>
      <c r="M57" s="145"/>
      <c r="N57" s="145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 x14ac:dyDescent="0.45">
      <c r="A58" s="157"/>
      <c r="B58" s="157"/>
      <c r="C58" s="486"/>
      <c r="D58" s="145"/>
      <c r="E58" s="145"/>
      <c r="F58" s="22"/>
      <c r="G58" s="22"/>
      <c r="H58" s="145"/>
      <c r="I58" s="22"/>
      <c r="J58" s="486"/>
      <c r="K58" s="145"/>
      <c r="L58" s="145"/>
      <c r="M58" s="145"/>
      <c r="N58" s="145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 x14ac:dyDescent="0.45">
      <c r="A59" s="157"/>
      <c r="B59" s="157"/>
      <c r="C59" s="486"/>
      <c r="D59" s="145"/>
      <c r="E59" s="145"/>
      <c r="F59" s="145"/>
      <c r="G59" s="145"/>
      <c r="H59" s="145"/>
      <c r="I59" s="22"/>
      <c r="J59" s="486"/>
      <c r="K59" s="145"/>
      <c r="L59" s="145"/>
      <c r="M59" s="145"/>
      <c r="N59" s="145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 x14ac:dyDescent="0.45">
      <c r="A60" s="157"/>
      <c r="B60" s="157"/>
      <c r="C60" s="486"/>
      <c r="D60" s="145"/>
      <c r="E60" s="145"/>
      <c r="F60" s="145"/>
      <c r="G60" s="145"/>
      <c r="H60" s="145"/>
      <c r="I60" s="22"/>
      <c r="J60" s="486"/>
      <c r="K60" s="145"/>
      <c r="L60" s="145"/>
      <c r="M60" s="145"/>
      <c r="N60" s="145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 x14ac:dyDescent="0.45">
      <c r="A61" s="157"/>
      <c r="B61" s="157"/>
      <c r="C61" s="486"/>
      <c r="D61" s="145"/>
      <c r="E61" s="145"/>
      <c r="F61" s="145"/>
      <c r="G61" s="145"/>
      <c r="H61" s="145"/>
      <c r="I61" s="22"/>
      <c r="J61" s="486"/>
      <c r="K61" s="145"/>
      <c r="L61" s="145"/>
      <c r="M61" s="145"/>
      <c r="N61" s="145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 x14ac:dyDescent="0.45">
      <c r="A62" s="157"/>
      <c r="B62" s="157"/>
      <c r="C62" s="486"/>
      <c r="D62" s="145"/>
      <c r="E62" s="145"/>
      <c r="F62" s="145"/>
      <c r="G62" s="145"/>
      <c r="H62" s="145"/>
      <c r="I62" s="22"/>
      <c r="J62" s="486"/>
      <c r="K62" s="145"/>
      <c r="L62" s="145"/>
      <c r="M62" s="145"/>
      <c r="N62" s="145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 x14ac:dyDescent="0.45">
      <c r="A63" s="157"/>
      <c r="B63" s="157"/>
      <c r="C63" s="486"/>
      <c r="D63" s="145"/>
      <c r="E63" s="145"/>
      <c r="F63" s="145"/>
      <c r="G63" s="145"/>
      <c r="H63" s="145"/>
      <c r="I63" s="22"/>
      <c r="J63" s="486"/>
      <c r="K63" s="145"/>
      <c r="L63" s="145"/>
      <c r="M63" s="145"/>
      <c r="N63" s="145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 x14ac:dyDescent="0.45">
      <c r="A64" s="157"/>
      <c r="B64" s="157"/>
      <c r="C64" s="486"/>
      <c r="D64" s="145"/>
      <c r="E64" s="145"/>
      <c r="F64" s="145"/>
      <c r="G64" s="145"/>
      <c r="H64" s="145"/>
      <c r="I64" s="22"/>
      <c r="J64" s="486"/>
      <c r="K64" s="145"/>
      <c r="L64" s="145"/>
      <c r="M64" s="145"/>
      <c r="N64" s="145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 x14ac:dyDescent="0.45">
      <c r="A65" s="157"/>
      <c r="B65" s="157"/>
      <c r="C65" s="486"/>
      <c r="D65" s="145"/>
      <c r="E65" s="145"/>
      <c r="F65" s="145"/>
      <c r="G65" s="145"/>
      <c r="H65" s="145"/>
      <c r="I65" s="22"/>
      <c r="J65" s="486"/>
      <c r="K65" s="145"/>
      <c r="L65" s="145"/>
      <c r="M65" s="145"/>
      <c r="N65" s="145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 x14ac:dyDescent="0.45">
      <c r="A66" s="157"/>
      <c r="B66" s="157"/>
      <c r="C66" s="486"/>
      <c r="D66" s="145"/>
      <c r="E66" s="145"/>
      <c r="F66" s="145"/>
      <c r="G66" s="145"/>
      <c r="H66" s="145"/>
      <c r="I66" s="22"/>
      <c r="J66" s="486"/>
      <c r="K66" s="145"/>
      <c r="L66" s="145"/>
      <c r="M66" s="145"/>
      <c r="N66" s="145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 x14ac:dyDescent="0.45">
      <c r="A67" s="157"/>
      <c r="B67" s="157"/>
      <c r="C67" s="486"/>
      <c r="D67" s="145"/>
      <c r="E67" s="145"/>
      <c r="F67" s="145"/>
      <c r="G67" s="145"/>
      <c r="H67" s="145"/>
      <c r="I67" s="22"/>
      <c r="J67" s="486"/>
      <c r="K67" s="145"/>
      <c r="L67" s="145"/>
      <c r="M67" s="145"/>
      <c r="N67" s="145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 x14ac:dyDescent="0.45">
      <c r="A68" s="157"/>
      <c r="B68" s="157"/>
      <c r="C68" s="486"/>
      <c r="D68" s="145"/>
      <c r="E68" s="145"/>
      <c r="F68" s="145"/>
      <c r="G68" s="145"/>
      <c r="H68" s="145"/>
      <c r="I68" s="22"/>
      <c r="J68" s="486"/>
      <c r="K68" s="145"/>
      <c r="L68" s="145"/>
      <c r="M68" s="145"/>
      <c r="N68" s="145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 x14ac:dyDescent="0.45">
      <c r="A69" s="157"/>
      <c r="B69" s="157"/>
      <c r="C69" s="486"/>
      <c r="D69" s="145"/>
      <c r="E69" s="145"/>
      <c r="F69" s="145"/>
      <c r="G69" s="145"/>
      <c r="H69" s="145"/>
      <c r="I69" s="22"/>
      <c r="J69" s="486"/>
      <c r="K69" s="145"/>
      <c r="L69" s="145"/>
      <c r="M69" s="145"/>
      <c r="N69" s="145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 x14ac:dyDescent="0.45">
      <c r="A70" s="157"/>
      <c r="B70" s="157"/>
      <c r="C70" s="486"/>
      <c r="D70" s="145"/>
      <c r="E70" s="145"/>
      <c r="F70" s="145"/>
      <c r="G70" s="145"/>
      <c r="H70" s="145"/>
      <c r="I70" s="22"/>
      <c r="J70" s="486"/>
      <c r="K70" s="145"/>
      <c r="L70" s="145"/>
      <c r="M70" s="145"/>
      <c r="N70" s="145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 x14ac:dyDescent="0.45">
      <c r="A71" s="157"/>
      <c r="B71" s="157"/>
      <c r="C71" s="149">
        <f t="shared" ref="C71:E71" si="69">SUM(C2:C55)</f>
        <v>239297</v>
      </c>
      <c r="D71" s="149">
        <f t="shared" si="69"/>
        <v>245057</v>
      </c>
      <c r="E71" s="149">
        <f t="shared" si="69"/>
        <v>248556</v>
      </c>
      <c r="F71" s="145"/>
      <c r="G71" s="145"/>
      <c r="H71" s="145"/>
      <c r="I71" s="22"/>
      <c r="J71" s="149">
        <f t="shared" ref="J71:L71" si="70">SUM(J2:J55)</f>
        <v>1306776</v>
      </c>
      <c r="K71" s="149">
        <f t="shared" si="70"/>
        <v>1242265</v>
      </c>
      <c r="L71" s="149">
        <f t="shared" si="70"/>
        <v>1234272</v>
      </c>
      <c r="M71" s="145"/>
      <c r="N71" s="145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 x14ac:dyDescent="0.45">
      <c r="A72" s="157"/>
      <c r="B72" s="157"/>
      <c r="C72" s="157"/>
      <c r="D72" s="22"/>
      <c r="E72" s="22"/>
      <c r="F72" s="22"/>
      <c r="G72" s="22"/>
      <c r="H72" s="22"/>
      <c r="I72" s="22"/>
      <c r="J72" s="157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 x14ac:dyDescent="0.45">
      <c r="A73" s="157"/>
      <c r="B73" s="157"/>
      <c r="C73" s="157"/>
      <c r="D73" s="22"/>
      <c r="E73" s="22"/>
      <c r="F73" s="22"/>
      <c r="G73" s="22"/>
      <c r="H73" s="22"/>
      <c r="I73" s="22"/>
      <c r="J73" s="157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 x14ac:dyDescent="0.45">
      <c r="A74" s="157"/>
      <c r="B74" s="157"/>
      <c r="C74" s="157"/>
      <c r="D74" s="22"/>
      <c r="E74" s="22"/>
      <c r="F74" s="22"/>
      <c r="G74" s="22"/>
      <c r="H74" s="22"/>
      <c r="I74" s="22"/>
      <c r="J74" s="157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 x14ac:dyDescent="0.45">
      <c r="A75" s="157"/>
      <c r="B75" s="157"/>
      <c r="C75" s="157"/>
      <c r="D75" s="22"/>
      <c r="E75" s="22"/>
      <c r="F75" s="22"/>
      <c r="G75" s="22"/>
      <c r="H75" s="22"/>
      <c r="I75" s="22"/>
      <c r="J75" s="157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 x14ac:dyDescent="0.45">
      <c r="A76" s="157"/>
      <c r="B76" s="157"/>
      <c r="C76" s="157"/>
      <c r="D76" s="22"/>
      <c r="E76" s="22"/>
      <c r="F76" s="22"/>
      <c r="G76" s="22"/>
      <c r="H76" s="22"/>
      <c r="I76" s="22"/>
      <c r="J76" s="157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 x14ac:dyDescent="0.45">
      <c r="A77" s="157"/>
      <c r="B77" s="157"/>
      <c r="C77" s="157"/>
      <c r="D77" s="22"/>
      <c r="E77" s="22"/>
      <c r="F77" s="22"/>
      <c r="G77" s="22"/>
      <c r="H77" s="22"/>
      <c r="I77" s="22"/>
      <c r="J77" s="157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 x14ac:dyDescent="0.45">
      <c r="A78" s="157"/>
      <c r="B78" s="157"/>
      <c r="C78" s="157"/>
      <c r="D78" s="22"/>
      <c r="E78" s="22"/>
      <c r="F78" s="22"/>
      <c r="G78" s="22"/>
      <c r="H78" s="22"/>
      <c r="I78" s="22"/>
      <c r="J78" s="157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 x14ac:dyDescent="0.45">
      <c r="A79" s="157"/>
      <c r="B79" s="157"/>
      <c r="C79" s="157"/>
      <c r="D79" s="22"/>
      <c r="E79" s="22"/>
      <c r="F79" s="22"/>
      <c r="G79" s="22"/>
      <c r="H79" s="22"/>
      <c r="I79" s="22"/>
      <c r="J79" s="157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 x14ac:dyDescent="0.45">
      <c r="A80" s="157"/>
      <c r="B80" s="157"/>
      <c r="C80" s="157"/>
      <c r="D80" s="22"/>
      <c r="E80" s="22"/>
      <c r="F80" s="22"/>
      <c r="G80" s="22"/>
      <c r="H80" s="22"/>
      <c r="I80" s="22"/>
      <c r="J80" s="157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 x14ac:dyDescent="0.45">
      <c r="A81" s="157"/>
      <c r="B81" s="157"/>
      <c r="C81" s="157"/>
      <c r="D81" s="22"/>
      <c r="E81" s="22"/>
      <c r="F81" s="22"/>
      <c r="G81" s="22"/>
      <c r="H81" s="22"/>
      <c r="I81" s="22"/>
      <c r="J81" s="157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 x14ac:dyDescent="0.45">
      <c r="A82" s="157"/>
      <c r="B82" s="157"/>
      <c r="C82" s="157"/>
      <c r="D82" s="22"/>
      <c r="E82" s="22"/>
      <c r="F82" s="22"/>
      <c r="G82" s="22"/>
      <c r="H82" s="22"/>
      <c r="I82" s="22"/>
      <c r="J82" s="157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 x14ac:dyDescent="0.45">
      <c r="A83" s="157"/>
      <c r="B83" s="157"/>
      <c r="C83" s="157"/>
      <c r="D83" s="22"/>
      <c r="E83" s="22"/>
      <c r="F83" s="22"/>
      <c r="G83" s="22"/>
      <c r="H83" s="22"/>
      <c r="I83" s="22"/>
      <c r="J83" s="157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 x14ac:dyDescent="0.45">
      <c r="A84" s="157"/>
      <c r="B84" s="157"/>
      <c r="C84" s="157"/>
      <c r="D84" s="22"/>
      <c r="E84" s="22"/>
      <c r="F84" s="22"/>
      <c r="G84" s="22"/>
      <c r="H84" s="22"/>
      <c r="I84" s="22"/>
      <c r="J84" s="157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 x14ac:dyDescent="0.45">
      <c r="A85" s="157"/>
      <c r="B85" s="157"/>
      <c r="C85" s="157"/>
      <c r="D85" s="22"/>
      <c r="E85" s="22"/>
      <c r="F85" s="22"/>
      <c r="G85" s="22"/>
      <c r="H85" s="22"/>
      <c r="I85" s="22"/>
      <c r="J85" s="157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 x14ac:dyDescent="0.45">
      <c r="A86" s="157"/>
      <c r="B86" s="157"/>
      <c r="C86" s="157"/>
      <c r="D86" s="22"/>
      <c r="E86" s="22"/>
      <c r="F86" s="22"/>
      <c r="G86" s="22"/>
      <c r="H86" s="22"/>
      <c r="I86" s="22"/>
      <c r="J86" s="157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 x14ac:dyDescent="0.45">
      <c r="A87" s="157"/>
      <c r="B87" s="157"/>
      <c r="C87" s="157"/>
      <c r="D87" s="22"/>
      <c r="E87" s="22"/>
      <c r="F87" s="22"/>
      <c r="G87" s="22"/>
      <c r="H87" s="22"/>
      <c r="I87" s="22"/>
      <c r="J87" s="157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 x14ac:dyDescent="0.45">
      <c r="A88" s="157"/>
      <c r="B88" s="157"/>
      <c r="C88" s="157"/>
      <c r="D88" s="22"/>
      <c r="E88" s="22"/>
      <c r="F88" s="22"/>
      <c r="G88" s="22"/>
      <c r="H88" s="22"/>
      <c r="I88" s="22"/>
      <c r="J88" s="157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 x14ac:dyDescent="0.45">
      <c r="A89" s="157"/>
      <c r="B89" s="157"/>
      <c r="C89" s="157"/>
      <c r="D89" s="22"/>
      <c r="E89" s="22"/>
      <c r="F89" s="22"/>
      <c r="G89" s="22"/>
      <c r="H89" s="22"/>
      <c r="I89" s="22"/>
      <c r="J89" s="157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 x14ac:dyDescent="0.45">
      <c r="A90" s="157"/>
      <c r="B90" s="157"/>
      <c r="C90" s="157"/>
      <c r="D90" s="22"/>
      <c r="E90" s="22"/>
      <c r="F90" s="22"/>
      <c r="G90" s="22"/>
      <c r="H90" s="22"/>
      <c r="I90" s="22"/>
      <c r="J90" s="157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 x14ac:dyDescent="0.45">
      <c r="A91" s="157"/>
      <c r="B91" s="157"/>
      <c r="C91" s="157"/>
      <c r="D91" s="22"/>
      <c r="E91" s="22"/>
      <c r="F91" s="22"/>
      <c r="G91" s="22"/>
      <c r="H91" s="22"/>
      <c r="I91" s="22"/>
      <c r="J91" s="157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 x14ac:dyDescent="0.45">
      <c r="A92" s="157"/>
      <c r="B92" s="157"/>
      <c r="C92" s="157"/>
      <c r="D92" s="22"/>
      <c r="E92" s="22"/>
      <c r="F92" s="22"/>
      <c r="G92" s="22"/>
      <c r="H92" s="22"/>
      <c r="I92" s="22"/>
      <c r="J92" s="157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 x14ac:dyDescent="0.45">
      <c r="A93" s="157"/>
      <c r="B93" s="157"/>
      <c r="C93" s="157"/>
      <c r="D93" s="22"/>
      <c r="E93" s="22"/>
      <c r="F93" s="22"/>
      <c r="G93" s="22"/>
      <c r="H93" s="22"/>
      <c r="I93" s="22"/>
      <c r="J93" s="157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 x14ac:dyDescent="0.45">
      <c r="A94" s="157"/>
      <c r="B94" s="157"/>
      <c r="C94" s="157"/>
      <c r="D94" s="22"/>
      <c r="E94" s="22"/>
      <c r="F94" s="22"/>
      <c r="G94" s="22"/>
      <c r="H94" s="22"/>
      <c r="I94" s="22"/>
      <c r="J94" s="157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 x14ac:dyDescent="0.45">
      <c r="A95" s="157"/>
      <c r="B95" s="157"/>
      <c r="C95" s="157"/>
      <c r="D95" s="22"/>
      <c r="E95" s="22"/>
      <c r="F95" s="22"/>
      <c r="G95" s="22"/>
      <c r="H95" s="22"/>
      <c r="I95" s="22"/>
      <c r="J95" s="157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 x14ac:dyDescent="0.45">
      <c r="A96" s="157"/>
      <c r="B96" s="157"/>
      <c r="C96" s="157"/>
      <c r="D96" s="22"/>
      <c r="E96" s="22"/>
      <c r="F96" s="22"/>
      <c r="G96" s="22"/>
      <c r="H96" s="22"/>
      <c r="I96" s="22"/>
      <c r="J96" s="157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 x14ac:dyDescent="0.45">
      <c r="A97" s="157"/>
      <c r="B97" s="157"/>
      <c r="C97" s="157"/>
      <c r="D97" s="22"/>
      <c r="E97" s="22"/>
      <c r="F97" s="22"/>
      <c r="G97" s="22"/>
      <c r="H97" s="22"/>
      <c r="I97" s="22"/>
      <c r="J97" s="157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 x14ac:dyDescent="0.45">
      <c r="A98" s="157"/>
      <c r="B98" s="157"/>
      <c r="C98" s="157"/>
      <c r="D98" s="22"/>
      <c r="E98" s="22"/>
      <c r="F98" s="22"/>
      <c r="G98" s="22"/>
      <c r="H98" s="22"/>
      <c r="I98" s="22"/>
      <c r="J98" s="157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 x14ac:dyDescent="0.45">
      <c r="A99" s="157"/>
      <c r="B99" s="157"/>
      <c r="C99" s="157"/>
      <c r="D99" s="22"/>
      <c r="E99" s="22"/>
      <c r="F99" s="22"/>
      <c r="G99" s="22"/>
      <c r="H99" s="22"/>
      <c r="I99" s="22"/>
      <c r="J99" s="157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 x14ac:dyDescent="0.45">
      <c r="A100" s="157"/>
      <c r="B100" s="157"/>
      <c r="C100" s="157"/>
      <c r="D100" s="22"/>
      <c r="E100" s="22"/>
      <c r="F100" s="22"/>
      <c r="G100" s="22"/>
      <c r="H100" s="22"/>
      <c r="I100" s="22"/>
      <c r="J100" s="157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 x14ac:dyDescent="0.45">
      <c r="A101" s="157"/>
      <c r="B101" s="157"/>
      <c r="C101" s="157"/>
      <c r="D101" s="22"/>
      <c r="E101" s="22"/>
      <c r="F101" s="22"/>
      <c r="G101" s="22"/>
      <c r="H101" s="22"/>
      <c r="I101" s="22"/>
      <c r="J101" s="157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 x14ac:dyDescent="0.45">
      <c r="A102" s="157"/>
      <c r="B102" s="157"/>
      <c r="C102" s="157"/>
      <c r="D102" s="22"/>
      <c r="E102" s="22"/>
      <c r="F102" s="22"/>
      <c r="G102" s="22"/>
      <c r="H102" s="22"/>
      <c r="I102" s="22"/>
      <c r="J102" s="157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 x14ac:dyDescent="0.45">
      <c r="A103" s="157"/>
      <c r="B103" s="157"/>
      <c r="C103" s="157"/>
      <c r="D103" s="22"/>
      <c r="E103" s="22"/>
      <c r="F103" s="22"/>
      <c r="G103" s="22"/>
      <c r="H103" s="22"/>
      <c r="I103" s="22"/>
      <c r="J103" s="157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 x14ac:dyDescent="0.45">
      <c r="A104" s="157"/>
      <c r="B104" s="157"/>
      <c r="C104" s="157"/>
      <c r="D104" s="22"/>
      <c r="E104" s="22"/>
      <c r="F104" s="22"/>
      <c r="G104" s="22"/>
      <c r="H104" s="22"/>
      <c r="I104" s="22"/>
      <c r="J104" s="157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 x14ac:dyDescent="0.45">
      <c r="A105" s="157"/>
      <c r="B105" s="157"/>
      <c r="C105" s="157"/>
      <c r="D105" s="22"/>
      <c r="E105" s="22"/>
      <c r="F105" s="22"/>
      <c r="G105" s="22"/>
      <c r="H105" s="22"/>
      <c r="I105" s="22"/>
      <c r="J105" s="157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 x14ac:dyDescent="0.45">
      <c r="A106" s="157"/>
      <c r="B106" s="157"/>
      <c r="C106" s="157"/>
      <c r="D106" s="22"/>
      <c r="E106" s="22"/>
      <c r="F106" s="22"/>
      <c r="G106" s="22"/>
      <c r="H106" s="22"/>
      <c r="I106" s="22"/>
      <c r="J106" s="157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 x14ac:dyDescent="0.45">
      <c r="A107" s="157"/>
      <c r="B107" s="157"/>
      <c r="C107" s="157"/>
      <c r="D107" s="22"/>
      <c r="E107" s="22"/>
      <c r="F107" s="22"/>
      <c r="G107" s="22"/>
      <c r="H107" s="22"/>
      <c r="I107" s="22"/>
      <c r="J107" s="157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 x14ac:dyDescent="0.45">
      <c r="A108" s="157"/>
      <c r="B108" s="157"/>
      <c r="C108" s="157"/>
      <c r="D108" s="22"/>
      <c r="E108" s="22"/>
      <c r="F108" s="22"/>
      <c r="G108" s="22"/>
      <c r="H108" s="22"/>
      <c r="I108" s="22"/>
      <c r="J108" s="157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 x14ac:dyDescent="0.45">
      <c r="A109" s="157"/>
      <c r="B109" s="157"/>
      <c r="C109" s="157"/>
      <c r="D109" s="22"/>
      <c r="E109" s="22"/>
      <c r="F109" s="22"/>
      <c r="G109" s="22"/>
      <c r="H109" s="22"/>
      <c r="I109" s="22"/>
      <c r="J109" s="157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 x14ac:dyDescent="0.45">
      <c r="A110" s="157"/>
      <c r="B110" s="157"/>
      <c r="C110" s="157"/>
      <c r="D110" s="22"/>
      <c r="E110" s="22"/>
      <c r="F110" s="22"/>
      <c r="G110" s="22"/>
      <c r="H110" s="22"/>
      <c r="I110" s="22"/>
      <c r="J110" s="157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 x14ac:dyDescent="0.45">
      <c r="A111" s="157"/>
      <c r="B111" s="157"/>
      <c r="C111" s="157"/>
      <c r="D111" s="22"/>
      <c r="E111" s="22"/>
      <c r="F111" s="22"/>
      <c r="G111" s="22"/>
      <c r="H111" s="22"/>
      <c r="I111" s="22"/>
      <c r="J111" s="157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 x14ac:dyDescent="0.45">
      <c r="A112" s="157"/>
      <c r="B112" s="157"/>
      <c r="C112" s="157"/>
      <c r="D112" s="22"/>
      <c r="E112" s="22"/>
      <c r="F112" s="22"/>
      <c r="G112" s="22"/>
      <c r="H112" s="22"/>
      <c r="I112" s="22"/>
      <c r="J112" s="157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 x14ac:dyDescent="0.45">
      <c r="A113" s="157"/>
      <c r="B113" s="157"/>
      <c r="C113" s="157"/>
      <c r="D113" s="22"/>
      <c r="E113" s="22"/>
      <c r="F113" s="22"/>
      <c r="G113" s="22"/>
      <c r="H113" s="22"/>
      <c r="I113" s="22"/>
      <c r="J113" s="157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 x14ac:dyDescent="0.45">
      <c r="A114" s="157"/>
      <c r="B114" s="157"/>
      <c r="C114" s="157"/>
      <c r="D114" s="22"/>
      <c r="E114" s="22"/>
      <c r="F114" s="22"/>
      <c r="G114" s="22"/>
      <c r="H114" s="22"/>
      <c r="I114" s="22"/>
      <c r="J114" s="157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 x14ac:dyDescent="0.45">
      <c r="A115" s="157"/>
      <c r="B115" s="157"/>
      <c r="C115" s="157"/>
      <c r="D115" s="22"/>
      <c r="E115" s="22"/>
      <c r="F115" s="22"/>
      <c r="G115" s="22"/>
      <c r="H115" s="22"/>
      <c r="I115" s="22"/>
      <c r="J115" s="157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 x14ac:dyDescent="0.45">
      <c r="A116" s="157"/>
      <c r="B116" s="157"/>
      <c r="C116" s="157"/>
      <c r="D116" s="22"/>
      <c r="E116" s="22"/>
      <c r="F116" s="22"/>
      <c r="G116" s="22"/>
      <c r="H116" s="22"/>
      <c r="I116" s="22"/>
      <c r="J116" s="157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 x14ac:dyDescent="0.45">
      <c r="A117" s="157"/>
      <c r="B117" s="157"/>
      <c r="C117" s="157"/>
      <c r="D117" s="22"/>
      <c r="E117" s="22"/>
      <c r="F117" s="22"/>
      <c r="G117" s="22"/>
      <c r="H117" s="22"/>
      <c r="I117" s="22"/>
      <c r="J117" s="157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 x14ac:dyDescent="0.45">
      <c r="A118" s="157"/>
      <c r="B118" s="157"/>
      <c r="C118" s="157"/>
      <c r="D118" s="22"/>
      <c r="E118" s="22"/>
      <c r="F118" s="22"/>
      <c r="G118" s="22"/>
      <c r="H118" s="22"/>
      <c r="I118" s="22"/>
      <c r="J118" s="157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 x14ac:dyDescent="0.45">
      <c r="A119" s="157"/>
      <c r="B119" s="157"/>
      <c r="C119" s="157"/>
      <c r="D119" s="22"/>
      <c r="E119" s="22"/>
      <c r="F119" s="22"/>
      <c r="G119" s="22"/>
      <c r="H119" s="22"/>
      <c r="I119" s="22"/>
      <c r="J119" s="157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 x14ac:dyDescent="0.45">
      <c r="A120" s="157"/>
      <c r="B120" s="157"/>
      <c r="C120" s="157"/>
      <c r="D120" s="22"/>
      <c r="E120" s="22"/>
      <c r="F120" s="22"/>
      <c r="G120" s="22"/>
      <c r="H120" s="22"/>
      <c r="I120" s="22"/>
      <c r="J120" s="157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 x14ac:dyDescent="0.45">
      <c r="A121" s="157"/>
      <c r="B121" s="157"/>
      <c r="C121" s="157"/>
      <c r="D121" s="22"/>
      <c r="E121" s="22"/>
      <c r="F121" s="22"/>
      <c r="G121" s="22"/>
      <c r="H121" s="22"/>
      <c r="I121" s="22"/>
      <c r="J121" s="157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 x14ac:dyDescent="0.45">
      <c r="A122" s="157"/>
      <c r="B122" s="157"/>
      <c r="C122" s="157"/>
      <c r="D122" s="22"/>
      <c r="E122" s="22"/>
      <c r="F122" s="22"/>
      <c r="G122" s="22"/>
      <c r="H122" s="22"/>
      <c r="I122" s="22"/>
      <c r="J122" s="157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 x14ac:dyDescent="0.45">
      <c r="A123" s="157"/>
      <c r="B123" s="157"/>
      <c r="C123" s="157"/>
      <c r="D123" s="22"/>
      <c r="E123" s="22"/>
      <c r="F123" s="22"/>
      <c r="G123" s="22"/>
      <c r="H123" s="22"/>
      <c r="I123" s="22"/>
      <c r="J123" s="157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 x14ac:dyDescent="0.45">
      <c r="A124" s="157"/>
      <c r="B124" s="157"/>
      <c r="C124" s="157"/>
      <c r="D124" s="22"/>
      <c r="E124" s="22"/>
      <c r="F124" s="22"/>
      <c r="G124" s="22"/>
      <c r="H124" s="22"/>
      <c r="I124" s="22"/>
      <c r="J124" s="157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 x14ac:dyDescent="0.45">
      <c r="A125" s="157"/>
      <c r="B125" s="157"/>
      <c r="C125" s="157"/>
      <c r="D125" s="22"/>
      <c r="E125" s="22"/>
      <c r="F125" s="22"/>
      <c r="G125" s="22"/>
      <c r="H125" s="22"/>
      <c r="I125" s="22"/>
      <c r="J125" s="157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 x14ac:dyDescent="0.45">
      <c r="A126" s="157"/>
      <c r="B126" s="157"/>
      <c r="C126" s="157"/>
      <c r="D126" s="22"/>
      <c r="E126" s="22"/>
      <c r="F126" s="22"/>
      <c r="G126" s="22"/>
      <c r="H126" s="22"/>
      <c r="I126" s="22"/>
      <c r="J126" s="157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 x14ac:dyDescent="0.45">
      <c r="A127" s="157"/>
      <c r="B127" s="157"/>
      <c r="C127" s="157"/>
      <c r="D127" s="22"/>
      <c r="E127" s="22"/>
      <c r="F127" s="22"/>
      <c r="G127" s="22"/>
      <c r="H127" s="22"/>
      <c r="I127" s="22"/>
      <c r="J127" s="157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 x14ac:dyDescent="0.45">
      <c r="A128" s="157"/>
      <c r="B128" s="157"/>
      <c r="C128" s="157"/>
      <c r="D128" s="22"/>
      <c r="E128" s="22"/>
      <c r="F128" s="22"/>
      <c r="G128" s="22"/>
      <c r="H128" s="22"/>
      <c r="I128" s="22"/>
      <c r="J128" s="157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 x14ac:dyDescent="0.45">
      <c r="A129" s="157"/>
      <c r="B129" s="157"/>
      <c r="C129" s="157"/>
      <c r="D129" s="22"/>
      <c r="E129" s="22"/>
      <c r="F129" s="22"/>
      <c r="G129" s="22"/>
      <c r="H129" s="22"/>
      <c r="I129" s="22"/>
      <c r="J129" s="157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 x14ac:dyDescent="0.45">
      <c r="A130" s="157"/>
      <c r="B130" s="157"/>
      <c r="C130" s="157"/>
      <c r="D130" s="22"/>
      <c r="E130" s="22"/>
      <c r="F130" s="22"/>
      <c r="G130" s="22"/>
      <c r="H130" s="22"/>
      <c r="I130" s="22"/>
      <c r="J130" s="157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 x14ac:dyDescent="0.45">
      <c r="A131" s="157"/>
      <c r="B131" s="157"/>
      <c r="C131" s="157"/>
      <c r="D131" s="22"/>
      <c r="E131" s="22"/>
      <c r="F131" s="22"/>
      <c r="G131" s="22"/>
      <c r="H131" s="22"/>
      <c r="I131" s="22"/>
      <c r="J131" s="157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 x14ac:dyDescent="0.45">
      <c r="A132" s="157"/>
      <c r="B132" s="157"/>
      <c r="C132" s="157"/>
      <c r="D132" s="22"/>
      <c r="E132" s="22"/>
      <c r="F132" s="22"/>
      <c r="G132" s="22"/>
      <c r="H132" s="22"/>
      <c r="I132" s="22"/>
      <c r="J132" s="157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 x14ac:dyDescent="0.45">
      <c r="A133" s="157"/>
      <c r="B133" s="157"/>
      <c r="C133" s="157"/>
      <c r="D133" s="22"/>
      <c r="E133" s="22"/>
      <c r="F133" s="22"/>
      <c r="G133" s="22"/>
      <c r="H133" s="22"/>
      <c r="I133" s="22"/>
      <c r="J133" s="157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 x14ac:dyDescent="0.45">
      <c r="A134" s="157"/>
      <c r="B134" s="157"/>
      <c r="C134" s="157"/>
      <c r="D134" s="22"/>
      <c r="E134" s="22"/>
      <c r="F134" s="22"/>
      <c r="G134" s="22"/>
      <c r="H134" s="22"/>
      <c r="I134" s="22"/>
      <c r="J134" s="157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 x14ac:dyDescent="0.45">
      <c r="A135" s="157"/>
      <c r="B135" s="157"/>
      <c r="C135" s="157"/>
      <c r="D135" s="22"/>
      <c r="E135" s="22"/>
      <c r="F135" s="22"/>
      <c r="G135" s="22"/>
      <c r="H135" s="22"/>
      <c r="I135" s="22"/>
      <c r="J135" s="157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 x14ac:dyDescent="0.45">
      <c r="A136" s="157"/>
      <c r="B136" s="157"/>
      <c r="C136" s="157"/>
      <c r="D136" s="22"/>
      <c r="E136" s="22"/>
      <c r="F136" s="22"/>
      <c r="G136" s="22"/>
      <c r="H136" s="22"/>
      <c r="I136" s="22"/>
      <c r="J136" s="157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 x14ac:dyDescent="0.45">
      <c r="A137" s="157"/>
      <c r="B137" s="157"/>
      <c r="C137" s="157"/>
      <c r="D137" s="22"/>
      <c r="E137" s="22"/>
      <c r="F137" s="22"/>
      <c r="G137" s="22"/>
      <c r="H137" s="22"/>
      <c r="I137" s="22"/>
      <c r="J137" s="157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 x14ac:dyDescent="0.45">
      <c r="A138" s="157"/>
      <c r="B138" s="157"/>
      <c r="C138" s="157"/>
      <c r="D138" s="22"/>
      <c r="E138" s="22"/>
      <c r="F138" s="22"/>
      <c r="G138" s="22"/>
      <c r="H138" s="22"/>
      <c r="I138" s="22"/>
      <c r="J138" s="157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 x14ac:dyDescent="0.45">
      <c r="A139" s="157"/>
      <c r="B139" s="157"/>
      <c r="C139" s="157"/>
      <c r="D139" s="22"/>
      <c r="E139" s="22"/>
      <c r="F139" s="22"/>
      <c r="G139" s="22"/>
      <c r="H139" s="22"/>
      <c r="I139" s="22"/>
      <c r="J139" s="157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 x14ac:dyDescent="0.45">
      <c r="A140" s="157"/>
      <c r="B140" s="157"/>
      <c r="C140" s="157"/>
      <c r="D140" s="22"/>
      <c r="E140" s="22"/>
      <c r="F140" s="22"/>
      <c r="G140" s="22"/>
      <c r="H140" s="22"/>
      <c r="I140" s="22"/>
      <c r="J140" s="157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 x14ac:dyDescent="0.45">
      <c r="A141" s="157"/>
      <c r="B141" s="157"/>
      <c r="C141" s="157"/>
      <c r="D141" s="22"/>
      <c r="E141" s="22"/>
      <c r="F141" s="22"/>
      <c r="G141" s="22"/>
      <c r="H141" s="22"/>
      <c r="I141" s="22"/>
      <c r="J141" s="157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 x14ac:dyDescent="0.45">
      <c r="A142" s="157"/>
      <c r="B142" s="157"/>
      <c r="C142" s="157"/>
      <c r="D142" s="22"/>
      <c r="E142" s="22"/>
      <c r="F142" s="22"/>
      <c r="G142" s="22"/>
      <c r="H142" s="22"/>
      <c r="I142" s="22"/>
      <c r="J142" s="157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 x14ac:dyDescent="0.45">
      <c r="A143" s="157"/>
      <c r="B143" s="157"/>
      <c r="C143" s="157"/>
      <c r="D143" s="22"/>
      <c r="E143" s="22"/>
      <c r="F143" s="22"/>
      <c r="G143" s="22"/>
      <c r="H143" s="22"/>
      <c r="I143" s="22"/>
      <c r="J143" s="157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 x14ac:dyDescent="0.45">
      <c r="A144" s="157"/>
      <c r="B144" s="157"/>
      <c r="C144" s="157"/>
      <c r="D144" s="22"/>
      <c r="E144" s="22"/>
      <c r="F144" s="22"/>
      <c r="G144" s="22"/>
      <c r="H144" s="22"/>
      <c r="I144" s="22"/>
      <c r="J144" s="157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 x14ac:dyDescent="0.45">
      <c r="A145" s="157"/>
      <c r="B145" s="157"/>
      <c r="C145" s="157"/>
      <c r="D145" s="22"/>
      <c r="E145" s="22"/>
      <c r="F145" s="22"/>
      <c r="G145" s="22"/>
      <c r="H145" s="22"/>
      <c r="I145" s="22"/>
      <c r="J145" s="157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 x14ac:dyDescent="0.45">
      <c r="A146" s="157"/>
      <c r="B146" s="157"/>
      <c r="C146" s="157"/>
      <c r="D146" s="22"/>
      <c r="E146" s="22"/>
      <c r="F146" s="22"/>
      <c r="G146" s="22"/>
      <c r="H146" s="22"/>
      <c r="I146" s="22"/>
      <c r="J146" s="157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 x14ac:dyDescent="0.45">
      <c r="A147" s="157"/>
      <c r="B147" s="157"/>
      <c r="C147" s="157"/>
      <c r="D147" s="22"/>
      <c r="E147" s="22"/>
      <c r="F147" s="22"/>
      <c r="G147" s="22"/>
      <c r="H147" s="22"/>
      <c r="I147" s="22"/>
      <c r="J147" s="157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 x14ac:dyDescent="0.45">
      <c r="A148" s="157"/>
      <c r="B148" s="157"/>
      <c r="C148" s="157"/>
      <c r="D148" s="22"/>
      <c r="E148" s="22"/>
      <c r="F148" s="22"/>
      <c r="G148" s="22"/>
      <c r="H148" s="22"/>
      <c r="I148" s="22"/>
      <c r="J148" s="157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 x14ac:dyDescent="0.45">
      <c r="A149" s="157"/>
      <c r="B149" s="157"/>
      <c r="C149" s="157"/>
      <c r="D149" s="22"/>
      <c r="E149" s="22"/>
      <c r="F149" s="22"/>
      <c r="G149" s="22"/>
      <c r="H149" s="22"/>
      <c r="I149" s="22"/>
      <c r="J149" s="157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 x14ac:dyDescent="0.45">
      <c r="A150" s="157"/>
      <c r="B150" s="157"/>
      <c r="C150" s="157"/>
      <c r="D150" s="22"/>
      <c r="E150" s="22"/>
      <c r="F150" s="22"/>
      <c r="G150" s="22"/>
      <c r="H150" s="22"/>
      <c r="I150" s="22"/>
      <c r="J150" s="157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 x14ac:dyDescent="0.45">
      <c r="A151" s="157"/>
      <c r="B151" s="157"/>
      <c r="C151" s="157"/>
      <c r="D151" s="22"/>
      <c r="E151" s="22"/>
      <c r="F151" s="22"/>
      <c r="G151" s="22"/>
      <c r="H151" s="22"/>
      <c r="I151" s="22"/>
      <c r="J151" s="157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 x14ac:dyDescent="0.45">
      <c r="A152" s="157"/>
      <c r="B152" s="157"/>
      <c r="C152" s="157"/>
      <c r="D152" s="22"/>
      <c r="E152" s="22"/>
      <c r="F152" s="22"/>
      <c r="G152" s="22"/>
      <c r="H152" s="22"/>
      <c r="I152" s="22"/>
      <c r="J152" s="157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 x14ac:dyDescent="0.45">
      <c r="A153" s="157"/>
      <c r="B153" s="157"/>
      <c r="C153" s="157"/>
      <c r="D153" s="22"/>
      <c r="E153" s="22"/>
      <c r="F153" s="22"/>
      <c r="G153" s="22"/>
      <c r="H153" s="22"/>
      <c r="I153" s="22"/>
      <c r="J153" s="157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 x14ac:dyDescent="0.45">
      <c r="A154" s="157"/>
      <c r="B154" s="157"/>
      <c r="C154" s="157"/>
      <c r="D154" s="22"/>
      <c r="E154" s="22"/>
      <c r="F154" s="22"/>
      <c r="G154" s="22"/>
      <c r="H154" s="22"/>
      <c r="I154" s="22"/>
      <c r="J154" s="157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 x14ac:dyDescent="0.45">
      <c r="A155" s="157"/>
      <c r="B155" s="157"/>
      <c r="C155" s="157"/>
      <c r="D155" s="22"/>
      <c r="E155" s="22"/>
      <c r="F155" s="22"/>
      <c r="G155" s="22"/>
      <c r="H155" s="22"/>
      <c r="I155" s="22"/>
      <c r="J155" s="157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 x14ac:dyDescent="0.45">
      <c r="A156" s="157"/>
      <c r="B156" s="157"/>
      <c r="C156" s="157"/>
      <c r="D156" s="22"/>
      <c r="E156" s="22"/>
      <c r="F156" s="22"/>
      <c r="G156" s="22"/>
      <c r="H156" s="22"/>
      <c r="I156" s="22"/>
      <c r="J156" s="157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 x14ac:dyDescent="0.45">
      <c r="A157" s="157"/>
      <c r="B157" s="157"/>
      <c r="C157" s="157"/>
      <c r="D157" s="22"/>
      <c r="E157" s="22"/>
      <c r="F157" s="22"/>
      <c r="G157" s="22"/>
      <c r="H157" s="22"/>
      <c r="I157" s="22"/>
      <c r="J157" s="157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 x14ac:dyDescent="0.45">
      <c r="A158" s="157"/>
      <c r="B158" s="157"/>
      <c r="C158" s="157"/>
      <c r="D158" s="22"/>
      <c r="E158" s="22"/>
      <c r="F158" s="22"/>
      <c r="G158" s="22"/>
      <c r="H158" s="22"/>
      <c r="I158" s="22"/>
      <c r="J158" s="157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 x14ac:dyDescent="0.45">
      <c r="A159" s="157"/>
      <c r="B159" s="157"/>
      <c r="C159" s="157"/>
      <c r="D159" s="22"/>
      <c r="E159" s="22"/>
      <c r="F159" s="22"/>
      <c r="G159" s="22"/>
      <c r="H159" s="22"/>
      <c r="I159" s="22"/>
      <c r="J159" s="157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 x14ac:dyDescent="0.45">
      <c r="A160" s="157"/>
      <c r="B160" s="157"/>
      <c r="C160" s="157"/>
      <c r="D160" s="22"/>
      <c r="E160" s="22"/>
      <c r="F160" s="22"/>
      <c r="G160" s="22"/>
      <c r="H160" s="22"/>
      <c r="I160" s="22"/>
      <c r="J160" s="157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 x14ac:dyDescent="0.45">
      <c r="A161" s="157"/>
      <c r="B161" s="157"/>
      <c r="C161" s="157"/>
      <c r="D161" s="22"/>
      <c r="E161" s="22"/>
      <c r="F161" s="22"/>
      <c r="G161" s="22"/>
      <c r="H161" s="22"/>
      <c r="I161" s="22"/>
      <c r="J161" s="157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 x14ac:dyDescent="0.45">
      <c r="A162" s="157"/>
      <c r="B162" s="157"/>
      <c r="C162" s="157"/>
      <c r="D162" s="22"/>
      <c r="E162" s="22"/>
      <c r="F162" s="22"/>
      <c r="G162" s="22"/>
      <c r="H162" s="22"/>
      <c r="I162" s="22"/>
      <c r="J162" s="157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 x14ac:dyDescent="0.45">
      <c r="A163" s="157"/>
      <c r="B163" s="157"/>
      <c r="C163" s="157"/>
      <c r="D163" s="22"/>
      <c r="E163" s="22"/>
      <c r="F163" s="22"/>
      <c r="G163" s="22"/>
      <c r="H163" s="22"/>
      <c r="I163" s="22"/>
      <c r="J163" s="157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 x14ac:dyDescent="0.45">
      <c r="A164" s="157"/>
      <c r="B164" s="157"/>
      <c r="C164" s="157"/>
      <c r="D164" s="22"/>
      <c r="E164" s="22"/>
      <c r="F164" s="22"/>
      <c r="G164" s="22"/>
      <c r="H164" s="22"/>
      <c r="I164" s="22"/>
      <c r="J164" s="157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 x14ac:dyDescent="0.45">
      <c r="A165" s="157"/>
      <c r="B165" s="157"/>
      <c r="C165" s="157"/>
      <c r="D165" s="22"/>
      <c r="E165" s="22"/>
      <c r="F165" s="22"/>
      <c r="G165" s="22"/>
      <c r="H165" s="22"/>
      <c r="I165" s="22"/>
      <c r="J165" s="157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 x14ac:dyDescent="0.45">
      <c r="A166" s="157"/>
      <c r="B166" s="157"/>
      <c r="C166" s="157"/>
      <c r="D166" s="22"/>
      <c r="E166" s="22"/>
      <c r="F166" s="22"/>
      <c r="G166" s="22"/>
      <c r="H166" s="22"/>
      <c r="I166" s="22"/>
      <c r="J166" s="157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 x14ac:dyDescent="0.45">
      <c r="A167" s="157"/>
      <c r="B167" s="157"/>
      <c r="C167" s="157"/>
      <c r="D167" s="22"/>
      <c r="E167" s="22"/>
      <c r="F167" s="22"/>
      <c r="G167" s="22"/>
      <c r="H167" s="22"/>
      <c r="I167" s="22"/>
      <c r="J167" s="157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 x14ac:dyDescent="0.45">
      <c r="A168" s="157"/>
      <c r="B168" s="157"/>
      <c r="C168" s="157"/>
      <c r="D168" s="22"/>
      <c r="E168" s="22"/>
      <c r="F168" s="22"/>
      <c r="G168" s="22"/>
      <c r="H168" s="22"/>
      <c r="I168" s="22"/>
      <c r="J168" s="157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 x14ac:dyDescent="0.45">
      <c r="A169" s="157"/>
      <c r="B169" s="157"/>
      <c r="C169" s="157"/>
      <c r="D169" s="22"/>
      <c r="E169" s="22"/>
      <c r="F169" s="22"/>
      <c r="G169" s="22"/>
      <c r="H169" s="22"/>
      <c r="I169" s="22"/>
      <c r="J169" s="157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 x14ac:dyDescent="0.45">
      <c r="A170" s="157"/>
      <c r="B170" s="157"/>
      <c r="C170" s="157"/>
      <c r="D170" s="22"/>
      <c r="E170" s="22"/>
      <c r="F170" s="22"/>
      <c r="G170" s="22"/>
      <c r="H170" s="22"/>
      <c r="I170" s="22"/>
      <c r="J170" s="157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 x14ac:dyDescent="0.45">
      <c r="A171" s="157"/>
      <c r="B171" s="157"/>
      <c r="C171" s="157"/>
      <c r="D171" s="22"/>
      <c r="E171" s="22"/>
      <c r="F171" s="22"/>
      <c r="G171" s="22"/>
      <c r="H171" s="22"/>
      <c r="I171" s="22"/>
      <c r="J171" s="157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 x14ac:dyDescent="0.45">
      <c r="A172" s="157"/>
      <c r="B172" s="157"/>
      <c r="C172" s="157"/>
      <c r="D172" s="22"/>
      <c r="E172" s="22"/>
      <c r="F172" s="22"/>
      <c r="G172" s="22"/>
      <c r="H172" s="22"/>
      <c r="I172" s="22"/>
      <c r="J172" s="157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 x14ac:dyDescent="0.45">
      <c r="A173" s="157"/>
      <c r="B173" s="157"/>
      <c r="C173" s="157"/>
      <c r="D173" s="22"/>
      <c r="E173" s="22"/>
      <c r="F173" s="22"/>
      <c r="G173" s="22"/>
      <c r="H173" s="22"/>
      <c r="I173" s="22"/>
      <c r="J173" s="157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 x14ac:dyDescent="0.45">
      <c r="A174" s="157"/>
      <c r="B174" s="157"/>
      <c r="C174" s="157"/>
      <c r="D174" s="22"/>
      <c r="E174" s="22"/>
      <c r="F174" s="22"/>
      <c r="G174" s="22"/>
      <c r="H174" s="22"/>
      <c r="I174" s="22"/>
      <c r="J174" s="157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 x14ac:dyDescent="0.45">
      <c r="A175" s="157"/>
      <c r="B175" s="157"/>
      <c r="C175" s="157"/>
      <c r="D175" s="22"/>
      <c r="E175" s="22"/>
      <c r="F175" s="22"/>
      <c r="G175" s="22"/>
      <c r="H175" s="22"/>
      <c r="I175" s="22"/>
      <c r="J175" s="157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 x14ac:dyDescent="0.45">
      <c r="A176" s="157"/>
      <c r="B176" s="157"/>
      <c r="C176" s="157"/>
      <c r="D176" s="22"/>
      <c r="E176" s="22"/>
      <c r="F176" s="22"/>
      <c r="G176" s="22"/>
      <c r="H176" s="22"/>
      <c r="I176" s="22"/>
      <c r="J176" s="157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 x14ac:dyDescent="0.45">
      <c r="A177" s="157"/>
      <c r="B177" s="157"/>
      <c r="C177" s="157"/>
      <c r="D177" s="22"/>
      <c r="E177" s="22"/>
      <c r="F177" s="22"/>
      <c r="G177" s="22"/>
      <c r="H177" s="22"/>
      <c r="I177" s="22"/>
      <c r="J177" s="157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 x14ac:dyDescent="0.45">
      <c r="A178" s="157"/>
      <c r="B178" s="157"/>
      <c r="C178" s="157"/>
      <c r="D178" s="22"/>
      <c r="E178" s="22"/>
      <c r="F178" s="22"/>
      <c r="G178" s="22"/>
      <c r="H178" s="22"/>
      <c r="I178" s="22"/>
      <c r="J178" s="157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 x14ac:dyDescent="0.45">
      <c r="A179" s="157"/>
      <c r="B179" s="157"/>
      <c r="C179" s="157"/>
      <c r="D179" s="22"/>
      <c r="E179" s="22"/>
      <c r="F179" s="22"/>
      <c r="G179" s="22"/>
      <c r="H179" s="22"/>
      <c r="I179" s="22"/>
      <c r="J179" s="157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 x14ac:dyDescent="0.45">
      <c r="A180" s="157"/>
      <c r="B180" s="157"/>
      <c r="C180" s="157"/>
      <c r="D180" s="22"/>
      <c r="E180" s="22"/>
      <c r="F180" s="22"/>
      <c r="G180" s="22"/>
      <c r="H180" s="22"/>
      <c r="I180" s="22"/>
      <c r="J180" s="157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 x14ac:dyDescent="0.45">
      <c r="A181" s="157"/>
      <c r="B181" s="157"/>
      <c r="C181" s="157"/>
      <c r="D181" s="22"/>
      <c r="E181" s="22"/>
      <c r="F181" s="22"/>
      <c r="G181" s="22"/>
      <c r="H181" s="22"/>
      <c r="I181" s="22"/>
      <c r="J181" s="157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 x14ac:dyDescent="0.45">
      <c r="A182" s="157"/>
      <c r="B182" s="157"/>
      <c r="C182" s="157"/>
      <c r="D182" s="22"/>
      <c r="E182" s="22"/>
      <c r="F182" s="22"/>
      <c r="G182" s="22"/>
      <c r="H182" s="22"/>
      <c r="I182" s="22"/>
      <c r="J182" s="157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 x14ac:dyDescent="0.45">
      <c r="A183" s="157"/>
      <c r="B183" s="157"/>
      <c r="C183" s="157"/>
      <c r="D183" s="22"/>
      <c r="E183" s="22"/>
      <c r="F183" s="22"/>
      <c r="G183" s="22"/>
      <c r="H183" s="22"/>
      <c r="I183" s="22"/>
      <c r="J183" s="157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 x14ac:dyDescent="0.45">
      <c r="A184" s="157"/>
      <c r="B184" s="157"/>
      <c r="C184" s="157"/>
      <c r="D184" s="22"/>
      <c r="E184" s="22"/>
      <c r="F184" s="22"/>
      <c r="G184" s="22"/>
      <c r="H184" s="22"/>
      <c r="I184" s="22"/>
      <c r="J184" s="157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 x14ac:dyDescent="0.45">
      <c r="A185" s="157"/>
      <c r="B185" s="157"/>
      <c r="C185" s="157"/>
      <c r="D185" s="22"/>
      <c r="E185" s="22"/>
      <c r="F185" s="22"/>
      <c r="G185" s="22"/>
      <c r="H185" s="22"/>
      <c r="I185" s="22"/>
      <c r="J185" s="157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 x14ac:dyDescent="0.45">
      <c r="A186" s="157"/>
      <c r="B186" s="157"/>
      <c r="C186" s="157"/>
      <c r="D186" s="22"/>
      <c r="E186" s="22"/>
      <c r="F186" s="22"/>
      <c r="G186" s="22"/>
      <c r="H186" s="22"/>
      <c r="I186" s="22"/>
      <c r="J186" s="157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 x14ac:dyDescent="0.45">
      <c r="A187" s="157"/>
      <c r="B187" s="157"/>
      <c r="C187" s="157"/>
      <c r="D187" s="22"/>
      <c r="E187" s="22"/>
      <c r="F187" s="22"/>
      <c r="G187" s="22"/>
      <c r="H187" s="22"/>
      <c r="I187" s="22"/>
      <c r="J187" s="157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 x14ac:dyDescent="0.45">
      <c r="A188" s="157"/>
      <c r="B188" s="157"/>
      <c r="C188" s="157"/>
      <c r="D188" s="22"/>
      <c r="E188" s="22"/>
      <c r="F188" s="22"/>
      <c r="G188" s="22"/>
      <c r="H188" s="22"/>
      <c r="I188" s="22"/>
      <c r="J188" s="157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 x14ac:dyDescent="0.45">
      <c r="A189" s="157"/>
      <c r="B189" s="157"/>
      <c r="C189" s="157"/>
      <c r="D189" s="22"/>
      <c r="E189" s="22"/>
      <c r="F189" s="22"/>
      <c r="G189" s="22"/>
      <c r="H189" s="22"/>
      <c r="I189" s="22"/>
      <c r="J189" s="157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 x14ac:dyDescent="0.45">
      <c r="A190" s="157"/>
      <c r="B190" s="157"/>
      <c r="C190" s="157"/>
      <c r="D190" s="22"/>
      <c r="E190" s="22"/>
      <c r="F190" s="22"/>
      <c r="G190" s="22"/>
      <c r="H190" s="22"/>
      <c r="I190" s="22"/>
      <c r="J190" s="157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 x14ac:dyDescent="0.45">
      <c r="A191" s="157"/>
      <c r="B191" s="157"/>
      <c r="C191" s="157"/>
      <c r="D191" s="22"/>
      <c r="E191" s="22"/>
      <c r="F191" s="22"/>
      <c r="G191" s="22"/>
      <c r="H191" s="22"/>
      <c r="I191" s="22"/>
      <c r="J191" s="157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 x14ac:dyDescent="0.45">
      <c r="A192" s="157"/>
      <c r="B192" s="157"/>
      <c r="C192" s="157"/>
      <c r="D192" s="22"/>
      <c r="E192" s="22"/>
      <c r="F192" s="22"/>
      <c r="G192" s="22"/>
      <c r="H192" s="22"/>
      <c r="I192" s="22"/>
      <c r="J192" s="157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 x14ac:dyDescent="0.45">
      <c r="A193" s="157"/>
      <c r="B193" s="157"/>
      <c r="C193" s="157"/>
      <c r="D193" s="22"/>
      <c r="E193" s="22"/>
      <c r="F193" s="22"/>
      <c r="G193" s="22"/>
      <c r="H193" s="22"/>
      <c r="I193" s="22"/>
      <c r="J193" s="157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 x14ac:dyDescent="0.45">
      <c r="A194" s="157"/>
      <c r="B194" s="157"/>
      <c r="C194" s="157"/>
      <c r="D194" s="22"/>
      <c r="E194" s="22"/>
      <c r="F194" s="22"/>
      <c r="G194" s="22"/>
      <c r="H194" s="22"/>
      <c r="I194" s="22"/>
      <c r="J194" s="157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 x14ac:dyDescent="0.45">
      <c r="A195" s="157"/>
      <c r="B195" s="157"/>
      <c r="C195" s="157"/>
      <c r="D195" s="22"/>
      <c r="E195" s="22"/>
      <c r="F195" s="22"/>
      <c r="G195" s="22"/>
      <c r="H195" s="22"/>
      <c r="I195" s="22"/>
      <c r="J195" s="157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 x14ac:dyDescent="0.45">
      <c r="A196" s="157"/>
      <c r="B196" s="157"/>
      <c r="C196" s="157"/>
      <c r="D196" s="22"/>
      <c r="E196" s="22"/>
      <c r="F196" s="22"/>
      <c r="G196" s="22"/>
      <c r="H196" s="22"/>
      <c r="I196" s="22"/>
      <c r="J196" s="157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 x14ac:dyDescent="0.45">
      <c r="A197" s="157"/>
      <c r="B197" s="157"/>
      <c r="C197" s="157"/>
      <c r="D197" s="22"/>
      <c r="E197" s="22"/>
      <c r="F197" s="22"/>
      <c r="G197" s="22"/>
      <c r="H197" s="22"/>
      <c r="I197" s="22"/>
      <c r="J197" s="157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 x14ac:dyDescent="0.45">
      <c r="A198" s="157"/>
      <c r="B198" s="157"/>
      <c r="C198" s="157"/>
      <c r="D198" s="22"/>
      <c r="E198" s="22"/>
      <c r="F198" s="22"/>
      <c r="G198" s="22"/>
      <c r="H198" s="22"/>
      <c r="I198" s="22"/>
      <c r="J198" s="157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 x14ac:dyDescent="0.45">
      <c r="A199" s="157"/>
      <c r="B199" s="157"/>
      <c r="C199" s="157"/>
      <c r="D199" s="22"/>
      <c r="E199" s="22"/>
      <c r="F199" s="22"/>
      <c r="G199" s="22"/>
      <c r="H199" s="22"/>
      <c r="I199" s="22"/>
      <c r="J199" s="157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 x14ac:dyDescent="0.45">
      <c r="A200" s="157"/>
      <c r="B200" s="157"/>
      <c r="C200" s="157"/>
      <c r="D200" s="22"/>
      <c r="E200" s="22"/>
      <c r="F200" s="22"/>
      <c r="G200" s="22"/>
      <c r="H200" s="22"/>
      <c r="I200" s="22"/>
      <c r="J200" s="157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 x14ac:dyDescent="0.45">
      <c r="A201" s="157"/>
      <c r="B201" s="157"/>
      <c r="C201" s="157"/>
      <c r="D201" s="22"/>
      <c r="E201" s="22"/>
      <c r="F201" s="22"/>
      <c r="G201" s="22"/>
      <c r="H201" s="22"/>
      <c r="I201" s="22"/>
      <c r="J201" s="157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 x14ac:dyDescent="0.45">
      <c r="A202" s="157"/>
      <c r="B202" s="157"/>
      <c r="C202" s="157"/>
      <c r="D202" s="22"/>
      <c r="E202" s="22"/>
      <c r="F202" s="22"/>
      <c r="G202" s="22"/>
      <c r="H202" s="22"/>
      <c r="I202" s="22"/>
      <c r="J202" s="157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 x14ac:dyDescent="0.45">
      <c r="A203" s="157"/>
      <c r="B203" s="157"/>
      <c r="C203" s="157"/>
      <c r="D203" s="22"/>
      <c r="E203" s="22"/>
      <c r="F203" s="22"/>
      <c r="G203" s="22"/>
      <c r="H203" s="22"/>
      <c r="I203" s="22"/>
      <c r="J203" s="157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 x14ac:dyDescent="0.45">
      <c r="A204" s="157"/>
      <c r="B204" s="157"/>
      <c r="C204" s="157"/>
      <c r="D204" s="22"/>
      <c r="E204" s="22"/>
      <c r="F204" s="22"/>
      <c r="G204" s="22"/>
      <c r="H204" s="22"/>
      <c r="I204" s="22"/>
      <c r="J204" s="157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 x14ac:dyDescent="0.45">
      <c r="A205" s="157"/>
      <c r="B205" s="157"/>
      <c r="C205" s="157"/>
      <c r="D205" s="22"/>
      <c r="E205" s="22"/>
      <c r="F205" s="22"/>
      <c r="G205" s="22"/>
      <c r="H205" s="22"/>
      <c r="I205" s="22"/>
      <c r="J205" s="157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 x14ac:dyDescent="0.45">
      <c r="A206" s="157"/>
      <c r="B206" s="157"/>
      <c r="C206" s="157"/>
      <c r="D206" s="22"/>
      <c r="E206" s="22"/>
      <c r="F206" s="22"/>
      <c r="G206" s="22"/>
      <c r="H206" s="22"/>
      <c r="I206" s="22"/>
      <c r="J206" s="157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 x14ac:dyDescent="0.45">
      <c r="A207" s="157"/>
      <c r="B207" s="157"/>
      <c r="C207" s="157"/>
      <c r="D207" s="22"/>
      <c r="E207" s="22"/>
      <c r="F207" s="22"/>
      <c r="G207" s="22"/>
      <c r="H207" s="22"/>
      <c r="I207" s="22"/>
      <c r="J207" s="157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 x14ac:dyDescent="0.45">
      <c r="A208" s="157"/>
      <c r="B208" s="157"/>
      <c r="C208" s="157"/>
      <c r="D208" s="22"/>
      <c r="E208" s="22"/>
      <c r="F208" s="22"/>
      <c r="G208" s="22"/>
      <c r="H208" s="22"/>
      <c r="I208" s="22"/>
      <c r="J208" s="157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 x14ac:dyDescent="0.45">
      <c r="A209" s="157"/>
      <c r="B209" s="157"/>
      <c r="C209" s="157"/>
      <c r="D209" s="22"/>
      <c r="E209" s="22"/>
      <c r="F209" s="22"/>
      <c r="G209" s="22"/>
      <c r="H209" s="22"/>
      <c r="I209" s="22"/>
      <c r="J209" s="157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 x14ac:dyDescent="0.45">
      <c r="A210" s="157"/>
      <c r="B210" s="157"/>
      <c r="C210" s="157"/>
      <c r="D210" s="22"/>
      <c r="E210" s="22"/>
      <c r="F210" s="22"/>
      <c r="G210" s="22"/>
      <c r="H210" s="22"/>
      <c r="I210" s="22"/>
      <c r="J210" s="157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 x14ac:dyDescent="0.45">
      <c r="A211" s="157"/>
      <c r="B211" s="157"/>
      <c r="C211" s="157"/>
      <c r="D211" s="22"/>
      <c r="E211" s="22"/>
      <c r="F211" s="22"/>
      <c r="G211" s="22"/>
      <c r="H211" s="22"/>
      <c r="I211" s="22"/>
      <c r="J211" s="157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 x14ac:dyDescent="0.45">
      <c r="A212" s="157"/>
      <c r="B212" s="157"/>
      <c r="C212" s="157"/>
      <c r="D212" s="22"/>
      <c r="E212" s="22"/>
      <c r="F212" s="22"/>
      <c r="G212" s="22"/>
      <c r="H212" s="22"/>
      <c r="I212" s="22"/>
      <c r="J212" s="157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 x14ac:dyDescent="0.45">
      <c r="A213" s="157"/>
      <c r="B213" s="157"/>
      <c r="C213" s="157"/>
      <c r="D213" s="22"/>
      <c r="E213" s="22"/>
      <c r="F213" s="22"/>
      <c r="G213" s="22"/>
      <c r="H213" s="22"/>
      <c r="I213" s="22"/>
      <c r="J213" s="157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 x14ac:dyDescent="0.45">
      <c r="A214" s="157"/>
      <c r="B214" s="157"/>
      <c r="C214" s="157"/>
      <c r="D214" s="22"/>
      <c r="E214" s="22"/>
      <c r="F214" s="22"/>
      <c r="G214" s="22"/>
      <c r="H214" s="22"/>
      <c r="I214" s="22"/>
      <c r="J214" s="157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 x14ac:dyDescent="0.45">
      <c r="A215" s="157"/>
      <c r="B215" s="157"/>
      <c r="C215" s="157"/>
      <c r="D215" s="22"/>
      <c r="E215" s="22"/>
      <c r="F215" s="22"/>
      <c r="G215" s="22"/>
      <c r="H215" s="22"/>
      <c r="I215" s="22"/>
      <c r="J215" s="157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 x14ac:dyDescent="0.45">
      <c r="A216" s="157"/>
      <c r="B216" s="157"/>
      <c r="C216" s="157"/>
      <c r="D216" s="22"/>
      <c r="E216" s="22"/>
      <c r="F216" s="22"/>
      <c r="G216" s="22"/>
      <c r="H216" s="22"/>
      <c r="I216" s="22"/>
      <c r="J216" s="157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 x14ac:dyDescent="0.45">
      <c r="A217" s="157"/>
      <c r="B217" s="157"/>
      <c r="C217" s="157"/>
      <c r="D217" s="22"/>
      <c r="E217" s="22"/>
      <c r="F217" s="22"/>
      <c r="G217" s="22"/>
      <c r="H217" s="22"/>
      <c r="I217" s="22"/>
      <c r="J217" s="157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 x14ac:dyDescent="0.45">
      <c r="A218" s="157"/>
      <c r="B218" s="157"/>
      <c r="C218" s="157"/>
      <c r="D218" s="22"/>
      <c r="E218" s="22"/>
      <c r="F218" s="22"/>
      <c r="G218" s="22"/>
      <c r="H218" s="22"/>
      <c r="I218" s="22"/>
      <c r="J218" s="157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 x14ac:dyDescent="0.45">
      <c r="A219" s="157"/>
      <c r="B219" s="157"/>
      <c r="C219" s="157"/>
      <c r="D219" s="22"/>
      <c r="E219" s="22"/>
      <c r="F219" s="22"/>
      <c r="G219" s="22"/>
      <c r="H219" s="22"/>
      <c r="I219" s="22"/>
      <c r="J219" s="157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 x14ac:dyDescent="0.45">
      <c r="A220" s="157"/>
      <c r="B220" s="157"/>
      <c r="C220" s="157"/>
      <c r="D220" s="22"/>
      <c r="E220" s="22"/>
      <c r="F220" s="22"/>
      <c r="G220" s="22"/>
      <c r="H220" s="22"/>
      <c r="I220" s="22"/>
      <c r="J220" s="157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 x14ac:dyDescent="0.45">
      <c r="A221" s="157"/>
      <c r="B221" s="157"/>
      <c r="C221" s="157"/>
      <c r="D221" s="22"/>
      <c r="E221" s="22"/>
      <c r="F221" s="22"/>
      <c r="G221" s="22"/>
      <c r="H221" s="22"/>
      <c r="I221" s="22"/>
      <c r="J221" s="157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 x14ac:dyDescent="0.45">
      <c r="A222" s="157"/>
      <c r="B222" s="157"/>
      <c r="C222" s="157"/>
      <c r="D222" s="22"/>
      <c r="E222" s="22"/>
      <c r="F222" s="22"/>
      <c r="G222" s="22"/>
      <c r="H222" s="22"/>
      <c r="I222" s="22"/>
      <c r="J222" s="157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 x14ac:dyDescent="0.45">
      <c r="A223" s="157"/>
      <c r="B223" s="157"/>
      <c r="C223" s="157"/>
      <c r="D223" s="22"/>
      <c r="E223" s="22"/>
      <c r="F223" s="22"/>
      <c r="G223" s="22"/>
      <c r="H223" s="22"/>
      <c r="I223" s="22"/>
      <c r="J223" s="157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 x14ac:dyDescent="0.45">
      <c r="A224" s="157"/>
      <c r="B224" s="157"/>
      <c r="C224" s="157"/>
      <c r="D224" s="22"/>
      <c r="E224" s="22"/>
      <c r="F224" s="22"/>
      <c r="G224" s="22"/>
      <c r="H224" s="22"/>
      <c r="I224" s="22"/>
      <c r="J224" s="157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 x14ac:dyDescent="0.45">
      <c r="A225" s="157"/>
      <c r="B225" s="157"/>
      <c r="C225" s="157"/>
      <c r="D225" s="22"/>
      <c r="E225" s="22"/>
      <c r="F225" s="22"/>
      <c r="G225" s="22"/>
      <c r="H225" s="22"/>
      <c r="I225" s="22"/>
      <c r="J225" s="157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 x14ac:dyDescent="0.45">
      <c r="A226" s="157"/>
      <c r="B226" s="157"/>
      <c r="C226" s="157"/>
      <c r="D226" s="22"/>
      <c r="E226" s="22"/>
      <c r="F226" s="22"/>
      <c r="G226" s="22"/>
      <c r="H226" s="22"/>
      <c r="I226" s="22"/>
      <c r="J226" s="157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 x14ac:dyDescent="0.45">
      <c r="A227" s="157"/>
      <c r="B227" s="157"/>
      <c r="C227" s="157"/>
      <c r="D227" s="22"/>
      <c r="E227" s="22"/>
      <c r="F227" s="22"/>
      <c r="G227" s="22"/>
      <c r="H227" s="22"/>
      <c r="I227" s="22"/>
      <c r="J227" s="157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 x14ac:dyDescent="0.45">
      <c r="A228" s="157"/>
      <c r="B228" s="157"/>
      <c r="C228" s="157"/>
      <c r="D228" s="22"/>
      <c r="E228" s="22"/>
      <c r="F228" s="22"/>
      <c r="G228" s="22"/>
      <c r="H228" s="22"/>
      <c r="I228" s="22"/>
      <c r="J228" s="157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 x14ac:dyDescent="0.45">
      <c r="A229" s="157"/>
      <c r="B229" s="157"/>
      <c r="C229" s="157"/>
      <c r="D229" s="22"/>
      <c r="E229" s="22"/>
      <c r="F229" s="22"/>
      <c r="G229" s="22"/>
      <c r="H229" s="22"/>
      <c r="I229" s="22"/>
      <c r="J229" s="157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 x14ac:dyDescent="0.45">
      <c r="A230" s="157"/>
      <c r="B230" s="157"/>
      <c r="C230" s="157"/>
      <c r="D230" s="22"/>
      <c r="E230" s="22"/>
      <c r="F230" s="22"/>
      <c r="G230" s="22"/>
      <c r="H230" s="22"/>
      <c r="I230" s="22"/>
      <c r="J230" s="157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 x14ac:dyDescent="0.45">
      <c r="A231" s="157"/>
      <c r="B231" s="157"/>
      <c r="C231" s="157"/>
      <c r="D231" s="22"/>
      <c r="E231" s="22"/>
      <c r="F231" s="22"/>
      <c r="G231" s="22"/>
      <c r="H231" s="22"/>
      <c r="I231" s="22"/>
      <c r="J231" s="157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 x14ac:dyDescent="0.45">
      <c r="A232" s="157"/>
      <c r="B232" s="157"/>
      <c r="C232" s="157"/>
      <c r="D232" s="22"/>
      <c r="E232" s="22"/>
      <c r="F232" s="22"/>
      <c r="G232" s="22"/>
      <c r="H232" s="22"/>
      <c r="I232" s="22"/>
      <c r="J232" s="157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 x14ac:dyDescent="0.45">
      <c r="A233" s="157"/>
      <c r="B233" s="157"/>
      <c r="C233" s="157"/>
      <c r="D233" s="22"/>
      <c r="E233" s="22"/>
      <c r="F233" s="22"/>
      <c r="G233" s="22"/>
      <c r="H233" s="22"/>
      <c r="I233" s="22"/>
      <c r="J233" s="157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 x14ac:dyDescent="0.45">
      <c r="A234" s="157"/>
      <c r="B234" s="157"/>
      <c r="C234" s="157"/>
      <c r="D234" s="22"/>
      <c r="E234" s="22"/>
      <c r="F234" s="22"/>
      <c r="G234" s="22"/>
      <c r="H234" s="22"/>
      <c r="I234" s="22"/>
      <c r="J234" s="157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 x14ac:dyDescent="0.45">
      <c r="A235" s="157"/>
      <c r="B235" s="157"/>
      <c r="C235" s="157"/>
      <c r="D235" s="22"/>
      <c r="E235" s="22"/>
      <c r="F235" s="22"/>
      <c r="G235" s="22"/>
      <c r="H235" s="22"/>
      <c r="I235" s="22"/>
      <c r="J235" s="157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 x14ac:dyDescent="0.45">
      <c r="A236" s="157"/>
      <c r="B236" s="157"/>
      <c r="C236" s="157"/>
      <c r="D236" s="22"/>
      <c r="E236" s="22"/>
      <c r="F236" s="22"/>
      <c r="G236" s="22"/>
      <c r="H236" s="22"/>
      <c r="I236" s="22"/>
      <c r="J236" s="157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 x14ac:dyDescent="0.45">
      <c r="A237" s="157"/>
      <c r="B237" s="157"/>
      <c r="C237" s="157"/>
      <c r="D237" s="22"/>
      <c r="E237" s="22"/>
      <c r="F237" s="22"/>
      <c r="G237" s="22"/>
      <c r="H237" s="22"/>
      <c r="I237" s="22"/>
      <c r="J237" s="157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 x14ac:dyDescent="0.45">
      <c r="A238" s="157"/>
      <c r="B238" s="157"/>
      <c r="C238" s="157"/>
      <c r="D238" s="22"/>
      <c r="E238" s="22"/>
      <c r="F238" s="22"/>
      <c r="G238" s="22"/>
      <c r="H238" s="22"/>
      <c r="I238" s="22"/>
      <c r="J238" s="157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 x14ac:dyDescent="0.45">
      <c r="A239" s="157"/>
      <c r="B239" s="157"/>
      <c r="C239" s="157"/>
      <c r="D239" s="22"/>
      <c r="E239" s="22"/>
      <c r="F239" s="22"/>
      <c r="G239" s="22"/>
      <c r="H239" s="22"/>
      <c r="I239" s="22"/>
      <c r="J239" s="157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 x14ac:dyDescent="0.45">
      <c r="A240" s="157"/>
      <c r="B240" s="157"/>
      <c r="C240" s="157"/>
      <c r="D240" s="22"/>
      <c r="E240" s="22"/>
      <c r="F240" s="22"/>
      <c r="G240" s="22"/>
      <c r="H240" s="22"/>
      <c r="I240" s="22"/>
      <c r="J240" s="157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 x14ac:dyDescent="0.45">
      <c r="A241" s="157"/>
      <c r="B241" s="157"/>
      <c r="C241" s="157"/>
      <c r="D241" s="22"/>
      <c r="E241" s="22"/>
      <c r="F241" s="22"/>
      <c r="G241" s="22"/>
      <c r="H241" s="22"/>
      <c r="I241" s="22"/>
      <c r="J241" s="157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 x14ac:dyDescent="0.45">
      <c r="A242" s="157"/>
      <c r="B242" s="157"/>
      <c r="C242" s="157"/>
      <c r="D242" s="22"/>
      <c r="E242" s="22"/>
      <c r="F242" s="22"/>
      <c r="G242" s="22"/>
      <c r="H242" s="22"/>
      <c r="I242" s="22"/>
      <c r="J242" s="157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 x14ac:dyDescent="0.45">
      <c r="A243" s="157"/>
      <c r="B243" s="157"/>
      <c r="C243" s="157"/>
      <c r="D243" s="22"/>
      <c r="E243" s="22"/>
      <c r="F243" s="22"/>
      <c r="G243" s="22"/>
      <c r="H243" s="22"/>
      <c r="I243" s="22"/>
      <c r="J243" s="157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 x14ac:dyDescent="0.45">
      <c r="A244" s="157"/>
      <c r="B244" s="157"/>
      <c r="C244" s="157"/>
      <c r="D244" s="22"/>
      <c r="E244" s="22"/>
      <c r="F244" s="22"/>
      <c r="G244" s="22"/>
      <c r="H244" s="22"/>
      <c r="I244" s="22"/>
      <c r="J244" s="157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 x14ac:dyDescent="0.45">
      <c r="A245" s="157"/>
      <c r="B245" s="157"/>
      <c r="C245" s="157"/>
      <c r="D245" s="22"/>
      <c r="E245" s="22"/>
      <c r="F245" s="22"/>
      <c r="G245" s="22"/>
      <c r="H245" s="22"/>
      <c r="I245" s="22"/>
      <c r="J245" s="157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 x14ac:dyDescent="0.45">
      <c r="A246" s="157"/>
      <c r="B246" s="157"/>
      <c r="C246" s="157"/>
      <c r="D246" s="22"/>
      <c r="E246" s="22"/>
      <c r="F246" s="22"/>
      <c r="G246" s="22"/>
      <c r="H246" s="22"/>
      <c r="I246" s="22"/>
      <c r="J246" s="157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 x14ac:dyDescent="0.45">
      <c r="A247" s="157"/>
      <c r="B247" s="157"/>
      <c r="C247" s="157"/>
      <c r="D247" s="22"/>
      <c r="E247" s="22"/>
      <c r="F247" s="22"/>
      <c r="G247" s="22"/>
      <c r="H247" s="22"/>
      <c r="I247" s="22"/>
      <c r="J247" s="157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 x14ac:dyDescent="0.45">
      <c r="A248" s="157"/>
      <c r="B248" s="157"/>
      <c r="C248" s="157"/>
      <c r="D248" s="22"/>
      <c r="E248" s="22"/>
      <c r="F248" s="22"/>
      <c r="G248" s="22"/>
      <c r="H248" s="22"/>
      <c r="I248" s="22"/>
      <c r="J248" s="157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 x14ac:dyDescent="0.45">
      <c r="A249" s="157"/>
      <c r="B249" s="157"/>
      <c r="C249" s="157"/>
      <c r="D249" s="22"/>
      <c r="E249" s="22"/>
      <c r="F249" s="22"/>
      <c r="G249" s="22"/>
      <c r="H249" s="22"/>
      <c r="I249" s="22"/>
      <c r="J249" s="157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 x14ac:dyDescent="0.45">
      <c r="A250" s="157"/>
      <c r="B250" s="157"/>
      <c r="C250" s="157"/>
      <c r="D250" s="22"/>
      <c r="E250" s="22"/>
      <c r="F250" s="22"/>
      <c r="G250" s="22"/>
      <c r="H250" s="22"/>
      <c r="I250" s="22"/>
      <c r="J250" s="157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 x14ac:dyDescent="0.45">
      <c r="A251" s="157"/>
      <c r="B251" s="157"/>
      <c r="C251" s="157"/>
      <c r="D251" s="22"/>
      <c r="E251" s="22"/>
      <c r="F251" s="22"/>
      <c r="G251" s="22"/>
      <c r="H251" s="22"/>
      <c r="I251" s="22"/>
      <c r="J251" s="157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 x14ac:dyDescent="0.45">
      <c r="A252" s="157"/>
      <c r="B252" s="157"/>
      <c r="C252" s="157"/>
      <c r="D252" s="22"/>
      <c r="E252" s="22"/>
      <c r="F252" s="22"/>
      <c r="G252" s="22"/>
      <c r="H252" s="22"/>
      <c r="I252" s="22"/>
      <c r="J252" s="157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 x14ac:dyDescent="0.45">
      <c r="A253" s="157"/>
      <c r="B253" s="157"/>
      <c r="C253" s="157"/>
      <c r="D253" s="22"/>
      <c r="E253" s="22"/>
      <c r="F253" s="22"/>
      <c r="G253" s="22"/>
      <c r="H253" s="22"/>
      <c r="I253" s="22"/>
      <c r="J253" s="157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 x14ac:dyDescent="0.45">
      <c r="A254" s="157"/>
      <c r="B254" s="157"/>
      <c r="C254" s="157"/>
      <c r="D254" s="22"/>
      <c r="E254" s="22"/>
      <c r="F254" s="22"/>
      <c r="G254" s="22"/>
      <c r="H254" s="22"/>
      <c r="I254" s="22"/>
      <c r="J254" s="157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 x14ac:dyDescent="0.45">
      <c r="A255" s="157"/>
      <c r="B255" s="157"/>
      <c r="C255" s="157"/>
      <c r="D255" s="22"/>
      <c r="E255" s="22"/>
      <c r="F255" s="22"/>
      <c r="G255" s="22"/>
      <c r="H255" s="22"/>
      <c r="I255" s="22"/>
      <c r="J255" s="157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 x14ac:dyDescent="0.45">
      <c r="A256" s="157"/>
      <c r="B256" s="157"/>
      <c r="C256" s="157"/>
      <c r="D256" s="22"/>
      <c r="E256" s="22"/>
      <c r="F256" s="22"/>
      <c r="G256" s="22"/>
      <c r="H256" s="22"/>
      <c r="I256" s="22"/>
      <c r="J256" s="157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 x14ac:dyDescent="0.45">
      <c r="A257" s="157"/>
      <c r="B257" s="157"/>
      <c r="C257" s="157"/>
      <c r="D257" s="22"/>
      <c r="E257" s="22"/>
      <c r="F257" s="22"/>
      <c r="G257" s="22"/>
      <c r="H257" s="22"/>
      <c r="I257" s="22"/>
      <c r="J257" s="157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 x14ac:dyDescent="0.45">
      <c r="A258" s="157"/>
      <c r="B258" s="157"/>
      <c r="C258" s="157"/>
      <c r="D258" s="22"/>
      <c r="E258" s="22"/>
      <c r="F258" s="22"/>
      <c r="G258" s="22"/>
      <c r="H258" s="22"/>
      <c r="I258" s="22"/>
      <c r="J258" s="157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 x14ac:dyDescent="0.45">
      <c r="A259" s="157"/>
      <c r="B259" s="157"/>
      <c r="C259" s="157"/>
      <c r="D259" s="22"/>
      <c r="E259" s="22"/>
      <c r="F259" s="22"/>
      <c r="G259" s="22"/>
      <c r="H259" s="22"/>
      <c r="I259" s="22"/>
      <c r="J259" s="157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 x14ac:dyDescent="0.45">
      <c r="A260" s="157"/>
      <c r="B260" s="157"/>
      <c r="C260" s="157"/>
      <c r="D260" s="22"/>
      <c r="E260" s="22"/>
      <c r="F260" s="22"/>
      <c r="G260" s="22"/>
      <c r="H260" s="22"/>
      <c r="I260" s="22"/>
      <c r="J260" s="157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 x14ac:dyDescent="0.45">
      <c r="A261" s="157"/>
      <c r="B261" s="157"/>
      <c r="C261" s="157"/>
      <c r="D261" s="22"/>
      <c r="E261" s="22"/>
      <c r="F261" s="22"/>
      <c r="G261" s="22"/>
      <c r="H261" s="22"/>
      <c r="I261" s="22"/>
      <c r="J261" s="157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 x14ac:dyDescent="0.45">
      <c r="A262" s="157"/>
      <c r="B262" s="157"/>
      <c r="C262" s="157"/>
      <c r="D262" s="22"/>
      <c r="E262" s="22"/>
      <c r="F262" s="22"/>
      <c r="G262" s="22"/>
      <c r="H262" s="22"/>
      <c r="I262" s="22"/>
      <c r="J262" s="157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 x14ac:dyDescent="0.45">
      <c r="A263" s="157"/>
      <c r="B263" s="157"/>
      <c r="C263" s="157"/>
      <c r="D263" s="22"/>
      <c r="E263" s="22"/>
      <c r="F263" s="22"/>
      <c r="G263" s="22"/>
      <c r="H263" s="22"/>
      <c r="I263" s="22"/>
      <c r="J263" s="157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 x14ac:dyDescent="0.45">
      <c r="A264" s="157"/>
      <c r="B264" s="157"/>
      <c r="C264" s="157"/>
      <c r="D264" s="22"/>
      <c r="E264" s="22"/>
      <c r="F264" s="22"/>
      <c r="G264" s="22"/>
      <c r="H264" s="22"/>
      <c r="I264" s="22"/>
      <c r="J264" s="157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 x14ac:dyDescent="0.45">
      <c r="A265" s="157"/>
      <c r="B265" s="157"/>
      <c r="C265" s="157"/>
      <c r="D265" s="22"/>
      <c r="E265" s="22"/>
      <c r="F265" s="22"/>
      <c r="G265" s="22"/>
      <c r="H265" s="22"/>
      <c r="I265" s="22"/>
      <c r="J265" s="157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 x14ac:dyDescent="0.45">
      <c r="A266" s="157"/>
      <c r="B266" s="157"/>
      <c r="C266" s="157"/>
      <c r="D266" s="22"/>
      <c r="E266" s="22"/>
      <c r="F266" s="22"/>
      <c r="G266" s="22"/>
      <c r="H266" s="22"/>
      <c r="I266" s="22"/>
      <c r="J266" s="157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 x14ac:dyDescent="0.45">
      <c r="A267" s="157"/>
      <c r="B267" s="157"/>
      <c r="C267" s="157"/>
      <c r="D267" s="22"/>
      <c r="E267" s="22"/>
      <c r="F267" s="22"/>
      <c r="G267" s="22"/>
      <c r="H267" s="22"/>
      <c r="I267" s="22"/>
      <c r="J267" s="157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 x14ac:dyDescent="0.45">
      <c r="A268" s="157"/>
      <c r="B268" s="157"/>
      <c r="C268" s="157"/>
      <c r="D268" s="22"/>
      <c r="E268" s="22"/>
      <c r="F268" s="22"/>
      <c r="G268" s="22"/>
      <c r="H268" s="22"/>
      <c r="I268" s="22"/>
      <c r="J268" s="157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 x14ac:dyDescent="0.45">
      <c r="A269" s="157"/>
      <c r="B269" s="157"/>
      <c r="C269" s="157"/>
      <c r="D269" s="22"/>
      <c r="E269" s="22"/>
      <c r="F269" s="22"/>
      <c r="G269" s="22"/>
      <c r="H269" s="22"/>
      <c r="I269" s="22"/>
      <c r="J269" s="157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 x14ac:dyDescent="0.45">
      <c r="A270" s="157"/>
      <c r="B270" s="157"/>
      <c r="C270" s="157"/>
      <c r="D270" s="22"/>
      <c r="E270" s="22"/>
      <c r="F270" s="22"/>
      <c r="G270" s="22"/>
      <c r="H270" s="22"/>
      <c r="I270" s="22"/>
      <c r="J270" s="157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 x14ac:dyDescent="0.45">
      <c r="A271" s="157"/>
      <c r="B271" s="157"/>
      <c r="C271" s="157"/>
      <c r="D271" s="22"/>
      <c r="E271" s="22"/>
      <c r="F271" s="22"/>
      <c r="G271" s="22"/>
      <c r="H271" s="22"/>
      <c r="I271" s="22"/>
      <c r="J271" s="157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 x14ac:dyDescent="0.4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 x14ac:dyDescent="0.4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 x14ac:dyDescent="0.4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 x14ac:dyDescent="0.4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 x14ac:dyDescent="0.4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 x14ac:dyDescent="0.4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 x14ac:dyDescent="0.4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 x14ac:dyDescent="0.4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 x14ac:dyDescent="0.4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 x14ac:dyDescent="0.4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 x14ac:dyDescent="0.4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 x14ac:dyDescent="0.4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 x14ac:dyDescent="0.4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 x14ac:dyDescent="0.4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 x14ac:dyDescent="0.4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 x14ac:dyDescent="0.4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 x14ac:dyDescent="0.4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 x14ac:dyDescent="0.4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 x14ac:dyDescent="0.4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 x14ac:dyDescent="0.4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 x14ac:dyDescent="0.4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 x14ac:dyDescent="0.4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 x14ac:dyDescent="0.4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 x14ac:dyDescent="0.4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 x14ac:dyDescent="0.4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 x14ac:dyDescent="0.4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 x14ac:dyDescent="0.4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 x14ac:dyDescent="0.4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 x14ac:dyDescent="0.4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 x14ac:dyDescent="0.4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 x14ac:dyDescent="0.4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 x14ac:dyDescent="0.4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 x14ac:dyDescent="0.4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 x14ac:dyDescent="0.4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 x14ac:dyDescent="0.4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 x14ac:dyDescent="0.4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 x14ac:dyDescent="0.4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 x14ac:dyDescent="0.4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 x14ac:dyDescent="0.4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 x14ac:dyDescent="0.4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 x14ac:dyDescent="0.4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 x14ac:dyDescent="0.4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 x14ac:dyDescent="0.4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 x14ac:dyDescent="0.4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 x14ac:dyDescent="0.4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 x14ac:dyDescent="0.4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 x14ac:dyDescent="0.4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 x14ac:dyDescent="0.4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 x14ac:dyDescent="0.4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 x14ac:dyDescent="0.4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 x14ac:dyDescent="0.4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 x14ac:dyDescent="0.4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 x14ac:dyDescent="0.4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 x14ac:dyDescent="0.4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 x14ac:dyDescent="0.4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 x14ac:dyDescent="0.4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 x14ac:dyDescent="0.4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 x14ac:dyDescent="0.4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 x14ac:dyDescent="0.4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 x14ac:dyDescent="0.4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 x14ac:dyDescent="0.4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 x14ac:dyDescent="0.4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 x14ac:dyDescent="0.4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 x14ac:dyDescent="0.4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 x14ac:dyDescent="0.4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 x14ac:dyDescent="0.4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 x14ac:dyDescent="0.4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 x14ac:dyDescent="0.4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 x14ac:dyDescent="0.4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 x14ac:dyDescent="0.4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 x14ac:dyDescent="0.4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 x14ac:dyDescent="0.4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 x14ac:dyDescent="0.4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 x14ac:dyDescent="0.4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 x14ac:dyDescent="0.4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 x14ac:dyDescent="0.4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 x14ac:dyDescent="0.4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 x14ac:dyDescent="0.4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 x14ac:dyDescent="0.4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 x14ac:dyDescent="0.4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 x14ac:dyDescent="0.4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 x14ac:dyDescent="0.4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 x14ac:dyDescent="0.4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 x14ac:dyDescent="0.4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 x14ac:dyDescent="0.4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 x14ac:dyDescent="0.4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 x14ac:dyDescent="0.4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 x14ac:dyDescent="0.4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 x14ac:dyDescent="0.4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 x14ac:dyDescent="0.4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 x14ac:dyDescent="0.4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 x14ac:dyDescent="0.4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 x14ac:dyDescent="0.4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 x14ac:dyDescent="0.4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 x14ac:dyDescent="0.4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 x14ac:dyDescent="0.4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 x14ac:dyDescent="0.4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 x14ac:dyDescent="0.4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 x14ac:dyDescent="0.4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 x14ac:dyDescent="0.4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 x14ac:dyDescent="0.4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 x14ac:dyDescent="0.4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 x14ac:dyDescent="0.4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 x14ac:dyDescent="0.4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 x14ac:dyDescent="0.4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 x14ac:dyDescent="0.4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 x14ac:dyDescent="0.4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 x14ac:dyDescent="0.4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 x14ac:dyDescent="0.4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 x14ac:dyDescent="0.4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 x14ac:dyDescent="0.4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 x14ac:dyDescent="0.4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 x14ac:dyDescent="0.4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 x14ac:dyDescent="0.4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 x14ac:dyDescent="0.4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 x14ac:dyDescent="0.4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 x14ac:dyDescent="0.4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 x14ac:dyDescent="0.4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 x14ac:dyDescent="0.4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 x14ac:dyDescent="0.4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 x14ac:dyDescent="0.4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 x14ac:dyDescent="0.4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 x14ac:dyDescent="0.4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 x14ac:dyDescent="0.4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 x14ac:dyDescent="0.4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 x14ac:dyDescent="0.4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 x14ac:dyDescent="0.4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 x14ac:dyDescent="0.4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 x14ac:dyDescent="0.4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 x14ac:dyDescent="0.4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 x14ac:dyDescent="0.4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 x14ac:dyDescent="0.4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 x14ac:dyDescent="0.4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 x14ac:dyDescent="0.4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 x14ac:dyDescent="0.4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 x14ac:dyDescent="0.4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 x14ac:dyDescent="0.4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 x14ac:dyDescent="0.4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 x14ac:dyDescent="0.4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 x14ac:dyDescent="0.4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 x14ac:dyDescent="0.4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 x14ac:dyDescent="0.4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 x14ac:dyDescent="0.4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 x14ac:dyDescent="0.4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 x14ac:dyDescent="0.4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 x14ac:dyDescent="0.4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 x14ac:dyDescent="0.4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 x14ac:dyDescent="0.4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 x14ac:dyDescent="0.4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 x14ac:dyDescent="0.4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 x14ac:dyDescent="0.4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 x14ac:dyDescent="0.4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 x14ac:dyDescent="0.4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 x14ac:dyDescent="0.4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 x14ac:dyDescent="0.4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 x14ac:dyDescent="0.4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 x14ac:dyDescent="0.4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 x14ac:dyDescent="0.4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 x14ac:dyDescent="0.4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 x14ac:dyDescent="0.4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 x14ac:dyDescent="0.4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 x14ac:dyDescent="0.4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 x14ac:dyDescent="0.4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 x14ac:dyDescent="0.4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 x14ac:dyDescent="0.4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 x14ac:dyDescent="0.4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 x14ac:dyDescent="0.4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 x14ac:dyDescent="0.4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 x14ac:dyDescent="0.4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 x14ac:dyDescent="0.4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 x14ac:dyDescent="0.4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 x14ac:dyDescent="0.4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 x14ac:dyDescent="0.4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 x14ac:dyDescent="0.4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 x14ac:dyDescent="0.4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 x14ac:dyDescent="0.4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 x14ac:dyDescent="0.4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 x14ac:dyDescent="0.4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 x14ac:dyDescent="0.4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 x14ac:dyDescent="0.4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 x14ac:dyDescent="0.4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 x14ac:dyDescent="0.4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 x14ac:dyDescent="0.4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 x14ac:dyDescent="0.4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 x14ac:dyDescent="0.4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 x14ac:dyDescent="0.4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 x14ac:dyDescent="0.4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 x14ac:dyDescent="0.4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 x14ac:dyDescent="0.4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 x14ac:dyDescent="0.4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 x14ac:dyDescent="0.4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 x14ac:dyDescent="0.4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 x14ac:dyDescent="0.4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 x14ac:dyDescent="0.4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 x14ac:dyDescent="0.4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 x14ac:dyDescent="0.4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 x14ac:dyDescent="0.4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 x14ac:dyDescent="0.4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 x14ac:dyDescent="0.4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 x14ac:dyDescent="0.4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 x14ac:dyDescent="0.4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 x14ac:dyDescent="0.4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 x14ac:dyDescent="0.4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 x14ac:dyDescent="0.4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 x14ac:dyDescent="0.4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 x14ac:dyDescent="0.4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 x14ac:dyDescent="0.4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 x14ac:dyDescent="0.4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 x14ac:dyDescent="0.4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 x14ac:dyDescent="0.4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 x14ac:dyDescent="0.4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 x14ac:dyDescent="0.4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 x14ac:dyDescent="0.4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 x14ac:dyDescent="0.4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 x14ac:dyDescent="0.4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 x14ac:dyDescent="0.4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 x14ac:dyDescent="0.4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 x14ac:dyDescent="0.4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 x14ac:dyDescent="0.4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 x14ac:dyDescent="0.4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 x14ac:dyDescent="0.4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 x14ac:dyDescent="0.4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 x14ac:dyDescent="0.4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 x14ac:dyDescent="0.4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 x14ac:dyDescent="0.4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 x14ac:dyDescent="0.4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 x14ac:dyDescent="0.4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 x14ac:dyDescent="0.4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 x14ac:dyDescent="0.4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 x14ac:dyDescent="0.4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 x14ac:dyDescent="0.4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 x14ac:dyDescent="0.4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 x14ac:dyDescent="0.4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 x14ac:dyDescent="0.4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 x14ac:dyDescent="0.4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 x14ac:dyDescent="0.4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 x14ac:dyDescent="0.4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 x14ac:dyDescent="0.4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 x14ac:dyDescent="0.4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 x14ac:dyDescent="0.4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 x14ac:dyDescent="0.4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 x14ac:dyDescent="0.4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 x14ac:dyDescent="0.4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 x14ac:dyDescent="0.4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 x14ac:dyDescent="0.4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 x14ac:dyDescent="0.4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 x14ac:dyDescent="0.4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 x14ac:dyDescent="0.4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 x14ac:dyDescent="0.4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 x14ac:dyDescent="0.4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 x14ac:dyDescent="0.4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 x14ac:dyDescent="0.4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 x14ac:dyDescent="0.4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 x14ac:dyDescent="0.4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 x14ac:dyDescent="0.4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 x14ac:dyDescent="0.4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 x14ac:dyDescent="0.4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 x14ac:dyDescent="0.4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 x14ac:dyDescent="0.4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 x14ac:dyDescent="0.4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 x14ac:dyDescent="0.4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 x14ac:dyDescent="0.4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 x14ac:dyDescent="0.4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 x14ac:dyDescent="0.4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 x14ac:dyDescent="0.4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 x14ac:dyDescent="0.4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 x14ac:dyDescent="0.4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 x14ac:dyDescent="0.4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 x14ac:dyDescent="0.4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 x14ac:dyDescent="0.4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 x14ac:dyDescent="0.4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 x14ac:dyDescent="0.4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 x14ac:dyDescent="0.4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 x14ac:dyDescent="0.4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 x14ac:dyDescent="0.4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 x14ac:dyDescent="0.4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 x14ac:dyDescent="0.4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 x14ac:dyDescent="0.4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 x14ac:dyDescent="0.4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 x14ac:dyDescent="0.4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 x14ac:dyDescent="0.4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 x14ac:dyDescent="0.4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 x14ac:dyDescent="0.4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 x14ac:dyDescent="0.4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 x14ac:dyDescent="0.4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 x14ac:dyDescent="0.4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 x14ac:dyDescent="0.4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 x14ac:dyDescent="0.4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 x14ac:dyDescent="0.4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 x14ac:dyDescent="0.4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 x14ac:dyDescent="0.4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 x14ac:dyDescent="0.4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 x14ac:dyDescent="0.4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 x14ac:dyDescent="0.4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 x14ac:dyDescent="0.4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 x14ac:dyDescent="0.4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 x14ac:dyDescent="0.4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 x14ac:dyDescent="0.4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 x14ac:dyDescent="0.4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 x14ac:dyDescent="0.4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 x14ac:dyDescent="0.4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 x14ac:dyDescent="0.4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 x14ac:dyDescent="0.4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 x14ac:dyDescent="0.4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 x14ac:dyDescent="0.4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 x14ac:dyDescent="0.4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 x14ac:dyDescent="0.4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 x14ac:dyDescent="0.4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 x14ac:dyDescent="0.4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 x14ac:dyDescent="0.4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 x14ac:dyDescent="0.4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 x14ac:dyDescent="0.4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 x14ac:dyDescent="0.4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 x14ac:dyDescent="0.4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 x14ac:dyDescent="0.4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 x14ac:dyDescent="0.4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 x14ac:dyDescent="0.4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 x14ac:dyDescent="0.4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 x14ac:dyDescent="0.4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 x14ac:dyDescent="0.4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 x14ac:dyDescent="0.4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 x14ac:dyDescent="0.4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 x14ac:dyDescent="0.4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 x14ac:dyDescent="0.4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 x14ac:dyDescent="0.4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 x14ac:dyDescent="0.4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 x14ac:dyDescent="0.4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 x14ac:dyDescent="0.4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 x14ac:dyDescent="0.4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 x14ac:dyDescent="0.4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 x14ac:dyDescent="0.4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 x14ac:dyDescent="0.4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 x14ac:dyDescent="0.4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 x14ac:dyDescent="0.4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 x14ac:dyDescent="0.4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 x14ac:dyDescent="0.4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 x14ac:dyDescent="0.4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 x14ac:dyDescent="0.4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 x14ac:dyDescent="0.4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 x14ac:dyDescent="0.4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 x14ac:dyDescent="0.4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 x14ac:dyDescent="0.4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 x14ac:dyDescent="0.4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 x14ac:dyDescent="0.4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 x14ac:dyDescent="0.4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 x14ac:dyDescent="0.4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 x14ac:dyDescent="0.4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 x14ac:dyDescent="0.4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 x14ac:dyDescent="0.4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 x14ac:dyDescent="0.4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 x14ac:dyDescent="0.4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 x14ac:dyDescent="0.4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 x14ac:dyDescent="0.4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 x14ac:dyDescent="0.4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 x14ac:dyDescent="0.4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 x14ac:dyDescent="0.4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 x14ac:dyDescent="0.4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 x14ac:dyDescent="0.4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 x14ac:dyDescent="0.4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 x14ac:dyDescent="0.4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 x14ac:dyDescent="0.4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 x14ac:dyDescent="0.4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 x14ac:dyDescent="0.4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 x14ac:dyDescent="0.4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 x14ac:dyDescent="0.4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 x14ac:dyDescent="0.4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 x14ac:dyDescent="0.4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 x14ac:dyDescent="0.4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 x14ac:dyDescent="0.4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 x14ac:dyDescent="0.4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 x14ac:dyDescent="0.4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 x14ac:dyDescent="0.4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 x14ac:dyDescent="0.4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 x14ac:dyDescent="0.4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 x14ac:dyDescent="0.4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 x14ac:dyDescent="0.4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 x14ac:dyDescent="0.4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 x14ac:dyDescent="0.4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 x14ac:dyDescent="0.4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 x14ac:dyDescent="0.4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 x14ac:dyDescent="0.4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 x14ac:dyDescent="0.4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 x14ac:dyDescent="0.4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 x14ac:dyDescent="0.4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 x14ac:dyDescent="0.4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 x14ac:dyDescent="0.4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 x14ac:dyDescent="0.4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 x14ac:dyDescent="0.4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 x14ac:dyDescent="0.4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 x14ac:dyDescent="0.4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 x14ac:dyDescent="0.4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 x14ac:dyDescent="0.4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 x14ac:dyDescent="0.4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 x14ac:dyDescent="0.4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 x14ac:dyDescent="0.4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 x14ac:dyDescent="0.4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 x14ac:dyDescent="0.4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 x14ac:dyDescent="0.4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 x14ac:dyDescent="0.4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 x14ac:dyDescent="0.4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 x14ac:dyDescent="0.4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 x14ac:dyDescent="0.4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 x14ac:dyDescent="0.4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 x14ac:dyDescent="0.4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 x14ac:dyDescent="0.4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 x14ac:dyDescent="0.4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 x14ac:dyDescent="0.4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 x14ac:dyDescent="0.4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 x14ac:dyDescent="0.4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 x14ac:dyDescent="0.4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 x14ac:dyDescent="0.4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 x14ac:dyDescent="0.4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 x14ac:dyDescent="0.4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 x14ac:dyDescent="0.4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 x14ac:dyDescent="0.4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 x14ac:dyDescent="0.4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 x14ac:dyDescent="0.4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 x14ac:dyDescent="0.4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 x14ac:dyDescent="0.4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 x14ac:dyDescent="0.4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 x14ac:dyDescent="0.4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 x14ac:dyDescent="0.4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 x14ac:dyDescent="0.4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 x14ac:dyDescent="0.4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 x14ac:dyDescent="0.4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 x14ac:dyDescent="0.4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 x14ac:dyDescent="0.4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 x14ac:dyDescent="0.4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 x14ac:dyDescent="0.4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 x14ac:dyDescent="0.4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 x14ac:dyDescent="0.4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 x14ac:dyDescent="0.4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 x14ac:dyDescent="0.4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 x14ac:dyDescent="0.4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 x14ac:dyDescent="0.4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 x14ac:dyDescent="0.4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 x14ac:dyDescent="0.4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 x14ac:dyDescent="0.4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 x14ac:dyDescent="0.4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 x14ac:dyDescent="0.4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 x14ac:dyDescent="0.4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 x14ac:dyDescent="0.4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 x14ac:dyDescent="0.4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 x14ac:dyDescent="0.4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 x14ac:dyDescent="0.4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 x14ac:dyDescent="0.4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 x14ac:dyDescent="0.4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 x14ac:dyDescent="0.4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 x14ac:dyDescent="0.4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 x14ac:dyDescent="0.4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 x14ac:dyDescent="0.4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 x14ac:dyDescent="0.4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 x14ac:dyDescent="0.4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 x14ac:dyDescent="0.4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 x14ac:dyDescent="0.4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 x14ac:dyDescent="0.4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 x14ac:dyDescent="0.4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 x14ac:dyDescent="0.4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 x14ac:dyDescent="0.4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 x14ac:dyDescent="0.4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 x14ac:dyDescent="0.4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 x14ac:dyDescent="0.4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 x14ac:dyDescent="0.4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 x14ac:dyDescent="0.4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 x14ac:dyDescent="0.4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 x14ac:dyDescent="0.4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 x14ac:dyDescent="0.4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 x14ac:dyDescent="0.4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 x14ac:dyDescent="0.4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 x14ac:dyDescent="0.4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 x14ac:dyDescent="0.4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 x14ac:dyDescent="0.4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 x14ac:dyDescent="0.4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 x14ac:dyDescent="0.4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 x14ac:dyDescent="0.4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 x14ac:dyDescent="0.4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 x14ac:dyDescent="0.4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 x14ac:dyDescent="0.4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 x14ac:dyDescent="0.4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 x14ac:dyDescent="0.4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 x14ac:dyDescent="0.4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 x14ac:dyDescent="0.4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 x14ac:dyDescent="0.4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 x14ac:dyDescent="0.4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 x14ac:dyDescent="0.4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 x14ac:dyDescent="0.4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 x14ac:dyDescent="0.4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 x14ac:dyDescent="0.4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 x14ac:dyDescent="0.4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 x14ac:dyDescent="0.4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 x14ac:dyDescent="0.4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 x14ac:dyDescent="0.4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 x14ac:dyDescent="0.4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 x14ac:dyDescent="0.4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 x14ac:dyDescent="0.4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 x14ac:dyDescent="0.4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 x14ac:dyDescent="0.4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 x14ac:dyDescent="0.4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 x14ac:dyDescent="0.4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 x14ac:dyDescent="0.4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 x14ac:dyDescent="0.4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 x14ac:dyDescent="0.4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 x14ac:dyDescent="0.4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 x14ac:dyDescent="0.4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 x14ac:dyDescent="0.4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 x14ac:dyDescent="0.4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 x14ac:dyDescent="0.4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 x14ac:dyDescent="0.4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 x14ac:dyDescent="0.4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 x14ac:dyDescent="0.4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 x14ac:dyDescent="0.4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 x14ac:dyDescent="0.4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 x14ac:dyDescent="0.4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 x14ac:dyDescent="0.4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 x14ac:dyDescent="0.4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 x14ac:dyDescent="0.4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 x14ac:dyDescent="0.4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 x14ac:dyDescent="0.4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 x14ac:dyDescent="0.4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 x14ac:dyDescent="0.4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 x14ac:dyDescent="0.4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 x14ac:dyDescent="0.4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 x14ac:dyDescent="0.4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 x14ac:dyDescent="0.4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 x14ac:dyDescent="0.4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 x14ac:dyDescent="0.4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 x14ac:dyDescent="0.4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 x14ac:dyDescent="0.4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 x14ac:dyDescent="0.4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 x14ac:dyDescent="0.4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 x14ac:dyDescent="0.4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 x14ac:dyDescent="0.4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 x14ac:dyDescent="0.4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 x14ac:dyDescent="0.4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 x14ac:dyDescent="0.4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 x14ac:dyDescent="0.4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 x14ac:dyDescent="0.4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 x14ac:dyDescent="0.4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 x14ac:dyDescent="0.4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 x14ac:dyDescent="0.4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 x14ac:dyDescent="0.4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 x14ac:dyDescent="0.4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 x14ac:dyDescent="0.4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 x14ac:dyDescent="0.4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 x14ac:dyDescent="0.4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 x14ac:dyDescent="0.4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 x14ac:dyDescent="0.4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 x14ac:dyDescent="0.4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 x14ac:dyDescent="0.4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 x14ac:dyDescent="0.4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 x14ac:dyDescent="0.4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 x14ac:dyDescent="0.4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 x14ac:dyDescent="0.4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 x14ac:dyDescent="0.4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 x14ac:dyDescent="0.4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 x14ac:dyDescent="0.4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 x14ac:dyDescent="0.4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 x14ac:dyDescent="0.4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 x14ac:dyDescent="0.4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 x14ac:dyDescent="0.4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 x14ac:dyDescent="0.4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 x14ac:dyDescent="0.4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 x14ac:dyDescent="0.4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 x14ac:dyDescent="0.4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 x14ac:dyDescent="0.4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 x14ac:dyDescent="0.4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 x14ac:dyDescent="0.4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 x14ac:dyDescent="0.4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 x14ac:dyDescent="0.4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 x14ac:dyDescent="0.4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 x14ac:dyDescent="0.4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 x14ac:dyDescent="0.4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 x14ac:dyDescent="0.4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 x14ac:dyDescent="0.4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 x14ac:dyDescent="0.4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 x14ac:dyDescent="0.4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 x14ac:dyDescent="0.4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 x14ac:dyDescent="0.4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 x14ac:dyDescent="0.4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 x14ac:dyDescent="0.4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 x14ac:dyDescent="0.4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 x14ac:dyDescent="0.4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 x14ac:dyDescent="0.4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 x14ac:dyDescent="0.4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 x14ac:dyDescent="0.4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 x14ac:dyDescent="0.4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 x14ac:dyDescent="0.4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 x14ac:dyDescent="0.4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 x14ac:dyDescent="0.4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 x14ac:dyDescent="0.4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 x14ac:dyDescent="0.4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 x14ac:dyDescent="0.4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 x14ac:dyDescent="0.4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 x14ac:dyDescent="0.4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 x14ac:dyDescent="0.4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 x14ac:dyDescent="0.4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 x14ac:dyDescent="0.4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 x14ac:dyDescent="0.4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 x14ac:dyDescent="0.4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 x14ac:dyDescent="0.4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 x14ac:dyDescent="0.4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 x14ac:dyDescent="0.4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 x14ac:dyDescent="0.4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 x14ac:dyDescent="0.4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 x14ac:dyDescent="0.4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 x14ac:dyDescent="0.4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 x14ac:dyDescent="0.4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 x14ac:dyDescent="0.4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 x14ac:dyDescent="0.4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 x14ac:dyDescent="0.4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 x14ac:dyDescent="0.4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 x14ac:dyDescent="0.4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 x14ac:dyDescent="0.4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 x14ac:dyDescent="0.4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 x14ac:dyDescent="0.4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 x14ac:dyDescent="0.4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 x14ac:dyDescent="0.4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 x14ac:dyDescent="0.4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 x14ac:dyDescent="0.4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 x14ac:dyDescent="0.4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 x14ac:dyDescent="0.4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 x14ac:dyDescent="0.4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 x14ac:dyDescent="0.4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 x14ac:dyDescent="0.4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 x14ac:dyDescent="0.4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 x14ac:dyDescent="0.4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 x14ac:dyDescent="0.4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 x14ac:dyDescent="0.4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 x14ac:dyDescent="0.4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 x14ac:dyDescent="0.4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 x14ac:dyDescent="0.4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 x14ac:dyDescent="0.4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 x14ac:dyDescent="0.4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 x14ac:dyDescent="0.4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 x14ac:dyDescent="0.4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 x14ac:dyDescent="0.4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 x14ac:dyDescent="0.4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 x14ac:dyDescent="0.4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 x14ac:dyDescent="0.4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 x14ac:dyDescent="0.4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 x14ac:dyDescent="0.4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 x14ac:dyDescent="0.4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 x14ac:dyDescent="0.4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 x14ac:dyDescent="0.4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 x14ac:dyDescent="0.4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 x14ac:dyDescent="0.4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 x14ac:dyDescent="0.4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 x14ac:dyDescent="0.4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 x14ac:dyDescent="0.4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 x14ac:dyDescent="0.4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 x14ac:dyDescent="0.4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 x14ac:dyDescent="0.4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 x14ac:dyDescent="0.4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 x14ac:dyDescent="0.4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 x14ac:dyDescent="0.4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 x14ac:dyDescent="0.4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 x14ac:dyDescent="0.4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 x14ac:dyDescent="0.4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 x14ac:dyDescent="0.4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 x14ac:dyDescent="0.4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 x14ac:dyDescent="0.4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 x14ac:dyDescent="0.4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 x14ac:dyDescent="0.4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 x14ac:dyDescent="0.4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 x14ac:dyDescent="0.4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 x14ac:dyDescent="0.4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 x14ac:dyDescent="0.4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 x14ac:dyDescent="0.4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 x14ac:dyDescent="0.4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 x14ac:dyDescent="0.4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 x14ac:dyDescent="0.4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 x14ac:dyDescent="0.4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 x14ac:dyDescent="0.4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 x14ac:dyDescent="0.4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 x14ac:dyDescent="0.4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 x14ac:dyDescent="0.4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 x14ac:dyDescent="0.4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 x14ac:dyDescent="0.4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 x14ac:dyDescent="0.4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 x14ac:dyDescent="0.4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 x14ac:dyDescent="0.4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 x14ac:dyDescent="0.4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 x14ac:dyDescent="0.4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 x14ac:dyDescent="0.4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 x14ac:dyDescent="0.4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 x14ac:dyDescent="0.4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 x14ac:dyDescent="0.4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 x14ac:dyDescent="0.4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 x14ac:dyDescent="0.4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 x14ac:dyDescent="0.4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 x14ac:dyDescent="0.4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 x14ac:dyDescent="0.4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 x14ac:dyDescent="0.4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 x14ac:dyDescent="0.4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 x14ac:dyDescent="0.4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 x14ac:dyDescent="0.4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 x14ac:dyDescent="0.4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 x14ac:dyDescent="0.4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 x14ac:dyDescent="0.4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 x14ac:dyDescent="0.4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 x14ac:dyDescent="0.4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 x14ac:dyDescent="0.4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 x14ac:dyDescent="0.4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 x14ac:dyDescent="0.4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 x14ac:dyDescent="0.4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 x14ac:dyDescent="0.4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 x14ac:dyDescent="0.4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 x14ac:dyDescent="0.4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 x14ac:dyDescent="0.4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 x14ac:dyDescent="0.4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 x14ac:dyDescent="0.4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 x14ac:dyDescent="0.4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 x14ac:dyDescent="0.4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 x14ac:dyDescent="0.4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 x14ac:dyDescent="0.4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 x14ac:dyDescent="0.4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 x14ac:dyDescent="0.4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 x14ac:dyDescent="0.4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 x14ac:dyDescent="0.4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 x14ac:dyDescent="0.4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 x14ac:dyDescent="0.4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 x14ac:dyDescent="0.4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 x14ac:dyDescent="0.4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 x14ac:dyDescent="0.4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 x14ac:dyDescent="0.4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 x14ac:dyDescent="0.4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 x14ac:dyDescent="0.4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 x14ac:dyDescent="0.4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 x14ac:dyDescent="0.4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4.3984375" defaultRowHeight="15" customHeight="1" x14ac:dyDescent="0.45"/>
  <cols>
    <col min="1" max="1" width="8.73046875" customWidth="1"/>
    <col min="2" max="2" width="18.1328125" customWidth="1"/>
    <col min="3" max="4" width="16.86328125" customWidth="1"/>
    <col min="5" max="5" width="18.53125" customWidth="1"/>
    <col min="6" max="6" width="12.53125" customWidth="1"/>
    <col min="7" max="7" width="18.53125" customWidth="1"/>
    <col min="8" max="8" width="21.73046875" customWidth="1"/>
    <col min="9" max="9" width="35.73046875" customWidth="1"/>
    <col min="10" max="26" width="8.73046875" customWidth="1"/>
  </cols>
  <sheetData>
    <row r="1" spans="2:15" ht="88.5" customHeight="1" x14ac:dyDescent="0.45">
      <c r="B1" s="9" t="s">
        <v>383</v>
      </c>
      <c r="C1" s="9" t="s">
        <v>384</v>
      </c>
      <c r="D1" s="9" t="s">
        <v>385</v>
      </c>
      <c r="E1" s="9" t="s">
        <v>386</v>
      </c>
      <c r="F1" s="190"/>
      <c r="G1" s="9" t="s">
        <v>387</v>
      </c>
      <c r="H1" s="190" t="s">
        <v>388</v>
      </c>
      <c r="I1" s="190" t="s">
        <v>389</v>
      </c>
      <c r="J1" s="157"/>
      <c r="K1" s="157"/>
      <c r="L1" s="157"/>
      <c r="M1" s="157"/>
      <c r="N1" s="157"/>
      <c r="O1" s="157"/>
    </row>
    <row r="2" spans="2:15" ht="14.25" x14ac:dyDescent="0.45">
      <c r="B2" s="190">
        <v>30</v>
      </c>
      <c r="C2" s="64">
        <v>30</v>
      </c>
      <c r="D2" s="64">
        <v>45</v>
      </c>
      <c r="E2" s="64">
        <v>20</v>
      </c>
      <c r="F2" s="64">
        <f t="shared" ref="F2:F31" si="0">SUM(B2:E2)</f>
        <v>125</v>
      </c>
      <c r="G2" s="495" t="s">
        <v>390</v>
      </c>
      <c r="H2" s="64" t="s">
        <v>391</v>
      </c>
      <c r="I2" s="64" t="s">
        <v>108</v>
      </c>
      <c r="J2" s="157"/>
      <c r="K2" s="157"/>
      <c r="L2" s="157"/>
      <c r="M2" s="157"/>
      <c r="N2" s="157"/>
      <c r="O2" s="157"/>
    </row>
    <row r="3" spans="2:15" ht="14.25" x14ac:dyDescent="0.45">
      <c r="B3" s="190">
        <v>40</v>
      </c>
      <c r="C3" s="64">
        <v>10</v>
      </c>
      <c r="D3" s="64">
        <v>25</v>
      </c>
      <c r="E3" s="64">
        <v>25</v>
      </c>
      <c r="F3" s="64">
        <f t="shared" si="0"/>
        <v>100</v>
      </c>
      <c r="G3" s="495" t="s">
        <v>392</v>
      </c>
      <c r="H3" s="64" t="s">
        <v>393</v>
      </c>
      <c r="I3" s="64" t="s">
        <v>73</v>
      </c>
      <c r="J3" s="157"/>
      <c r="K3" s="157"/>
      <c r="L3" s="157"/>
      <c r="M3" s="157"/>
      <c r="N3" s="157"/>
      <c r="O3" s="157"/>
    </row>
    <row r="4" spans="2:15" ht="14.25" x14ac:dyDescent="0.45">
      <c r="B4" s="190">
        <v>10</v>
      </c>
      <c r="C4" s="64">
        <v>10</v>
      </c>
      <c r="D4" s="64">
        <v>40</v>
      </c>
      <c r="E4" s="64">
        <v>40</v>
      </c>
      <c r="F4" s="64">
        <f t="shared" si="0"/>
        <v>100</v>
      </c>
      <c r="G4" s="495" t="s">
        <v>392</v>
      </c>
      <c r="H4" s="64" t="s">
        <v>394</v>
      </c>
      <c r="I4" s="64" t="s">
        <v>395</v>
      </c>
      <c r="J4" s="157"/>
      <c r="K4" s="157"/>
      <c r="L4" s="157"/>
      <c r="M4" s="157"/>
      <c r="N4" s="157"/>
      <c r="O4" s="157"/>
    </row>
    <row r="5" spans="2:15" ht="14.25" x14ac:dyDescent="0.45">
      <c r="B5" s="190">
        <v>25</v>
      </c>
      <c r="C5" s="64">
        <v>25</v>
      </c>
      <c r="D5" s="64">
        <v>25</v>
      </c>
      <c r="E5" s="64">
        <v>25</v>
      </c>
      <c r="F5" s="64">
        <f t="shared" si="0"/>
        <v>100</v>
      </c>
      <c r="G5" s="495" t="s">
        <v>396</v>
      </c>
      <c r="H5" s="64" t="s">
        <v>397</v>
      </c>
      <c r="I5" s="64" t="s">
        <v>398</v>
      </c>
      <c r="J5" s="157"/>
      <c r="K5" s="157"/>
      <c r="L5" s="157"/>
      <c r="M5" s="157"/>
      <c r="N5" s="157"/>
      <c r="O5" s="157"/>
    </row>
    <row r="6" spans="2:15" ht="14.25" x14ac:dyDescent="0.45">
      <c r="B6" s="190">
        <v>30</v>
      </c>
      <c r="C6" s="64">
        <v>30</v>
      </c>
      <c r="D6" s="64">
        <v>25</v>
      </c>
      <c r="E6" s="64">
        <v>15</v>
      </c>
      <c r="F6" s="64">
        <f t="shared" si="0"/>
        <v>100</v>
      </c>
      <c r="G6" s="495" t="s">
        <v>392</v>
      </c>
      <c r="H6" s="64" t="s">
        <v>399</v>
      </c>
      <c r="I6" s="64" t="s">
        <v>90</v>
      </c>
      <c r="J6" s="157"/>
      <c r="K6" s="157"/>
      <c r="L6" s="157"/>
      <c r="M6" s="157"/>
      <c r="N6" s="157"/>
      <c r="O6" s="157"/>
    </row>
    <row r="7" spans="2:15" ht="14.25" x14ac:dyDescent="0.45">
      <c r="B7" s="190">
        <v>13</v>
      </c>
      <c r="C7" s="64">
        <v>12</v>
      </c>
      <c r="D7" s="64">
        <v>25</v>
      </c>
      <c r="E7" s="64">
        <v>50</v>
      </c>
      <c r="F7" s="64">
        <f t="shared" si="0"/>
        <v>100</v>
      </c>
      <c r="G7" s="496" t="s">
        <v>390</v>
      </c>
      <c r="H7" s="64" t="s">
        <v>400</v>
      </c>
      <c r="I7" s="64" t="s">
        <v>144</v>
      </c>
      <c r="J7" s="157"/>
      <c r="K7" s="157"/>
      <c r="L7" s="157"/>
      <c r="M7" s="157"/>
      <c r="N7" s="157"/>
      <c r="O7" s="157"/>
    </row>
    <row r="8" spans="2:15" ht="14.25" x14ac:dyDescent="0.45">
      <c r="B8" s="190">
        <v>25</v>
      </c>
      <c r="C8" s="64">
        <v>50</v>
      </c>
      <c r="D8" s="497">
        <v>0</v>
      </c>
      <c r="E8" s="64">
        <v>25</v>
      </c>
      <c r="F8" s="64">
        <f t="shared" si="0"/>
        <v>100</v>
      </c>
      <c r="G8" s="495" t="s">
        <v>396</v>
      </c>
      <c r="H8" s="64" t="s">
        <v>401</v>
      </c>
      <c r="I8" s="64" t="s">
        <v>381</v>
      </c>
      <c r="J8" s="157"/>
      <c r="K8" s="157"/>
      <c r="L8" s="157"/>
      <c r="M8" s="157"/>
      <c r="N8" s="157"/>
      <c r="O8" s="157"/>
    </row>
    <row r="9" spans="2:15" ht="14.25" x14ac:dyDescent="0.45">
      <c r="B9" s="190">
        <v>25</v>
      </c>
      <c r="C9" s="64">
        <v>25</v>
      </c>
      <c r="D9" s="64">
        <v>25</v>
      </c>
      <c r="E9" s="64">
        <v>25</v>
      </c>
      <c r="F9" s="64">
        <f t="shared" si="0"/>
        <v>100</v>
      </c>
      <c r="G9" s="495" t="s">
        <v>390</v>
      </c>
      <c r="H9" s="64" t="s">
        <v>402</v>
      </c>
      <c r="I9" s="64" t="s">
        <v>403</v>
      </c>
      <c r="J9" s="157"/>
      <c r="K9" s="157"/>
      <c r="L9" s="157"/>
      <c r="M9" s="157"/>
      <c r="N9" s="157"/>
      <c r="O9" s="157"/>
    </row>
    <row r="10" spans="2:15" ht="14.25" x14ac:dyDescent="0.45">
      <c r="B10" s="190">
        <v>3</v>
      </c>
      <c r="C10" s="64">
        <v>1</v>
      </c>
      <c r="D10" s="64">
        <v>5</v>
      </c>
      <c r="E10" s="64">
        <v>50</v>
      </c>
      <c r="F10" s="64">
        <f t="shared" si="0"/>
        <v>59</v>
      </c>
      <c r="G10" s="495" t="s">
        <v>392</v>
      </c>
      <c r="H10" s="64" t="s">
        <v>404</v>
      </c>
      <c r="I10" s="64" t="s">
        <v>99</v>
      </c>
      <c r="J10" s="157"/>
      <c r="K10" s="157"/>
      <c r="L10" s="157"/>
      <c r="M10" s="157"/>
      <c r="N10" s="157"/>
      <c r="O10" s="157"/>
    </row>
    <row r="11" spans="2:15" ht="14.25" x14ac:dyDescent="0.45">
      <c r="B11" s="190">
        <v>100</v>
      </c>
      <c r="C11" s="497">
        <v>0</v>
      </c>
      <c r="D11" s="497">
        <v>0</v>
      </c>
      <c r="E11" s="497">
        <v>0</v>
      </c>
      <c r="F11" s="64">
        <f t="shared" si="0"/>
        <v>100</v>
      </c>
      <c r="G11" s="495" t="s">
        <v>396</v>
      </c>
      <c r="H11" s="64" t="s">
        <v>405</v>
      </c>
      <c r="I11" s="64" t="s">
        <v>140</v>
      </c>
      <c r="J11" s="157"/>
      <c r="K11" s="157"/>
      <c r="L11" s="157"/>
      <c r="M11" s="157"/>
      <c r="N11" s="157"/>
      <c r="O11" s="157"/>
    </row>
    <row r="12" spans="2:15" ht="14.25" x14ac:dyDescent="0.45">
      <c r="B12" s="190">
        <v>50</v>
      </c>
      <c r="C12" s="497">
        <v>0</v>
      </c>
      <c r="D12" s="497">
        <v>0</v>
      </c>
      <c r="E12" s="64">
        <v>50</v>
      </c>
      <c r="F12" s="64">
        <f t="shared" si="0"/>
        <v>100</v>
      </c>
      <c r="G12" s="495" t="s">
        <v>390</v>
      </c>
      <c r="H12" s="64" t="s">
        <v>406</v>
      </c>
      <c r="I12" s="64" t="s">
        <v>407</v>
      </c>
      <c r="J12" s="157"/>
      <c r="K12" s="157"/>
      <c r="L12" s="157"/>
      <c r="M12" s="157"/>
      <c r="N12" s="157"/>
      <c r="O12" s="157"/>
    </row>
    <row r="13" spans="2:15" ht="14.25" x14ac:dyDescent="0.45">
      <c r="B13" s="190">
        <v>5</v>
      </c>
      <c r="C13" s="64">
        <v>10</v>
      </c>
      <c r="D13" s="64">
        <v>20</v>
      </c>
      <c r="E13" s="64">
        <v>20</v>
      </c>
      <c r="F13" s="64">
        <f t="shared" si="0"/>
        <v>55</v>
      </c>
      <c r="G13" s="495" t="s">
        <v>396</v>
      </c>
      <c r="J13" s="157"/>
      <c r="K13" s="157"/>
      <c r="L13" s="157"/>
      <c r="M13" s="157"/>
      <c r="N13" s="157"/>
      <c r="O13" s="157"/>
    </row>
    <row r="14" spans="2:15" ht="14.25" x14ac:dyDescent="0.45">
      <c r="B14" s="498">
        <v>0</v>
      </c>
      <c r="C14" s="497">
        <v>0</v>
      </c>
      <c r="D14" s="497">
        <v>0</v>
      </c>
      <c r="E14" s="64">
        <v>25</v>
      </c>
      <c r="F14" s="64">
        <f t="shared" si="0"/>
        <v>25</v>
      </c>
      <c r="G14" s="495" t="s">
        <v>396</v>
      </c>
      <c r="H14" s="64" t="s">
        <v>408</v>
      </c>
      <c r="I14" s="64" t="s">
        <v>372</v>
      </c>
      <c r="J14" s="157"/>
      <c r="K14" s="157"/>
      <c r="L14" s="157"/>
      <c r="M14" s="157"/>
      <c r="N14" s="157"/>
      <c r="O14" s="157"/>
    </row>
    <row r="15" spans="2:15" ht="14.25" x14ac:dyDescent="0.45">
      <c r="B15" s="498">
        <v>0</v>
      </c>
      <c r="C15" s="64">
        <v>85</v>
      </c>
      <c r="D15" s="497">
        <v>0</v>
      </c>
      <c r="E15" s="64">
        <v>15</v>
      </c>
      <c r="F15" s="64">
        <f t="shared" si="0"/>
        <v>100</v>
      </c>
      <c r="G15" s="495" t="s">
        <v>396</v>
      </c>
      <c r="H15" s="64" t="s">
        <v>409</v>
      </c>
      <c r="I15" s="64" t="s">
        <v>410</v>
      </c>
      <c r="J15" s="157"/>
      <c r="K15" s="157"/>
      <c r="L15" s="157"/>
      <c r="M15" s="157"/>
      <c r="N15" s="157"/>
      <c r="O15" s="157"/>
    </row>
    <row r="16" spans="2:15" ht="14.25" x14ac:dyDescent="0.45">
      <c r="B16" s="498">
        <v>0</v>
      </c>
      <c r="C16" s="64">
        <v>10</v>
      </c>
      <c r="D16" s="64">
        <v>50</v>
      </c>
      <c r="E16" s="64">
        <v>40</v>
      </c>
      <c r="F16" s="64">
        <f t="shared" si="0"/>
        <v>100</v>
      </c>
      <c r="G16" s="495" t="s">
        <v>390</v>
      </c>
      <c r="H16" s="64" t="s">
        <v>411</v>
      </c>
      <c r="I16" s="64" t="s">
        <v>373</v>
      </c>
      <c r="J16" s="157"/>
      <c r="K16" s="157"/>
      <c r="L16" s="157"/>
      <c r="M16" s="157"/>
      <c r="N16" s="157"/>
      <c r="O16" s="157"/>
    </row>
    <row r="17" spans="2:15" ht="14.25" x14ac:dyDescent="0.45">
      <c r="B17" s="190">
        <v>50</v>
      </c>
      <c r="C17" s="64">
        <v>25</v>
      </c>
      <c r="D17" s="64">
        <v>25</v>
      </c>
      <c r="E17" s="64">
        <v>25</v>
      </c>
      <c r="F17" s="64">
        <f t="shared" si="0"/>
        <v>125</v>
      </c>
      <c r="G17" s="495" t="s">
        <v>392</v>
      </c>
      <c r="H17" s="64" t="s">
        <v>412</v>
      </c>
      <c r="I17" s="64" t="s">
        <v>413</v>
      </c>
      <c r="J17" s="157"/>
      <c r="K17" s="157"/>
      <c r="L17" s="157"/>
      <c r="M17" s="157"/>
      <c r="N17" s="157"/>
      <c r="O17" s="157"/>
    </row>
    <row r="18" spans="2:15" ht="14.25" x14ac:dyDescent="0.45">
      <c r="B18" s="190">
        <v>90</v>
      </c>
      <c r="C18" s="497">
        <v>5</v>
      </c>
      <c r="D18" s="497">
        <v>5</v>
      </c>
      <c r="E18" s="497">
        <v>0</v>
      </c>
      <c r="F18" s="64">
        <f t="shared" si="0"/>
        <v>100</v>
      </c>
      <c r="G18" s="495" t="s">
        <v>390</v>
      </c>
      <c r="H18" s="64" t="s">
        <v>414</v>
      </c>
      <c r="I18" s="64" t="s">
        <v>415</v>
      </c>
      <c r="J18" s="157"/>
      <c r="K18" s="157"/>
      <c r="L18" s="157"/>
      <c r="M18" s="157"/>
      <c r="N18" s="157"/>
      <c r="O18" s="157"/>
    </row>
    <row r="19" spans="2:15" ht="14.25" x14ac:dyDescent="0.45">
      <c r="B19" s="190">
        <v>15</v>
      </c>
      <c r="C19" s="64">
        <v>40</v>
      </c>
      <c r="D19" s="64">
        <v>40</v>
      </c>
      <c r="E19" s="497">
        <v>5</v>
      </c>
      <c r="F19" s="64">
        <f t="shared" si="0"/>
        <v>100</v>
      </c>
      <c r="G19" s="495" t="s">
        <v>392</v>
      </c>
      <c r="H19" s="64" t="s">
        <v>416</v>
      </c>
      <c r="I19" s="64" t="s">
        <v>65</v>
      </c>
      <c r="J19" s="157"/>
      <c r="K19" s="157"/>
      <c r="L19" s="157"/>
      <c r="M19" s="157"/>
      <c r="N19" s="157"/>
      <c r="O19" s="157"/>
    </row>
    <row r="20" spans="2:15" ht="14.25" x14ac:dyDescent="0.45">
      <c r="B20" s="190">
        <v>5</v>
      </c>
      <c r="C20" s="64">
        <v>33</v>
      </c>
      <c r="D20" s="497">
        <v>0</v>
      </c>
      <c r="E20" s="64">
        <v>10</v>
      </c>
      <c r="F20" s="64">
        <f t="shared" si="0"/>
        <v>48</v>
      </c>
      <c r="G20" s="495" t="s">
        <v>396</v>
      </c>
      <c r="J20" s="157"/>
      <c r="K20" s="157"/>
      <c r="L20" s="157"/>
      <c r="M20" s="157"/>
      <c r="N20" s="157"/>
      <c r="O20" s="157"/>
    </row>
    <row r="21" spans="2:15" ht="15.75" customHeight="1" x14ac:dyDescent="0.45">
      <c r="B21" s="190">
        <v>25</v>
      </c>
      <c r="C21" s="64">
        <v>15</v>
      </c>
      <c r="D21" s="64">
        <v>50</v>
      </c>
      <c r="E21" s="64">
        <v>10</v>
      </c>
      <c r="F21" s="64">
        <f t="shared" si="0"/>
        <v>100</v>
      </c>
      <c r="G21" s="495" t="s">
        <v>390</v>
      </c>
      <c r="H21" s="64" t="s">
        <v>417</v>
      </c>
      <c r="I21" s="64" t="s">
        <v>97</v>
      </c>
      <c r="J21" s="157"/>
      <c r="K21" s="157"/>
      <c r="L21" s="157"/>
      <c r="M21" s="157"/>
      <c r="N21" s="157"/>
      <c r="O21" s="157"/>
    </row>
    <row r="22" spans="2:15" ht="15.75" customHeight="1" x14ac:dyDescent="0.45">
      <c r="B22" s="190">
        <v>30</v>
      </c>
      <c r="C22" s="64">
        <v>30</v>
      </c>
      <c r="D22" s="64">
        <v>30</v>
      </c>
      <c r="E22" s="64">
        <v>10</v>
      </c>
      <c r="F22" s="64">
        <f t="shared" si="0"/>
        <v>100</v>
      </c>
      <c r="G22" s="495" t="s">
        <v>390</v>
      </c>
      <c r="H22" s="64" t="s">
        <v>418</v>
      </c>
      <c r="I22" s="64" t="s">
        <v>110</v>
      </c>
      <c r="J22" s="157"/>
      <c r="K22" s="157"/>
      <c r="L22" s="157"/>
      <c r="M22" s="157"/>
      <c r="N22" s="157"/>
      <c r="O22" s="157"/>
    </row>
    <row r="23" spans="2:15" ht="15.75" customHeight="1" x14ac:dyDescent="0.45">
      <c r="B23" s="190">
        <v>25</v>
      </c>
      <c r="C23" s="64">
        <v>10</v>
      </c>
      <c r="D23" s="64">
        <v>50</v>
      </c>
      <c r="E23" s="64">
        <v>15</v>
      </c>
      <c r="F23" s="64">
        <f t="shared" si="0"/>
        <v>100</v>
      </c>
      <c r="G23" s="495" t="s">
        <v>390</v>
      </c>
      <c r="H23" s="64" t="s">
        <v>419</v>
      </c>
      <c r="I23" s="64" t="s">
        <v>93</v>
      </c>
      <c r="J23" s="157"/>
      <c r="K23" s="157"/>
      <c r="L23" s="157"/>
      <c r="M23" s="157"/>
      <c r="N23" s="157"/>
      <c r="O23" s="157"/>
    </row>
    <row r="24" spans="2:15" ht="15.75" customHeight="1" x14ac:dyDescent="0.45">
      <c r="B24" s="190">
        <v>25</v>
      </c>
      <c r="C24" s="64">
        <v>25</v>
      </c>
      <c r="D24" s="64">
        <v>25</v>
      </c>
      <c r="E24" s="64">
        <v>25</v>
      </c>
      <c r="F24" s="64">
        <f t="shared" si="0"/>
        <v>100</v>
      </c>
      <c r="G24" s="495" t="s">
        <v>390</v>
      </c>
      <c r="H24" s="64" t="s">
        <v>420</v>
      </c>
      <c r="I24" s="64" t="s">
        <v>368</v>
      </c>
      <c r="J24" s="157"/>
      <c r="K24" s="157"/>
      <c r="L24" s="157"/>
      <c r="M24" s="157"/>
      <c r="N24" s="157"/>
      <c r="O24" s="157"/>
    </row>
    <row r="25" spans="2:15" ht="15.75" customHeight="1" x14ac:dyDescent="0.45">
      <c r="B25" s="190">
        <v>25</v>
      </c>
      <c r="C25" s="64">
        <v>25</v>
      </c>
      <c r="D25" s="64">
        <v>25</v>
      </c>
      <c r="E25" s="64">
        <v>25</v>
      </c>
      <c r="F25" s="64">
        <f t="shared" si="0"/>
        <v>100</v>
      </c>
      <c r="G25" s="495" t="s">
        <v>390</v>
      </c>
      <c r="H25" s="64" t="s">
        <v>421</v>
      </c>
      <c r="I25" s="64" t="s">
        <v>422</v>
      </c>
      <c r="J25" s="157"/>
      <c r="K25" s="157"/>
      <c r="L25" s="157"/>
      <c r="M25" s="157"/>
      <c r="N25" s="157"/>
      <c r="O25" s="157"/>
    </row>
    <row r="26" spans="2:15" ht="15.75" customHeight="1" x14ac:dyDescent="0.45">
      <c r="B26" s="190">
        <v>75</v>
      </c>
      <c r="C26" s="64">
        <v>45</v>
      </c>
      <c r="D26" s="64">
        <v>48</v>
      </c>
      <c r="E26" s="64">
        <v>100</v>
      </c>
      <c r="F26" s="64">
        <f t="shared" si="0"/>
        <v>268</v>
      </c>
      <c r="G26" s="495" t="s">
        <v>392</v>
      </c>
      <c r="H26" s="64" t="s">
        <v>423</v>
      </c>
      <c r="I26" s="64" t="s">
        <v>177</v>
      </c>
      <c r="J26" s="157"/>
      <c r="K26" s="157"/>
      <c r="L26" s="157"/>
      <c r="M26" s="157"/>
      <c r="N26" s="157"/>
      <c r="O26" s="157"/>
    </row>
    <row r="27" spans="2:15" ht="15.75" customHeight="1" x14ac:dyDescent="0.45">
      <c r="B27" s="190">
        <v>25</v>
      </c>
      <c r="C27" s="64">
        <v>10</v>
      </c>
      <c r="D27" s="64">
        <v>30</v>
      </c>
      <c r="E27" s="64">
        <v>35</v>
      </c>
      <c r="F27" s="64">
        <f t="shared" si="0"/>
        <v>100</v>
      </c>
      <c r="G27" s="495" t="s">
        <v>392</v>
      </c>
      <c r="H27" s="64" t="s">
        <v>424</v>
      </c>
      <c r="I27" s="64" t="s">
        <v>133</v>
      </c>
      <c r="J27" s="157"/>
      <c r="K27" s="157"/>
      <c r="L27" s="157"/>
      <c r="M27" s="157"/>
      <c r="N27" s="157"/>
      <c r="O27" s="157"/>
    </row>
    <row r="28" spans="2:15" ht="15.75" customHeight="1" x14ac:dyDescent="0.45">
      <c r="B28" s="190">
        <v>30</v>
      </c>
      <c r="C28" s="64">
        <v>30</v>
      </c>
      <c r="D28" s="64">
        <v>10</v>
      </c>
      <c r="E28" s="64">
        <v>30</v>
      </c>
      <c r="F28" s="64">
        <f t="shared" si="0"/>
        <v>100</v>
      </c>
      <c r="G28" s="495" t="s">
        <v>390</v>
      </c>
      <c r="H28" s="64" t="s">
        <v>425</v>
      </c>
      <c r="I28" s="64" t="s">
        <v>426</v>
      </c>
      <c r="J28" s="157"/>
      <c r="K28" s="157"/>
      <c r="L28" s="157"/>
      <c r="M28" s="157"/>
      <c r="N28" s="157"/>
      <c r="O28" s="157"/>
    </row>
    <row r="29" spans="2:15" ht="15.75" customHeight="1" x14ac:dyDescent="0.45">
      <c r="B29" s="190">
        <v>35</v>
      </c>
      <c r="C29" s="64">
        <v>15</v>
      </c>
      <c r="D29" s="64">
        <v>35</v>
      </c>
      <c r="E29" s="64">
        <v>15</v>
      </c>
      <c r="F29" s="64">
        <f t="shared" si="0"/>
        <v>100</v>
      </c>
      <c r="G29" s="495" t="s">
        <v>392</v>
      </c>
      <c r="H29" s="64" t="s">
        <v>427</v>
      </c>
      <c r="I29" s="64" t="s">
        <v>415</v>
      </c>
      <c r="J29" s="157"/>
      <c r="K29" s="157"/>
      <c r="L29" s="157"/>
      <c r="M29" s="157"/>
      <c r="N29" s="157"/>
      <c r="O29" s="157"/>
    </row>
    <row r="30" spans="2:15" ht="15.75" customHeight="1" x14ac:dyDescent="0.45">
      <c r="B30" s="190">
        <v>30</v>
      </c>
      <c r="C30" s="64">
        <v>15</v>
      </c>
      <c r="D30" s="64">
        <v>10</v>
      </c>
      <c r="E30" s="64">
        <v>35</v>
      </c>
      <c r="F30" s="64">
        <f t="shared" si="0"/>
        <v>90</v>
      </c>
      <c r="G30" s="495" t="s">
        <v>390</v>
      </c>
      <c r="H30" s="64" t="s">
        <v>428</v>
      </c>
      <c r="I30" s="64" t="s">
        <v>165</v>
      </c>
      <c r="J30" s="157"/>
      <c r="K30" s="157"/>
      <c r="L30" s="157"/>
      <c r="M30" s="157"/>
      <c r="N30" s="157"/>
      <c r="O30" s="157"/>
    </row>
    <row r="31" spans="2:15" ht="15.75" customHeight="1" x14ac:dyDescent="0.45">
      <c r="B31" s="190">
        <v>20</v>
      </c>
      <c r="C31" s="64">
        <v>30</v>
      </c>
      <c r="D31" s="64">
        <v>35</v>
      </c>
      <c r="E31" s="64">
        <v>15</v>
      </c>
      <c r="F31" s="64">
        <f t="shared" si="0"/>
        <v>100</v>
      </c>
      <c r="G31" s="495" t="s">
        <v>390</v>
      </c>
      <c r="H31" s="64" t="s">
        <v>429</v>
      </c>
      <c r="I31" s="64" t="s">
        <v>357</v>
      </c>
      <c r="J31" s="157"/>
      <c r="K31" s="157"/>
      <c r="L31" s="157"/>
      <c r="M31" s="157"/>
      <c r="N31" s="157"/>
      <c r="O31" s="157"/>
    </row>
    <row r="32" spans="2:15" ht="15.75" customHeight="1" x14ac:dyDescent="0.45">
      <c r="B32" s="190"/>
      <c r="J32" s="157"/>
      <c r="K32" s="157"/>
      <c r="L32" s="157"/>
      <c r="M32" s="157"/>
      <c r="N32" s="157"/>
      <c r="O32" s="157"/>
    </row>
    <row r="33" spans="1:15" ht="15.75" customHeight="1" x14ac:dyDescent="0.45">
      <c r="B33" s="190"/>
      <c r="J33" s="157"/>
      <c r="K33" s="157"/>
      <c r="L33" s="157"/>
      <c r="M33" s="157"/>
      <c r="N33" s="157"/>
      <c r="O33" s="157"/>
    </row>
    <row r="34" spans="1:15" ht="15.75" customHeight="1" x14ac:dyDescent="0.45">
      <c r="A34" s="499" t="s">
        <v>430</v>
      </c>
      <c r="B34" s="499">
        <f t="shared" ref="B34:E34" si="1">MEDIAN(B2:B31)</f>
        <v>25</v>
      </c>
      <c r="C34" s="499">
        <f t="shared" si="1"/>
        <v>20</v>
      </c>
      <c r="D34" s="499">
        <f t="shared" si="1"/>
        <v>25</v>
      </c>
      <c r="E34" s="499">
        <f t="shared" si="1"/>
        <v>25</v>
      </c>
      <c r="F34" s="83" t="s">
        <v>431</v>
      </c>
      <c r="G34" s="500">
        <f>COUNTIF(G2:G31,"yes")</f>
        <v>14</v>
      </c>
      <c r="J34" s="157"/>
      <c r="K34" s="157"/>
      <c r="L34" s="157"/>
      <c r="M34" s="157"/>
      <c r="N34" s="157"/>
      <c r="O34" s="157"/>
    </row>
    <row r="35" spans="1:15" ht="15.75" customHeight="1" x14ac:dyDescent="0.45">
      <c r="A35" s="501" t="s">
        <v>432</v>
      </c>
      <c r="B35" s="502">
        <f t="shared" ref="B35:E35" si="2">AVERAGE(B2:B31)</f>
        <v>28.7</v>
      </c>
      <c r="C35" s="502">
        <f t="shared" si="2"/>
        <v>21.7</v>
      </c>
      <c r="D35" s="502">
        <f t="shared" si="2"/>
        <v>23.433333333333334</v>
      </c>
      <c r="E35" s="502">
        <f t="shared" si="2"/>
        <v>26</v>
      </c>
      <c r="F35" s="83" t="s">
        <v>433</v>
      </c>
      <c r="G35" s="503">
        <f>COUNTIF(G2:G31,"Maybe")</f>
        <v>9</v>
      </c>
      <c r="I35" s="500"/>
      <c r="J35" s="157"/>
      <c r="K35" s="157"/>
      <c r="L35" s="157"/>
      <c r="M35" s="157"/>
      <c r="N35" s="157"/>
      <c r="O35" s="157"/>
    </row>
    <row r="36" spans="1:15" ht="15.75" customHeight="1" x14ac:dyDescent="0.45">
      <c r="B36" s="190"/>
      <c r="F36" s="83" t="s">
        <v>434</v>
      </c>
      <c r="G36" s="497">
        <f>COUNTIF(G2:G31,"No")</f>
        <v>7</v>
      </c>
      <c r="J36" s="157"/>
      <c r="K36" s="157"/>
      <c r="L36" s="157"/>
      <c r="M36" s="157"/>
      <c r="N36" s="157"/>
      <c r="O36" s="157"/>
    </row>
    <row r="37" spans="1:15" ht="15.75" customHeight="1" x14ac:dyDescent="0.45">
      <c r="B37" s="190"/>
      <c r="F37" s="417" t="s">
        <v>435</v>
      </c>
      <c r="G37" s="504">
        <f>COUNTIF(G2:G31,"*")</f>
        <v>30</v>
      </c>
      <c r="J37" s="157"/>
      <c r="K37" s="157"/>
      <c r="L37" s="157"/>
      <c r="M37" s="157"/>
      <c r="N37" s="157"/>
      <c r="O37" s="157"/>
    </row>
    <row r="38" spans="1:15" ht="15.75" customHeight="1" x14ac:dyDescent="0.45">
      <c r="B38" s="190"/>
      <c r="F38" s="417" t="s">
        <v>436</v>
      </c>
      <c r="G38" s="44">
        <f>SUM(G37/54)</f>
        <v>0.55555555555555558</v>
      </c>
      <c r="J38" s="157"/>
      <c r="K38" s="157"/>
      <c r="L38" s="157"/>
      <c r="M38" s="157"/>
      <c r="N38" s="157"/>
      <c r="O38" s="157"/>
    </row>
    <row r="39" spans="1:15" ht="15.75" customHeight="1" x14ac:dyDescent="0.45">
      <c r="B39" s="190"/>
      <c r="J39" s="157"/>
      <c r="K39" s="157"/>
      <c r="L39" s="157"/>
      <c r="M39" s="157"/>
      <c r="N39" s="157"/>
      <c r="O39" s="157"/>
    </row>
    <row r="40" spans="1:15" ht="15.75" customHeight="1" x14ac:dyDescent="0.45">
      <c r="B40" s="190"/>
      <c r="J40" s="157"/>
      <c r="K40" s="157"/>
      <c r="L40" s="157"/>
      <c r="M40" s="157"/>
      <c r="N40" s="157"/>
      <c r="O40" s="157"/>
    </row>
    <row r="41" spans="1:15" ht="15.75" customHeight="1" x14ac:dyDescent="0.45">
      <c r="B41" s="190"/>
      <c r="J41" s="157"/>
      <c r="K41" s="157"/>
      <c r="L41" s="157"/>
      <c r="M41" s="157"/>
      <c r="N41" s="157"/>
      <c r="O41" s="157"/>
    </row>
    <row r="42" spans="1:15" ht="15.75" customHeight="1" x14ac:dyDescent="0.45">
      <c r="B42" s="190"/>
      <c r="J42" s="157"/>
      <c r="K42" s="157"/>
      <c r="L42" s="157"/>
      <c r="M42" s="157"/>
      <c r="N42" s="157"/>
      <c r="O42" s="157"/>
    </row>
    <row r="43" spans="1:15" ht="15.75" customHeight="1" x14ac:dyDescent="0.45">
      <c r="B43" s="190"/>
      <c r="J43" s="157"/>
      <c r="K43" s="157"/>
      <c r="L43" s="157"/>
      <c r="M43" s="157"/>
      <c r="N43" s="157"/>
      <c r="O43" s="157"/>
    </row>
    <row r="44" spans="1:15" ht="15.75" customHeight="1" x14ac:dyDescent="0.45">
      <c r="B44" s="190"/>
      <c r="J44" s="157"/>
      <c r="K44" s="157"/>
      <c r="L44" s="157"/>
      <c r="M44" s="157"/>
      <c r="N44" s="157"/>
      <c r="O44" s="157"/>
    </row>
    <row r="45" spans="1:15" ht="15.75" customHeight="1" x14ac:dyDescent="0.45">
      <c r="B45" s="190"/>
      <c r="J45" s="157"/>
      <c r="K45" s="157"/>
      <c r="L45" s="157"/>
      <c r="M45" s="157"/>
      <c r="N45" s="157"/>
      <c r="O45" s="157"/>
    </row>
    <row r="46" spans="1:15" ht="15.75" customHeight="1" x14ac:dyDescent="0.45">
      <c r="B46" s="190"/>
      <c r="J46" s="157"/>
      <c r="K46" s="157"/>
      <c r="L46" s="157"/>
      <c r="M46" s="157"/>
      <c r="N46" s="157"/>
      <c r="O46" s="157"/>
    </row>
    <row r="47" spans="1:15" ht="15.75" customHeight="1" x14ac:dyDescent="0.45">
      <c r="B47" s="190"/>
      <c r="J47" s="157"/>
      <c r="K47" s="157"/>
      <c r="L47" s="157"/>
      <c r="M47" s="157"/>
      <c r="N47" s="157"/>
      <c r="O47" s="157"/>
    </row>
    <row r="48" spans="1:15" ht="15.75" customHeight="1" x14ac:dyDescent="0.45">
      <c r="B48" s="190"/>
      <c r="J48" s="157"/>
      <c r="K48" s="157"/>
      <c r="L48" s="157"/>
      <c r="M48" s="157"/>
      <c r="N48" s="157"/>
      <c r="O48" s="157"/>
    </row>
    <row r="49" spans="2:15" ht="15.75" customHeight="1" x14ac:dyDescent="0.45">
      <c r="B49" s="190"/>
      <c r="J49" s="157"/>
      <c r="K49" s="157"/>
      <c r="L49" s="157"/>
      <c r="M49" s="157"/>
      <c r="N49" s="157"/>
      <c r="O49" s="157"/>
    </row>
    <row r="50" spans="2:15" ht="15.75" customHeight="1" x14ac:dyDescent="0.45">
      <c r="B50" s="190"/>
      <c r="J50" s="157"/>
      <c r="K50" s="157"/>
      <c r="L50" s="157"/>
      <c r="M50" s="157"/>
      <c r="N50" s="157"/>
      <c r="O50" s="157"/>
    </row>
    <row r="51" spans="2:15" ht="15.75" customHeight="1" x14ac:dyDescent="0.45">
      <c r="B51" s="190"/>
      <c r="J51" s="157"/>
      <c r="K51" s="157"/>
      <c r="L51" s="157"/>
      <c r="M51" s="157"/>
      <c r="N51" s="157"/>
      <c r="O51" s="157"/>
    </row>
    <row r="52" spans="2:15" ht="15.75" customHeight="1" x14ac:dyDescent="0.45">
      <c r="B52" s="190"/>
      <c r="J52" s="157"/>
      <c r="K52" s="157"/>
      <c r="L52" s="157"/>
      <c r="M52" s="157"/>
      <c r="N52" s="157"/>
      <c r="O52" s="157"/>
    </row>
    <row r="53" spans="2:15" ht="15.75" customHeight="1" x14ac:dyDescent="0.45">
      <c r="B53" s="190"/>
      <c r="J53" s="157"/>
      <c r="K53" s="157"/>
      <c r="L53" s="157"/>
      <c r="M53" s="157"/>
      <c r="N53" s="157"/>
      <c r="O53" s="157"/>
    </row>
    <row r="54" spans="2:15" ht="15.75" customHeight="1" x14ac:dyDescent="0.45">
      <c r="B54" s="190"/>
      <c r="J54" s="157"/>
      <c r="K54" s="157"/>
      <c r="L54" s="157"/>
      <c r="M54" s="157"/>
      <c r="N54" s="157"/>
      <c r="O54" s="157"/>
    </row>
    <row r="55" spans="2:15" ht="15.75" customHeight="1" x14ac:dyDescent="0.45">
      <c r="B55" s="190"/>
      <c r="J55" s="157"/>
      <c r="K55" s="157"/>
      <c r="L55" s="157"/>
      <c r="M55" s="157"/>
      <c r="N55" s="157"/>
      <c r="O55" s="157"/>
    </row>
    <row r="56" spans="2:15" ht="15.75" customHeight="1" x14ac:dyDescent="0.45">
      <c r="B56" s="190"/>
      <c r="J56" s="157"/>
      <c r="K56" s="157"/>
      <c r="L56" s="157"/>
      <c r="M56" s="157"/>
      <c r="N56" s="157"/>
      <c r="O56" s="157"/>
    </row>
    <row r="57" spans="2:15" ht="15.75" customHeight="1" x14ac:dyDescent="0.45">
      <c r="B57" s="190"/>
      <c r="J57" s="157"/>
      <c r="K57" s="157"/>
      <c r="L57" s="157"/>
      <c r="M57" s="157"/>
      <c r="N57" s="157"/>
      <c r="O57" s="157"/>
    </row>
    <row r="58" spans="2:15" ht="15.75" customHeight="1" x14ac:dyDescent="0.45">
      <c r="B58" s="190"/>
      <c r="J58" s="157"/>
      <c r="K58" s="157"/>
      <c r="L58" s="157"/>
      <c r="M58" s="157"/>
      <c r="N58" s="157"/>
      <c r="O58" s="157"/>
    </row>
    <row r="59" spans="2:15" ht="15.75" customHeight="1" x14ac:dyDescent="0.45">
      <c r="B59" s="190"/>
      <c r="J59" s="157"/>
      <c r="K59" s="157"/>
      <c r="L59" s="157"/>
      <c r="M59" s="157"/>
      <c r="N59" s="157"/>
      <c r="O59" s="157"/>
    </row>
    <row r="60" spans="2:15" ht="15.75" customHeight="1" x14ac:dyDescent="0.45">
      <c r="B60" s="190"/>
      <c r="J60" s="157"/>
      <c r="K60" s="157"/>
      <c r="L60" s="157"/>
      <c r="M60" s="157"/>
      <c r="N60" s="157"/>
      <c r="O60" s="157"/>
    </row>
    <row r="61" spans="2:15" ht="15.75" customHeight="1" x14ac:dyDescent="0.45">
      <c r="B61" s="190"/>
      <c r="J61" s="157"/>
      <c r="K61" s="157"/>
      <c r="L61" s="157"/>
      <c r="M61" s="157"/>
      <c r="N61" s="157"/>
      <c r="O61" s="157"/>
    </row>
    <row r="62" spans="2:15" ht="15.75" customHeight="1" x14ac:dyDescent="0.45">
      <c r="B62" s="190"/>
      <c r="J62" s="157"/>
      <c r="K62" s="157"/>
      <c r="L62" s="157"/>
      <c r="M62" s="157"/>
      <c r="N62" s="157"/>
      <c r="O62" s="157"/>
    </row>
    <row r="63" spans="2:15" ht="15.75" customHeight="1" x14ac:dyDescent="0.45">
      <c r="B63" s="190"/>
      <c r="J63" s="157"/>
      <c r="K63" s="157"/>
      <c r="L63" s="157"/>
      <c r="M63" s="157"/>
      <c r="N63" s="157"/>
      <c r="O63" s="157"/>
    </row>
    <row r="64" spans="2:15" ht="15.75" customHeight="1" x14ac:dyDescent="0.45">
      <c r="B64" s="190"/>
      <c r="J64" s="157"/>
      <c r="K64" s="157"/>
      <c r="L64" s="157"/>
      <c r="M64" s="157"/>
      <c r="N64" s="157"/>
      <c r="O64" s="157"/>
    </row>
    <row r="65" spans="2:15" ht="15.75" customHeight="1" x14ac:dyDescent="0.45">
      <c r="B65" s="190"/>
      <c r="J65" s="157"/>
      <c r="K65" s="157"/>
      <c r="L65" s="157"/>
      <c r="M65" s="157"/>
      <c r="N65" s="157"/>
      <c r="O65" s="157"/>
    </row>
    <row r="66" spans="2:15" ht="15.75" customHeight="1" x14ac:dyDescent="0.45">
      <c r="B66" s="190"/>
      <c r="J66" s="157"/>
      <c r="K66" s="157"/>
      <c r="L66" s="157"/>
      <c r="M66" s="157"/>
      <c r="N66" s="157"/>
      <c r="O66" s="157"/>
    </row>
    <row r="67" spans="2:15" ht="15.75" customHeight="1" x14ac:dyDescent="0.45">
      <c r="B67" s="190"/>
      <c r="J67" s="157"/>
      <c r="K67" s="157"/>
      <c r="L67" s="157"/>
      <c r="M67" s="157"/>
      <c r="N67" s="157"/>
      <c r="O67" s="157"/>
    </row>
    <row r="68" spans="2:15" ht="15.75" customHeight="1" x14ac:dyDescent="0.45">
      <c r="B68" s="190"/>
      <c r="J68" s="157"/>
      <c r="K68" s="157"/>
      <c r="L68" s="157"/>
      <c r="M68" s="157"/>
      <c r="N68" s="157"/>
      <c r="O68" s="157"/>
    </row>
    <row r="69" spans="2:15" ht="15.75" customHeight="1" x14ac:dyDescent="0.45">
      <c r="B69" s="190"/>
      <c r="J69" s="157"/>
      <c r="K69" s="157"/>
      <c r="L69" s="157"/>
      <c r="M69" s="157"/>
      <c r="N69" s="157"/>
      <c r="O69" s="157"/>
    </row>
    <row r="70" spans="2:15" ht="15.75" customHeight="1" x14ac:dyDescent="0.45">
      <c r="B70" s="190"/>
      <c r="J70" s="157"/>
      <c r="K70" s="157"/>
      <c r="L70" s="157"/>
      <c r="M70" s="157"/>
      <c r="N70" s="157"/>
      <c r="O70" s="157"/>
    </row>
    <row r="71" spans="2:15" ht="15.75" customHeight="1" x14ac:dyDescent="0.45">
      <c r="B71" s="190"/>
      <c r="J71" s="157"/>
      <c r="K71" s="157"/>
      <c r="L71" s="157"/>
      <c r="M71" s="157"/>
      <c r="N71" s="157"/>
      <c r="O71" s="157"/>
    </row>
    <row r="72" spans="2:15" ht="15.75" customHeight="1" x14ac:dyDescent="0.45">
      <c r="B72" s="190"/>
      <c r="J72" s="157"/>
      <c r="K72" s="157"/>
      <c r="L72" s="157"/>
      <c r="M72" s="157"/>
      <c r="N72" s="157"/>
      <c r="O72" s="157"/>
    </row>
    <row r="73" spans="2:15" ht="15.75" customHeight="1" x14ac:dyDescent="0.45">
      <c r="B73" s="190"/>
      <c r="J73" s="157"/>
      <c r="K73" s="157"/>
      <c r="L73" s="157"/>
      <c r="M73" s="157"/>
      <c r="N73" s="157"/>
      <c r="O73" s="157"/>
    </row>
    <row r="74" spans="2:15" ht="15.75" customHeight="1" x14ac:dyDescent="0.45">
      <c r="B74" s="190"/>
      <c r="J74" s="157"/>
      <c r="K74" s="157"/>
      <c r="L74" s="157"/>
      <c r="M74" s="157"/>
      <c r="N74" s="157"/>
      <c r="O74" s="157"/>
    </row>
    <row r="75" spans="2:15" ht="15.75" customHeight="1" x14ac:dyDescent="0.45">
      <c r="B75" s="190"/>
      <c r="J75" s="157"/>
      <c r="K75" s="157"/>
      <c r="L75" s="157"/>
      <c r="M75" s="157"/>
      <c r="N75" s="157"/>
      <c r="O75" s="157"/>
    </row>
    <row r="76" spans="2:15" ht="15.75" customHeight="1" x14ac:dyDescent="0.45">
      <c r="B76" s="190"/>
      <c r="J76" s="157"/>
      <c r="K76" s="157"/>
      <c r="L76" s="157"/>
      <c r="M76" s="157"/>
      <c r="N76" s="157"/>
      <c r="O76" s="157"/>
    </row>
    <row r="77" spans="2:15" ht="15.75" customHeight="1" x14ac:dyDescent="0.45">
      <c r="B77" s="190"/>
      <c r="J77" s="157"/>
      <c r="K77" s="157"/>
      <c r="L77" s="157"/>
      <c r="M77" s="157"/>
      <c r="N77" s="157"/>
      <c r="O77" s="157"/>
    </row>
    <row r="78" spans="2:15" ht="15.75" customHeight="1" x14ac:dyDescent="0.45">
      <c r="B78" s="190"/>
      <c r="J78" s="157"/>
      <c r="K78" s="157"/>
      <c r="L78" s="157"/>
      <c r="M78" s="157"/>
      <c r="N78" s="157"/>
      <c r="O78" s="157"/>
    </row>
    <row r="79" spans="2:15" ht="15.75" customHeight="1" x14ac:dyDescent="0.45">
      <c r="B79" s="190"/>
      <c r="J79" s="157"/>
      <c r="K79" s="157"/>
      <c r="L79" s="157"/>
      <c r="M79" s="157"/>
      <c r="N79" s="157"/>
      <c r="O79" s="157"/>
    </row>
    <row r="80" spans="2:15" ht="15.75" customHeight="1" x14ac:dyDescent="0.45">
      <c r="B80" s="190"/>
      <c r="J80" s="157"/>
      <c r="K80" s="157"/>
      <c r="L80" s="157"/>
      <c r="M80" s="157"/>
      <c r="N80" s="157"/>
      <c r="O80" s="157"/>
    </row>
    <row r="81" spans="2:15" ht="15.75" customHeight="1" x14ac:dyDescent="0.45">
      <c r="B81" s="190"/>
      <c r="J81" s="157"/>
      <c r="K81" s="157"/>
      <c r="L81" s="157"/>
      <c r="M81" s="157"/>
      <c r="N81" s="157"/>
      <c r="O81" s="157"/>
    </row>
    <row r="82" spans="2:15" ht="15.75" customHeight="1" x14ac:dyDescent="0.45">
      <c r="B82" s="190"/>
      <c r="J82" s="157"/>
      <c r="K82" s="157"/>
      <c r="L82" s="157"/>
      <c r="M82" s="157"/>
      <c r="N82" s="157"/>
      <c r="O82" s="157"/>
    </row>
    <row r="83" spans="2:15" ht="15.75" customHeight="1" x14ac:dyDescent="0.45">
      <c r="B83" s="190"/>
      <c r="J83" s="157"/>
      <c r="K83" s="157"/>
      <c r="L83" s="157"/>
      <c r="M83" s="157"/>
      <c r="N83" s="157"/>
      <c r="O83" s="157"/>
    </row>
    <row r="84" spans="2:15" ht="15.75" customHeight="1" x14ac:dyDescent="0.45">
      <c r="B84" s="190"/>
      <c r="J84" s="157"/>
      <c r="K84" s="157"/>
      <c r="L84" s="157"/>
      <c r="M84" s="157"/>
      <c r="N84" s="157"/>
      <c r="O84" s="157"/>
    </row>
    <row r="85" spans="2:15" ht="15.75" customHeight="1" x14ac:dyDescent="0.45">
      <c r="B85" s="190"/>
      <c r="J85" s="157"/>
      <c r="K85" s="157"/>
      <c r="L85" s="157"/>
      <c r="M85" s="157"/>
      <c r="N85" s="157"/>
      <c r="O85" s="157"/>
    </row>
    <row r="86" spans="2:15" ht="15.75" customHeight="1" x14ac:dyDescent="0.45">
      <c r="B86" s="190"/>
      <c r="J86" s="157"/>
      <c r="K86" s="157"/>
      <c r="L86" s="157"/>
      <c r="M86" s="157"/>
      <c r="N86" s="157"/>
      <c r="O86" s="157"/>
    </row>
    <row r="87" spans="2:15" ht="15.75" customHeight="1" x14ac:dyDescent="0.45">
      <c r="B87" s="190"/>
      <c r="J87" s="157"/>
      <c r="K87" s="157"/>
      <c r="L87" s="157"/>
      <c r="M87" s="157"/>
      <c r="N87" s="157"/>
      <c r="O87" s="157"/>
    </row>
    <row r="88" spans="2:15" ht="15.75" customHeight="1" x14ac:dyDescent="0.45">
      <c r="B88" s="190"/>
      <c r="J88" s="157"/>
      <c r="K88" s="157"/>
      <c r="L88" s="157"/>
      <c r="M88" s="157"/>
      <c r="N88" s="157"/>
      <c r="O88" s="157"/>
    </row>
    <row r="89" spans="2:15" ht="15.75" customHeight="1" x14ac:dyDescent="0.45">
      <c r="B89" s="190"/>
      <c r="J89" s="157"/>
      <c r="K89" s="157"/>
      <c r="L89" s="157"/>
      <c r="M89" s="157"/>
      <c r="N89" s="157"/>
      <c r="O89" s="157"/>
    </row>
    <row r="90" spans="2:15" ht="15.75" customHeight="1" x14ac:dyDescent="0.45">
      <c r="B90" s="190"/>
      <c r="J90" s="157"/>
      <c r="K90" s="157"/>
      <c r="L90" s="157"/>
      <c r="M90" s="157"/>
      <c r="N90" s="157"/>
      <c r="O90" s="157"/>
    </row>
    <row r="91" spans="2:15" ht="15.75" customHeight="1" x14ac:dyDescent="0.45">
      <c r="B91" s="190"/>
      <c r="J91" s="157"/>
      <c r="K91" s="157"/>
      <c r="L91" s="157"/>
      <c r="M91" s="157"/>
      <c r="N91" s="157"/>
      <c r="O91" s="157"/>
    </row>
    <row r="92" spans="2:15" ht="15.75" customHeight="1" x14ac:dyDescent="0.45">
      <c r="B92" s="190"/>
      <c r="J92" s="157"/>
      <c r="K92" s="157"/>
      <c r="L92" s="157"/>
      <c r="M92" s="157"/>
      <c r="N92" s="157"/>
      <c r="O92" s="157"/>
    </row>
    <row r="93" spans="2:15" ht="15.75" customHeight="1" x14ac:dyDescent="0.45">
      <c r="B93" s="190"/>
      <c r="J93" s="157"/>
      <c r="K93" s="157"/>
      <c r="L93" s="157"/>
      <c r="M93" s="157"/>
      <c r="N93" s="157"/>
      <c r="O93" s="157"/>
    </row>
    <row r="94" spans="2:15" ht="15.75" customHeight="1" x14ac:dyDescent="0.45">
      <c r="B94" s="190"/>
      <c r="J94" s="157"/>
      <c r="K94" s="157"/>
      <c r="L94" s="157"/>
      <c r="M94" s="157"/>
      <c r="N94" s="157"/>
      <c r="O94" s="157"/>
    </row>
    <row r="95" spans="2:15" ht="15.75" customHeight="1" x14ac:dyDescent="0.45">
      <c r="B95" s="190"/>
      <c r="J95" s="157"/>
      <c r="K95" s="157"/>
      <c r="L95" s="157"/>
      <c r="M95" s="157"/>
      <c r="N95" s="157"/>
      <c r="O95" s="157"/>
    </row>
    <row r="96" spans="2:15" ht="15.75" customHeight="1" x14ac:dyDescent="0.45">
      <c r="B96" s="190"/>
      <c r="J96" s="157"/>
      <c r="K96" s="157"/>
      <c r="L96" s="157"/>
      <c r="M96" s="157"/>
      <c r="N96" s="157"/>
      <c r="O96" s="157"/>
    </row>
    <row r="97" spans="2:15" ht="15.75" customHeight="1" x14ac:dyDescent="0.45">
      <c r="B97" s="190"/>
      <c r="J97" s="157"/>
      <c r="K97" s="157"/>
      <c r="L97" s="157"/>
      <c r="M97" s="157"/>
      <c r="N97" s="157"/>
      <c r="O97" s="157"/>
    </row>
    <row r="98" spans="2:15" ht="15.75" customHeight="1" x14ac:dyDescent="0.45">
      <c r="B98" s="190"/>
      <c r="J98" s="157"/>
      <c r="K98" s="157"/>
      <c r="L98" s="157"/>
      <c r="M98" s="157"/>
      <c r="N98" s="157"/>
      <c r="O98" s="157"/>
    </row>
    <row r="99" spans="2:15" ht="15.75" customHeight="1" x14ac:dyDescent="0.45">
      <c r="B99" s="190"/>
      <c r="J99" s="157"/>
      <c r="K99" s="157"/>
      <c r="L99" s="157"/>
      <c r="M99" s="157"/>
      <c r="N99" s="157"/>
      <c r="O99" s="157"/>
    </row>
    <row r="100" spans="2:15" ht="15.75" customHeight="1" x14ac:dyDescent="0.45">
      <c r="B100" s="190"/>
      <c r="J100" s="157"/>
      <c r="K100" s="157"/>
      <c r="L100" s="157"/>
      <c r="M100" s="157"/>
      <c r="N100" s="157"/>
      <c r="O100" s="157"/>
    </row>
    <row r="101" spans="2:15" ht="15.75" customHeight="1" x14ac:dyDescent="0.45">
      <c r="B101" s="190"/>
      <c r="J101" s="157"/>
      <c r="K101" s="157"/>
      <c r="L101" s="157"/>
      <c r="M101" s="157"/>
      <c r="N101" s="157"/>
      <c r="O101" s="157"/>
    </row>
    <row r="102" spans="2:15" ht="15.75" customHeight="1" x14ac:dyDescent="0.45">
      <c r="B102" s="190"/>
      <c r="J102" s="157"/>
      <c r="K102" s="157"/>
      <c r="L102" s="157"/>
      <c r="M102" s="157"/>
      <c r="N102" s="157"/>
      <c r="O102" s="157"/>
    </row>
    <row r="103" spans="2:15" ht="15.75" customHeight="1" x14ac:dyDescent="0.45">
      <c r="B103" s="190"/>
      <c r="J103" s="157"/>
      <c r="K103" s="157"/>
      <c r="L103" s="157"/>
      <c r="M103" s="157"/>
      <c r="N103" s="157"/>
      <c r="O103" s="157"/>
    </row>
    <row r="104" spans="2:15" ht="15.75" customHeight="1" x14ac:dyDescent="0.45">
      <c r="B104" s="190"/>
      <c r="J104" s="157"/>
      <c r="K104" s="157"/>
      <c r="L104" s="157"/>
      <c r="M104" s="157"/>
      <c r="N104" s="157"/>
      <c r="O104" s="157"/>
    </row>
    <row r="105" spans="2:15" ht="15.75" customHeight="1" x14ac:dyDescent="0.45">
      <c r="B105" s="190"/>
      <c r="J105" s="157"/>
      <c r="K105" s="157"/>
      <c r="L105" s="157"/>
      <c r="M105" s="157"/>
      <c r="N105" s="157"/>
      <c r="O105" s="157"/>
    </row>
    <row r="106" spans="2:15" ht="15.75" customHeight="1" x14ac:dyDescent="0.45">
      <c r="B106" s="190"/>
      <c r="J106" s="157"/>
      <c r="K106" s="157"/>
      <c r="L106" s="157"/>
      <c r="M106" s="157"/>
      <c r="N106" s="157"/>
      <c r="O106" s="157"/>
    </row>
    <row r="107" spans="2:15" ht="15.75" customHeight="1" x14ac:dyDescent="0.45">
      <c r="B107" s="190"/>
      <c r="J107" s="157"/>
      <c r="K107" s="157"/>
      <c r="L107" s="157"/>
      <c r="M107" s="157"/>
      <c r="N107" s="157"/>
      <c r="O107" s="157"/>
    </row>
    <row r="108" spans="2:15" ht="15.75" customHeight="1" x14ac:dyDescent="0.45">
      <c r="B108" s="190"/>
      <c r="J108" s="157"/>
      <c r="K108" s="157"/>
      <c r="L108" s="157"/>
      <c r="M108" s="157"/>
      <c r="N108" s="157"/>
      <c r="O108" s="157"/>
    </row>
    <row r="109" spans="2:15" ht="15.75" customHeight="1" x14ac:dyDescent="0.45">
      <c r="B109" s="190"/>
      <c r="J109" s="157"/>
      <c r="K109" s="157"/>
      <c r="L109" s="157"/>
      <c r="M109" s="157"/>
      <c r="N109" s="157"/>
      <c r="O109" s="157"/>
    </row>
    <row r="110" spans="2:15" ht="15.75" customHeight="1" x14ac:dyDescent="0.45">
      <c r="B110" s="190"/>
      <c r="J110" s="157"/>
      <c r="K110" s="157"/>
      <c r="L110" s="157"/>
      <c r="M110" s="157"/>
      <c r="N110" s="157"/>
      <c r="O110" s="157"/>
    </row>
    <row r="111" spans="2:15" ht="15.75" customHeight="1" x14ac:dyDescent="0.45">
      <c r="B111" s="190"/>
      <c r="J111" s="157"/>
      <c r="K111" s="157"/>
      <c r="L111" s="157"/>
      <c r="M111" s="157"/>
      <c r="N111" s="157"/>
      <c r="O111" s="157"/>
    </row>
    <row r="112" spans="2:15" ht="15.75" customHeight="1" x14ac:dyDescent="0.45">
      <c r="B112" s="190"/>
      <c r="J112" s="157"/>
      <c r="K112" s="157"/>
      <c r="L112" s="157"/>
      <c r="M112" s="157"/>
      <c r="N112" s="157"/>
      <c r="O112" s="157"/>
    </row>
    <row r="113" spans="2:15" ht="15.75" customHeight="1" x14ac:dyDescent="0.45">
      <c r="B113" s="190"/>
      <c r="J113" s="157"/>
      <c r="K113" s="157"/>
      <c r="L113" s="157"/>
      <c r="M113" s="157"/>
      <c r="N113" s="157"/>
      <c r="O113" s="157"/>
    </row>
    <row r="114" spans="2:15" ht="15.75" customHeight="1" x14ac:dyDescent="0.45">
      <c r="B114" s="190"/>
      <c r="J114" s="157"/>
      <c r="K114" s="157"/>
      <c r="L114" s="157"/>
      <c r="M114" s="157"/>
      <c r="N114" s="157"/>
      <c r="O114" s="157"/>
    </row>
    <row r="115" spans="2:15" ht="15.75" customHeight="1" x14ac:dyDescent="0.45">
      <c r="B115" s="190"/>
      <c r="J115" s="157"/>
      <c r="K115" s="157"/>
      <c r="L115" s="157"/>
      <c r="M115" s="157"/>
      <c r="N115" s="157"/>
      <c r="O115" s="157"/>
    </row>
    <row r="116" spans="2:15" ht="15.75" customHeight="1" x14ac:dyDescent="0.45">
      <c r="B116" s="190"/>
      <c r="J116" s="157"/>
      <c r="K116" s="157"/>
      <c r="L116" s="157"/>
      <c r="M116" s="157"/>
      <c r="N116" s="157"/>
      <c r="O116" s="157"/>
    </row>
    <row r="117" spans="2:15" ht="15.75" customHeight="1" x14ac:dyDescent="0.45">
      <c r="B117" s="190"/>
      <c r="J117" s="157"/>
      <c r="K117" s="157"/>
      <c r="L117" s="157"/>
      <c r="M117" s="157"/>
      <c r="N117" s="157"/>
      <c r="O117" s="157"/>
    </row>
    <row r="118" spans="2:15" ht="15.75" customHeight="1" x14ac:dyDescent="0.45">
      <c r="B118" s="190"/>
      <c r="J118" s="157"/>
      <c r="K118" s="157"/>
      <c r="L118" s="157"/>
      <c r="M118" s="157"/>
      <c r="N118" s="157"/>
      <c r="O118" s="157"/>
    </row>
    <row r="119" spans="2:15" ht="15.75" customHeight="1" x14ac:dyDescent="0.45">
      <c r="B119" s="190"/>
      <c r="J119" s="157"/>
      <c r="K119" s="157"/>
      <c r="L119" s="157"/>
      <c r="M119" s="157"/>
      <c r="N119" s="157"/>
      <c r="O119" s="157"/>
    </row>
    <row r="120" spans="2:15" ht="15.75" customHeight="1" x14ac:dyDescent="0.45">
      <c r="B120" s="190"/>
      <c r="J120" s="157"/>
      <c r="K120" s="157"/>
      <c r="L120" s="157"/>
      <c r="M120" s="157"/>
      <c r="N120" s="157"/>
      <c r="O120" s="157"/>
    </row>
    <row r="121" spans="2:15" ht="15.75" customHeight="1" x14ac:dyDescent="0.45">
      <c r="B121" s="190"/>
      <c r="J121" s="157"/>
      <c r="K121" s="157"/>
      <c r="L121" s="157"/>
      <c r="M121" s="157"/>
      <c r="N121" s="157"/>
      <c r="O121" s="157"/>
    </row>
    <row r="122" spans="2:15" ht="15.75" customHeight="1" x14ac:dyDescent="0.45">
      <c r="B122" s="190"/>
      <c r="J122" s="157"/>
      <c r="K122" s="157"/>
      <c r="L122" s="157"/>
      <c r="M122" s="157"/>
      <c r="N122" s="157"/>
      <c r="O122" s="157"/>
    </row>
    <row r="123" spans="2:15" ht="15.75" customHeight="1" x14ac:dyDescent="0.45">
      <c r="B123" s="190"/>
      <c r="J123" s="157"/>
      <c r="K123" s="157"/>
      <c r="L123" s="157"/>
      <c r="M123" s="157"/>
      <c r="N123" s="157"/>
      <c r="O123" s="157"/>
    </row>
    <row r="124" spans="2:15" ht="15.75" customHeight="1" x14ac:dyDescent="0.45">
      <c r="B124" s="190"/>
      <c r="J124" s="157"/>
      <c r="K124" s="157"/>
      <c r="L124" s="157"/>
      <c r="M124" s="157"/>
      <c r="N124" s="157"/>
      <c r="O124" s="157"/>
    </row>
    <row r="125" spans="2:15" ht="15.75" customHeight="1" x14ac:dyDescent="0.45">
      <c r="B125" s="190"/>
      <c r="J125" s="157"/>
      <c r="K125" s="157"/>
      <c r="L125" s="157"/>
      <c r="M125" s="157"/>
      <c r="N125" s="157"/>
      <c r="O125" s="157"/>
    </row>
    <row r="126" spans="2:15" ht="15.75" customHeight="1" x14ac:dyDescent="0.45">
      <c r="B126" s="190"/>
      <c r="J126" s="157"/>
      <c r="K126" s="157"/>
      <c r="L126" s="157"/>
      <c r="M126" s="157"/>
      <c r="N126" s="157"/>
      <c r="O126" s="157"/>
    </row>
    <row r="127" spans="2:15" ht="15.75" customHeight="1" x14ac:dyDescent="0.45">
      <c r="B127" s="190"/>
      <c r="J127" s="157"/>
      <c r="K127" s="157"/>
      <c r="L127" s="157"/>
      <c r="M127" s="157"/>
      <c r="N127" s="157"/>
      <c r="O127" s="157"/>
    </row>
    <row r="128" spans="2:15" ht="15.75" customHeight="1" x14ac:dyDescent="0.45">
      <c r="B128" s="190"/>
      <c r="J128" s="157"/>
      <c r="K128" s="157"/>
      <c r="L128" s="157"/>
      <c r="M128" s="157"/>
      <c r="N128" s="157"/>
      <c r="O128" s="157"/>
    </row>
    <row r="129" spans="2:15" ht="15.75" customHeight="1" x14ac:dyDescent="0.45">
      <c r="B129" s="190"/>
      <c r="J129" s="157"/>
      <c r="K129" s="157"/>
      <c r="L129" s="157"/>
      <c r="M129" s="157"/>
      <c r="N129" s="157"/>
      <c r="O129" s="157"/>
    </row>
    <row r="130" spans="2:15" ht="15.75" customHeight="1" x14ac:dyDescent="0.45">
      <c r="B130" s="190"/>
      <c r="J130" s="157"/>
      <c r="K130" s="157"/>
      <c r="L130" s="157"/>
      <c r="M130" s="157"/>
      <c r="N130" s="157"/>
      <c r="O130" s="157"/>
    </row>
    <row r="131" spans="2:15" ht="15.75" customHeight="1" x14ac:dyDescent="0.45">
      <c r="B131" s="190"/>
      <c r="J131" s="157"/>
      <c r="K131" s="157"/>
      <c r="L131" s="157"/>
      <c r="M131" s="157"/>
      <c r="N131" s="157"/>
      <c r="O131" s="157"/>
    </row>
    <row r="132" spans="2:15" ht="15.75" customHeight="1" x14ac:dyDescent="0.45">
      <c r="B132" s="190"/>
      <c r="J132" s="157"/>
      <c r="K132" s="157"/>
      <c r="L132" s="157"/>
      <c r="M132" s="157"/>
      <c r="N132" s="157"/>
      <c r="O132" s="157"/>
    </row>
    <row r="133" spans="2:15" ht="15.75" customHeight="1" x14ac:dyDescent="0.45">
      <c r="B133" s="190"/>
      <c r="J133" s="157"/>
      <c r="K133" s="157"/>
      <c r="L133" s="157"/>
      <c r="M133" s="157"/>
      <c r="N133" s="157"/>
      <c r="O133" s="157"/>
    </row>
    <row r="134" spans="2:15" ht="15.75" customHeight="1" x14ac:dyDescent="0.45">
      <c r="B134" s="190"/>
      <c r="J134" s="157"/>
      <c r="K134" s="157"/>
      <c r="L134" s="157"/>
      <c r="M134" s="157"/>
      <c r="N134" s="157"/>
      <c r="O134" s="157"/>
    </row>
    <row r="135" spans="2:15" ht="15.75" customHeight="1" x14ac:dyDescent="0.45">
      <c r="B135" s="190"/>
      <c r="J135" s="157"/>
      <c r="K135" s="157"/>
      <c r="L135" s="157"/>
      <c r="M135" s="157"/>
      <c r="N135" s="157"/>
      <c r="O135" s="157"/>
    </row>
    <row r="136" spans="2:15" ht="15.75" customHeight="1" x14ac:dyDescent="0.45">
      <c r="B136" s="190"/>
      <c r="J136" s="157"/>
      <c r="K136" s="157"/>
      <c r="L136" s="157"/>
      <c r="M136" s="157"/>
      <c r="N136" s="157"/>
      <c r="O136" s="157"/>
    </row>
    <row r="137" spans="2:15" ht="15.75" customHeight="1" x14ac:dyDescent="0.45">
      <c r="B137" s="190"/>
      <c r="J137" s="157"/>
      <c r="K137" s="157"/>
      <c r="L137" s="157"/>
      <c r="M137" s="157"/>
      <c r="N137" s="157"/>
      <c r="O137" s="157"/>
    </row>
    <row r="138" spans="2:15" ht="15.75" customHeight="1" x14ac:dyDescent="0.45">
      <c r="B138" s="190"/>
      <c r="J138" s="157"/>
      <c r="K138" s="157"/>
      <c r="L138" s="157"/>
      <c r="M138" s="157"/>
      <c r="N138" s="157"/>
      <c r="O138" s="157"/>
    </row>
    <row r="139" spans="2:15" ht="15.75" customHeight="1" x14ac:dyDescent="0.45">
      <c r="B139" s="190"/>
      <c r="J139" s="157"/>
      <c r="K139" s="157"/>
      <c r="L139" s="157"/>
      <c r="M139" s="157"/>
      <c r="N139" s="157"/>
      <c r="O139" s="157"/>
    </row>
    <row r="140" spans="2:15" ht="15.75" customHeight="1" x14ac:dyDescent="0.45">
      <c r="B140" s="190"/>
      <c r="J140" s="157"/>
      <c r="K140" s="157"/>
      <c r="L140" s="157"/>
      <c r="M140" s="157"/>
      <c r="N140" s="157"/>
      <c r="O140" s="157"/>
    </row>
    <row r="141" spans="2:15" ht="15.75" customHeight="1" x14ac:dyDescent="0.45">
      <c r="B141" s="190"/>
      <c r="J141" s="157"/>
      <c r="K141" s="157"/>
      <c r="L141" s="157"/>
      <c r="M141" s="157"/>
      <c r="N141" s="157"/>
      <c r="O141" s="157"/>
    </row>
    <row r="142" spans="2:15" ht="15.75" customHeight="1" x14ac:dyDescent="0.45">
      <c r="B142" s="190"/>
      <c r="J142" s="157"/>
      <c r="K142" s="157"/>
      <c r="L142" s="157"/>
      <c r="M142" s="157"/>
      <c r="N142" s="157"/>
      <c r="O142" s="157"/>
    </row>
    <row r="143" spans="2:15" ht="15.75" customHeight="1" x14ac:dyDescent="0.45">
      <c r="B143" s="190"/>
      <c r="J143" s="157"/>
      <c r="K143" s="157"/>
      <c r="L143" s="157"/>
      <c r="M143" s="157"/>
      <c r="N143" s="157"/>
      <c r="O143" s="157"/>
    </row>
    <row r="144" spans="2:15" ht="15.75" customHeight="1" x14ac:dyDescent="0.45">
      <c r="B144" s="190"/>
      <c r="J144" s="157"/>
      <c r="K144" s="157"/>
      <c r="L144" s="157"/>
      <c r="M144" s="157"/>
      <c r="N144" s="157"/>
      <c r="O144" s="157"/>
    </row>
    <row r="145" spans="2:15" ht="15.75" customHeight="1" x14ac:dyDescent="0.45">
      <c r="B145" s="190"/>
      <c r="J145" s="157"/>
      <c r="K145" s="157"/>
      <c r="L145" s="157"/>
      <c r="M145" s="157"/>
      <c r="N145" s="157"/>
      <c r="O145" s="157"/>
    </row>
    <row r="146" spans="2:15" ht="15.75" customHeight="1" x14ac:dyDescent="0.45">
      <c r="B146" s="190"/>
      <c r="J146" s="157"/>
      <c r="K146" s="157"/>
      <c r="L146" s="157"/>
      <c r="M146" s="157"/>
      <c r="N146" s="157"/>
      <c r="O146" s="157"/>
    </row>
    <row r="147" spans="2:15" ht="15.75" customHeight="1" x14ac:dyDescent="0.45">
      <c r="B147" s="190"/>
      <c r="J147" s="157"/>
      <c r="K147" s="157"/>
      <c r="L147" s="157"/>
      <c r="M147" s="157"/>
      <c r="N147" s="157"/>
      <c r="O147" s="157"/>
    </row>
    <row r="148" spans="2:15" ht="15.75" customHeight="1" x14ac:dyDescent="0.45">
      <c r="B148" s="190"/>
      <c r="J148" s="157"/>
      <c r="K148" s="157"/>
      <c r="L148" s="157"/>
      <c r="M148" s="157"/>
      <c r="N148" s="157"/>
      <c r="O148" s="157"/>
    </row>
    <row r="149" spans="2:15" ht="15.75" customHeight="1" x14ac:dyDescent="0.45">
      <c r="B149" s="190"/>
      <c r="J149" s="157"/>
      <c r="K149" s="157"/>
      <c r="L149" s="157"/>
      <c r="M149" s="157"/>
      <c r="N149" s="157"/>
      <c r="O149" s="157"/>
    </row>
    <row r="150" spans="2:15" ht="15.75" customHeight="1" x14ac:dyDescent="0.45">
      <c r="B150" s="190"/>
      <c r="J150" s="157"/>
      <c r="K150" s="157"/>
      <c r="L150" s="157"/>
      <c r="M150" s="157"/>
      <c r="N150" s="157"/>
      <c r="O150" s="157"/>
    </row>
    <row r="151" spans="2:15" ht="15.75" customHeight="1" x14ac:dyDescent="0.45">
      <c r="B151" s="190"/>
      <c r="J151" s="157"/>
      <c r="K151" s="157"/>
      <c r="L151" s="157"/>
      <c r="M151" s="157"/>
      <c r="N151" s="157"/>
      <c r="O151" s="157"/>
    </row>
    <row r="152" spans="2:15" ht="15.75" customHeight="1" x14ac:dyDescent="0.45">
      <c r="B152" s="190"/>
      <c r="J152" s="157"/>
      <c r="K152" s="157"/>
      <c r="L152" s="157"/>
      <c r="M152" s="157"/>
      <c r="N152" s="157"/>
      <c r="O152" s="157"/>
    </row>
    <row r="153" spans="2:15" ht="15.75" customHeight="1" x14ac:dyDescent="0.45">
      <c r="B153" s="190"/>
      <c r="J153" s="157"/>
      <c r="K153" s="157"/>
      <c r="L153" s="157"/>
      <c r="M153" s="157"/>
      <c r="N153" s="157"/>
      <c r="O153" s="157"/>
    </row>
    <row r="154" spans="2:15" ht="15.75" customHeight="1" x14ac:dyDescent="0.45">
      <c r="B154" s="190"/>
      <c r="J154" s="157"/>
      <c r="K154" s="157"/>
      <c r="L154" s="157"/>
      <c r="M154" s="157"/>
      <c r="N154" s="157"/>
      <c r="O154" s="157"/>
    </row>
    <row r="155" spans="2:15" ht="15.75" customHeight="1" x14ac:dyDescent="0.45">
      <c r="B155" s="190"/>
      <c r="J155" s="157"/>
      <c r="K155" s="157"/>
      <c r="L155" s="157"/>
      <c r="M155" s="157"/>
      <c r="N155" s="157"/>
      <c r="O155" s="157"/>
    </row>
    <row r="156" spans="2:15" ht="15.75" customHeight="1" x14ac:dyDescent="0.45">
      <c r="B156" s="190"/>
      <c r="J156" s="157"/>
      <c r="K156" s="157"/>
      <c r="L156" s="157"/>
      <c r="M156" s="157"/>
      <c r="N156" s="157"/>
      <c r="O156" s="157"/>
    </row>
    <row r="157" spans="2:15" ht="15.75" customHeight="1" x14ac:dyDescent="0.45">
      <c r="B157" s="190"/>
      <c r="J157" s="157"/>
      <c r="K157" s="157"/>
      <c r="L157" s="157"/>
      <c r="M157" s="157"/>
      <c r="N157" s="157"/>
      <c r="O157" s="157"/>
    </row>
    <row r="158" spans="2:15" ht="15.75" customHeight="1" x14ac:dyDescent="0.45">
      <c r="B158" s="190"/>
      <c r="J158" s="157"/>
      <c r="K158" s="157"/>
      <c r="L158" s="157"/>
      <c r="M158" s="157"/>
      <c r="N158" s="157"/>
      <c r="O158" s="157"/>
    </row>
    <row r="159" spans="2:15" ht="15.75" customHeight="1" x14ac:dyDescent="0.45">
      <c r="B159" s="190"/>
      <c r="J159" s="157"/>
      <c r="K159" s="157"/>
      <c r="L159" s="157"/>
      <c r="M159" s="157"/>
      <c r="N159" s="157"/>
      <c r="O159" s="157"/>
    </row>
    <row r="160" spans="2:15" ht="15.75" customHeight="1" x14ac:dyDescent="0.45">
      <c r="B160" s="190"/>
      <c r="J160" s="157"/>
      <c r="K160" s="157"/>
      <c r="L160" s="157"/>
      <c r="M160" s="157"/>
      <c r="N160" s="157"/>
      <c r="O160" s="157"/>
    </row>
    <row r="161" spans="2:15" ht="15.75" customHeight="1" x14ac:dyDescent="0.45">
      <c r="B161" s="190"/>
      <c r="J161" s="157"/>
      <c r="K161" s="157"/>
      <c r="L161" s="157"/>
      <c r="M161" s="157"/>
      <c r="N161" s="157"/>
      <c r="O161" s="157"/>
    </row>
    <row r="162" spans="2:15" ht="15.75" customHeight="1" x14ac:dyDescent="0.45">
      <c r="B162" s="190"/>
      <c r="J162" s="157"/>
      <c r="K162" s="157"/>
      <c r="L162" s="157"/>
      <c r="M162" s="157"/>
      <c r="N162" s="157"/>
      <c r="O162" s="157"/>
    </row>
    <row r="163" spans="2:15" ht="15.75" customHeight="1" x14ac:dyDescent="0.45">
      <c r="B163" s="190"/>
      <c r="J163" s="157"/>
      <c r="K163" s="157"/>
      <c r="L163" s="157"/>
      <c r="M163" s="157"/>
      <c r="N163" s="157"/>
      <c r="O163" s="157"/>
    </row>
    <row r="164" spans="2:15" ht="15.75" customHeight="1" x14ac:dyDescent="0.45">
      <c r="B164" s="190"/>
      <c r="J164" s="157"/>
      <c r="K164" s="157"/>
      <c r="L164" s="157"/>
      <c r="M164" s="157"/>
      <c r="N164" s="157"/>
      <c r="O164" s="157"/>
    </row>
    <row r="165" spans="2:15" ht="15.75" customHeight="1" x14ac:dyDescent="0.45">
      <c r="B165" s="190"/>
      <c r="J165" s="157"/>
      <c r="K165" s="157"/>
      <c r="L165" s="157"/>
      <c r="M165" s="157"/>
      <c r="N165" s="157"/>
      <c r="O165" s="157"/>
    </row>
    <row r="166" spans="2:15" ht="15.75" customHeight="1" x14ac:dyDescent="0.45">
      <c r="B166" s="190"/>
      <c r="J166" s="157"/>
      <c r="K166" s="157"/>
      <c r="L166" s="157"/>
      <c r="M166" s="157"/>
      <c r="N166" s="157"/>
      <c r="O166" s="157"/>
    </row>
    <row r="167" spans="2:15" ht="15.75" customHeight="1" x14ac:dyDescent="0.45">
      <c r="B167" s="190"/>
      <c r="J167" s="157"/>
      <c r="K167" s="157"/>
      <c r="L167" s="157"/>
      <c r="M167" s="157"/>
      <c r="N167" s="157"/>
      <c r="O167" s="157"/>
    </row>
    <row r="168" spans="2:15" ht="15.75" customHeight="1" x14ac:dyDescent="0.45">
      <c r="B168" s="190"/>
      <c r="J168" s="157"/>
      <c r="K168" s="157"/>
      <c r="L168" s="157"/>
      <c r="M168" s="157"/>
      <c r="N168" s="157"/>
      <c r="O168" s="157"/>
    </row>
    <row r="169" spans="2:15" ht="15.75" customHeight="1" x14ac:dyDescent="0.45">
      <c r="B169" s="190"/>
      <c r="J169" s="157"/>
      <c r="K169" s="157"/>
      <c r="L169" s="157"/>
      <c r="M169" s="157"/>
      <c r="N169" s="157"/>
      <c r="O169" s="157"/>
    </row>
    <row r="170" spans="2:15" ht="15.75" customHeight="1" x14ac:dyDescent="0.45">
      <c r="B170" s="190"/>
      <c r="J170" s="157"/>
      <c r="K170" s="157"/>
      <c r="L170" s="157"/>
      <c r="M170" s="157"/>
      <c r="N170" s="157"/>
      <c r="O170" s="157"/>
    </row>
    <row r="171" spans="2:15" ht="15.75" customHeight="1" x14ac:dyDescent="0.45">
      <c r="B171" s="190"/>
      <c r="J171" s="157"/>
      <c r="K171" s="157"/>
      <c r="L171" s="157"/>
      <c r="M171" s="157"/>
      <c r="N171" s="157"/>
      <c r="O171" s="157"/>
    </row>
    <row r="172" spans="2:15" ht="15.75" customHeight="1" x14ac:dyDescent="0.45">
      <c r="B172" s="190"/>
      <c r="J172" s="157"/>
      <c r="K172" s="157"/>
      <c r="L172" s="157"/>
      <c r="M172" s="157"/>
      <c r="N172" s="157"/>
      <c r="O172" s="157"/>
    </row>
    <row r="173" spans="2:15" ht="15.75" customHeight="1" x14ac:dyDescent="0.45">
      <c r="B173" s="190"/>
      <c r="J173" s="157"/>
      <c r="K173" s="157"/>
      <c r="L173" s="157"/>
      <c r="M173" s="157"/>
      <c r="N173" s="157"/>
      <c r="O173" s="157"/>
    </row>
    <row r="174" spans="2:15" ht="15.75" customHeight="1" x14ac:dyDescent="0.45">
      <c r="B174" s="190"/>
      <c r="J174" s="157"/>
      <c r="K174" s="157"/>
      <c r="L174" s="157"/>
      <c r="M174" s="157"/>
      <c r="N174" s="157"/>
      <c r="O174" s="157"/>
    </row>
    <row r="175" spans="2:15" ht="15.75" customHeight="1" x14ac:dyDescent="0.45">
      <c r="B175" s="190"/>
      <c r="J175" s="157"/>
      <c r="K175" s="157"/>
      <c r="L175" s="157"/>
      <c r="M175" s="157"/>
      <c r="N175" s="157"/>
      <c r="O175" s="157"/>
    </row>
    <row r="176" spans="2:15" ht="15.75" customHeight="1" x14ac:dyDescent="0.45">
      <c r="B176" s="190"/>
      <c r="J176" s="157"/>
      <c r="K176" s="157"/>
      <c r="L176" s="157"/>
      <c r="M176" s="157"/>
      <c r="N176" s="157"/>
      <c r="O176" s="157"/>
    </row>
    <row r="177" spans="2:15" ht="15.75" customHeight="1" x14ac:dyDescent="0.45">
      <c r="B177" s="190"/>
      <c r="J177" s="157"/>
      <c r="K177" s="157"/>
      <c r="L177" s="157"/>
      <c r="M177" s="157"/>
      <c r="N177" s="157"/>
      <c r="O177" s="157"/>
    </row>
    <row r="178" spans="2:15" ht="15.75" customHeight="1" x14ac:dyDescent="0.45">
      <c r="B178" s="190"/>
      <c r="J178" s="157"/>
      <c r="K178" s="157"/>
      <c r="L178" s="157"/>
      <c r="M178" s="157"/>
      <c r="N178" s="157"/>
      <c r="O178" s="157"/>
    </row>
    <row r="179" spans="2:15" ht="15.75" customHeight="1" x14ac:dyDescent="0.45">
      <c r="B179" s="190"/>
      <c r="J179" s="157"/>
      <c r="K179" s="157"/>
      <c r="L179" s="157"/>
      <c r="M179" s="157"/>
      <c r="N179" s="157"/>
      <c r="O179" s="157"/>
    </row>
    <row r="180" spans="2:15" ht="15.75" customHeight="1" x14ac:dyDescent="0.45">
      <c r="B180" s="190"/>
      <c r="J180" s="157"/>
      <c r="K180" s="157"/>
      <c r="L180" s="157"/>
      <c r="M180" s="157"/>
      <c r="N180" s="157"/>
      <c r="O180" s="157"/>
    </row>
    <row r="181" spans="2:15" ht="15.75" customHeight="1" x14ac:dyDescent="0.45">
      <c r="B181" s="190"/>
      <c r="J181" s="157"/>
      <c r="K181" s="157"/>
      <c r="L181" s="157"/>
      <c r="M181" s="157"/>
      <c r="N181" s="157"/>
      <c r="O181" s="157"/>
    </row>
    <row r="182" spans="2:15" ht="15.75" customHeight="1" x14ac:dyDescent="0.45">
      <c r="B182" s="190"/>
      <c r="J182" s="157"/>
      <c r="K182" s="157"/>
      <c r="L182" s="157"/>
      <c r="M182" s="157"/>
      <c r="N182" s="157"/>
      <c r="O182" s="157"/>
    </row>
    <row r="183" spans="2:15" ht="15.75" customHeight="1" x14ac:dyDescent="0.45">
      <c r="B183" s="190"/>
      <c r="J183" s="157"/>
      <c r="K183" s="157"/>
      <c r="L183" s="157"/>
      <c r="M183" s="157"/>
      <c r="N183" s="157"/>
      <c r="O183" s="157"/>
    </row>
    <row r="184" spans="2:15" ht="15.75" customHeight="1" x14ac:dyDescent="0.45">
      <c r="B184" s="190"/>
      <c r="J184" s="157"/>
      <c r="K184" s="157"/>
      <c r="L184" s="157"/>
      <c r="M184" s="157"/>
      <c r="N184" s="157"/>
      <c r="O184" s="157"/>
    </row>
    <row r="185" spans="2:15" ht="15.75" customHeight="1" x14ac:dyDescent="0.45">
      <c r="B185" s="190"/>
      <c r="J185" s="157"/>
      <c r="K185" s="157"/>
      <c r="L185" s="157"/>
      <c r="M185" s="157"/>
      <c r="N185" s="157"/>
      <c r="O185" s="157"/>
    </row>
    <row r="186" spans="2:15" ht="15.75" customHeight="1" x14ac:dyDescent="0.45">
      <c r="B186" s="190"/>
      <c r="J186" s="157"/>
      <c r="K186" s="157"/>
      <c r="L186" s="157"/>
      <c r="M186" s="157"/>
      <c r="N186" s="157"/>
      <c r="O186" s="157"/>
    </row>
    <row r="187" spans="2:15" ht="15.75" customHeight="1" x14ac:dyDescent="0.45">
      <c r="B187" s="190"/>
      <c r="J187" s="157"/>
      <c r="K187" s="157"/>
      <c r="L187" s="157"/>
      <c r="M187" s="157"/>
      <c r="N187" s="157"/>
      <c r="O187" s="157"/>
    </row>
    <row r="188" spans="2:15" ht="15.75" customHeight="1" x14ac:dyDescent="0.45">
      <c r="B188" s="190"/>
      <c r="J188" s="157"/>
      <c r="K188" s="157"/>
      <c r="L188" s="157"/>
      <c r="M188" s="157"/>
      <c r="N188" s="157"/>
      <c r="O188" s="157"/>
    </row>
    <row r="189" spans="2:15" ht="15.75" customHeight="1" x14ac:dyDescent="0.45">
      <c r="B189" s="190"/>
      <c r="J189" s="157"/>
      <c r="K189" s="157"/>
      <c r="L189" s="157"/>
      <c r="M189" s="157"/>
      <c r="N189" s="157"/>
      <c r="O189" s="157"/>
    </row>
    <row r="190" spans="2:15" ht="15.75" customHeight="1" x14ac:dyDescent="0.45">
      <c r="B190" s="190"/>
      <c r="J190" s="157"/>
      <c r="K190" s="157"/>
      <c r="L190" s="157"/>
      <c r="M190" s="157"/>
      <c r="N190" s="157"/>
      <c r="O190" s="157"/>
    </row>
    <row r="191" spans="2:15" ht="15.75" customHeight="1" x14ac:dyDescent="0.45">
      <c r="B191" s="190"/>
      <c r="J191" s="157"/>
      <c r="K191" s="157"/>
      <c r="L191" s="157"/>
      <c r="M191" s="157"/>
      <c r="N191" s="157"/>
      <c r="O191" s="157"/>
    </row>
    <row r="192" spans="2:15" ht="15.75" customHeight="1" x14ac:dyDescent="0.45">
      <c r="B192" s="190"/>
      <c r="J192" s="157"/>
      <c r="K192" s="157"/>
      <c r="L192" s="157"/>
      <c r="M192" s="157"/>
      <c r="N192" s="157"/>
      <c r="O192" s="157"/>
    </row>
    <row r="193" spans="2:15" ht="15.75" customHeight="1" x14ac:dyDescent="0.45">
      <c r="B193" s="190"/>
      <c r="J193" s="157"/>
      <c r="K193" s="157"/>
      <c r="L193" s="157"/>
      <c r="M193" s="157"/>
      <c r="N193" s="157"/>
      <c r="O193" s="157"/>
    </row>
    <row r="194" spans="2:15" ht="15.75" customHeight="1" x14ac:dyDescent="0.45">
      <c r="B194" s="190"/>
      <c r="J194" s="157"/>
      <c r="K194" s="157"/>
      <c r="L194" s="157"/>
      <c r="M194" s="157"/>
      <c r="N194" s="157"/>
      <c r="O194" s="157"/>
    </row>
    <row r="195" spans="2:15" ht="15.75" customHeight="1" x14ac:dyDescent="0.45">
      <c r="B195" s="190"/>
      <c r="J195" s="157"/>
      <c r="K195" s="157"/>
      <c r="L195" s="157"/>
      <c r="M195" s="157"/>
      <c r="N195" s="157"/>
      <c r="O195" s="157"/>
    </row>
    <row r="196" spans="2:15" ht="15.75" customHeight="1" x14ac:dyDescent="0.45">
      <c r="B196" s="190"/>
      <c r="J196" s="157"/>
      <c r="K196" s="157"/>
      <c r="L196" s="157"/>
      <c r="M196" s="157"/>
      <c r="N196" s="157"/>
      <c r="O196" s="157"/>
    </row>
    <row r="197" spans="2:15" ht="15.75" customHeight="1" x14ac:dyDescent="0.45">
      <c r="B197" s="190"/>
      <c r="J197" s="157"/>
      <c r="K197" s="157"/>
      <c r="L197" s="157"/>
      <c r="M197" s="157"/>
      <c r="N197" s="157"/>
      <c r="O197" s="157"/>
    </row>
    <row r="198" spans="2:15" ht="15.75" customHeight="1" x14ac:dyDescent="0.45">
      <c r="B198" s="190"/>
      <c r="J198" s="157"/>
      <c r="K198" s="157"/>
      <c r="L198" s="157"/>
      <c r="M198" s="157"/>
      <c r="N198" s="157"/>
      <c r="O198" s="157"/>
    </row>
    <row r="199" spans="2:15" ht="15.75" customHeight="1" x14ac:dyDescent="0.45">
      <c r="B199" s="190"/>
      <c r="J199" s="157"/>
      <c r="K199" s="157"/>
      <c r="L199" s="157"/>
      <c r="M199" s="157"/>
      <c r="N199" s="157"/>
      <c r="O199" s="157"/>
    </row>
    <row r="200" spans="2:15" ht="15.75" customHeight="1" x14ac:dyDescent="0.45">
      <c r="B200" s="190"/>
      <c r="J200" s="157"/>
      <c r="K200" s="157"/>
      <c r="L200" s="157"/>
      <c r="M200" s="157"/>
      <c r="N200" s="157"/>
      <c r="O200" s="157"/>
    </row>
    <row r="201" spans="2:15" ht="15.75" customHeight="1" x14ac:dyDescent="0.45">
      <c r="B201" s="190"/>
      <c r="J201" s="157"/>
      <c r="K201" s="157"/>
      <c r="L201" s="157"/>
      <c r="M201" s="157"/>
      <c r="N201" s="157"/>
      <c r="O201" s="157"/>
    </row>
    <row r="202" spans="2:15" ht="15.75" customHeight="1" x14ac:dyDescent="0.45">
      <c r="B202" s="190"/>
      <c r="J202" s="157"/>
      <c r="K202" s="157"/>
      <c r="L202" s="157"/>
      <c r="M202" s="157"/>
      <c r="N202" s="157"/>
      <c r="O202" s="157"/>
    </row>
    <row r="203" spans="2:15" ht="15.75" customHeight="1" x14ac:dyDescent="0.45">
      <c r="B203" s="190"/>
      <c r="J203" s="157"/>
      <c r="K203" s="157"/>
      <c r="L203" s="157"/>
      <c r="M203" s="157"/>
      <c r="N203" s="157"/>
      <c r="O203" s="157"/>
    </row>
    <row r="204" spans="2:15" ht="15.75" customHeight="1" x14ac:dyDescent="0.45">
      <c r="B204" s="190"/>
      <c r="J204" s="157"/>
      <c r="K204" s="157"/>
      <c r="L204" s="157"/>
      <c r="M204" s="157"/>
      <c r="N204" s="157"/>
      <c r="O204" s="157"/>
    </row>
    <row r="205" spans="2:15" ht="15.75" customHeight="1" x14ac:dyDescent="0.45">
      <c r="B205" s="190"/>
      <c r="J205" s="157"/>
      <c r="K205" s="157"/>
      <c r="L205" s="157"/>
      <c r="M205" s="157"/>
      <c r="N205" s="157"/>
      <c r="O205" s="157"/>
    </row>
    <row r="206" spans="2:15" ht="15.75" customHeight="1" x14ac:dyDescent="0.45">
      <c r="B206" s="190"/>
      <c r="J206" s="157"/>
      <c r="K206" s="157"/>
      <c r="L206" s="157"/>
      <c r="M206" s="157"/>
      <c r="N206" s="157"/>
      <c r="O206" s="157"/>
    </row>
    <row r="207" spans="2:15" ht="15.75" customHeight="1" x14ac:dyDescent="0.45">
      <c r="B207" s="190"/>
      <c r="J207" s="157"/>
      <c r="K207" s="157"/>
      <c r="L207" s="157"/>
      <c r="M207" s="157"/>
      <c r="N207" s="157"/>
      <c r="O207" s="157"/>
    </row>
    <row r="208" spans="2:15" ht="15.75" customHeight="1" x14ac:dyDescent="0.45">
      <c r="B208" s="190"/>
      <c r="J208" s="157"/>
      <c r="K208" s="157"/>
      <c r="L208" s="157"/>
      <c r="M208" s="157"/>
      <c r="N208" s="157"/>
      <c r="O208" s="157"/>
    </row>
    <row r="209" spans="2:15" ht="15.75" customHeight="1" x14ac:dyDescent="0.45">
      <c r="B209" s="190"/>
      <c r="J209" s="157"/>
      <c r="K209" s="157"/>
      <c r="L209" s="157"/>
      <c r="M209" s="157"/>
      <c r="N209" s="157"/>
      <c r="O209" s="157"/>
    </row>
    <row r="210" spans="2:15" ht="15.75" customHeight="1" x14ac:dyDescent="0.45">
      <c r="B210" s="190"/>
      <c r="J210" s="157"/>
      <c r="K210" s="157"/>
      <c r="L210" s="157"/>
      <c r="M210" s="157"/>
      <c r="N210" s="157"/>
      <c r="O210" s="157"/>
    </row>
    <row r="211" spans="2:15" ht="15.75" customHeight="1" x14ac:dyDescent="0.45">
      <c r="B211" s="190"/>
      <c r="J211" s="157"/>
      <c r="K211" s="157"/>
      <c r="L211" s="157"/>
      <c r="M211" s="157"/>
      <c r="N211" s="157"/>
      <c r="O211" s="157"/>
    </row>
    <row r="212" spans="2:15" ht="15.75" customHeight="1" x14ac:dyDescent="0.45">
      <c r="B212" s="190"/>
      <c r="J212" s="157"/>
      <c r="K212" s="157"/>
      <c r="L212" s="157"/>
      <c r="M212" s="157"/>
      <c r="N212" s="157"/>
      <c r="O212" s="157"/>
    </row>
    <row r="213" spans="2:15" ht="15.75" customHeight="1" x14ac:dyDescent="0.45">
      <c r="B213" s="190"/>
      <c r="J213" s="157"/>
      <c r="K213" s="157"/>
      <c r="L213" s="157"/>
      <c r="M213" s="157"/>
      <c r="N213" s="157"/>
      <c r="O213" s="157"/>
    </row>
    <row r="214" spans="2:15" ht="15.75" customHeight="1" x14ac:dyDescent="0.45">
      <c r="B214" s="190"/>
      <c r="J214" s="157"/>
      <c r="K214" s="157"/>
      <c r="L214" s="157"/>
      <c r="M214" s="157"/>
      <c r="N214" s="157"/>
      <c r="O214" s="157"/>
    </row>
    <row r="215" spans="2:15" ht="15.75" customHeight="1" x14ac:dyDescent="0.45">
      <c r="B215" s="190"/>
      <c r="J215" s="157"/>
      <c r="K215" s="157"/>
      <c r="L215" s="157"/>
      <c r="M215" s="157"/>
      <c r="N215" s="157"/>
      <c r="O215" s="157"/>
    </row>
    <row r="216" spans="2:15" ht="15.75" customHeight="1" x14ac:dyDescent="0.45">
      <c r="B216" s="190"/>
      <c r="J216" s="157"/>
      <c r="K216" s="157"/>
      <c r="L216" s="157"/>
      <c r="M216" s="157"/>
      <c r="N216" s="157"/>
      <c r="O216" s="157"/>
    </row>
    <row r="217" spans="2:15" ht="15.75" customHeight="1" x14ac:dyDescent="0.45">
      <c r="B217" s="190"/>
      <c r="J217" s="157"/>
      <c r="K217" s="157"/>
      <c r="L217" s="157"/>
      <c r="M217" s="157"/>
      <c r="N217" s="157"/>
      <c r="O217" s="157"/>
    </row>
    <row r="218" spans="2:15" ht="15.75" customHeight="1" x14ac:dyDescent="0.45">
      <c r="B218" s="190"/>
      <c r="J218" s="157"/>
      <c r="K218" s="157"/>
      <c r="L218" s="157"/>
      <c r="M218" s="157"/>
      <c r="N218" s="157"/>
      <c r="O218" s="157"/>
    </row>
    <row r="219" spans="2:15" ht="15.75" customHeight="1" x14ac:dyDescent="0.45">
      <c r="B219" s="190"/>
      <c r="J219" s="157"/>
      <c r="K219" s="157"/>
      <c r="L219" s="157"/>
      <c r="M219" s="157"/>
      <c r="N219" s="157"/>
      <c r="O219" s="157"/>
    </row>
    <row r="220" spans="2:15" ht="15.75" customHeight="1" x14ac:dyDescent="0.45">
      <c r="B220" s="190"/>
      <c r="J220" s="157"/>
      <c r="K220" s="157"/>
      <c r="L220" s="157"/>
      <c r="M220" s="157"/>
      <c r="N220" s="157"/>
      <c r="O220" s="157"/>
    </row>
    <row r="221" spans="2:15" ht="15.75" customHeight="1" x14ac:dyDescent="0.45">
      <c r="B221" s="190"/>
      <c r="J221" s="157"/>
      <c r="K221" s="157"/>
      <c r="L221" s="157"/>
      <c r="M221" s="157"/>
      <c r="N221" s="157"/>
      <c r="O221" s="157"/>
    </row>
    <row r="222" spans="2:15" ht="15.75" customHeight="1" x14ac:dyDescent="0.45">
      <c r="B222" s="190"/>
      <c r="J222" s="157"/>
      <c r="K222" s="157"/>
      <c r="L222" s="157"/>
      <c r="M222" s="157"/>
      <c r="N222" s="157"/>
      <c r="O222" s="157"/>
    </row>
    <row r="223" spans="2:15" ht="15.75" customHeight="1" x14ac:dyDescent="0.45">
      <c r="B223" s="190"/>
      <c r="J223" s="157"/>
      <c r="K223" s="157"/>
      <c r="L223" s="157"/>
      <c r="M223" s="157"/>
      <c r="N223" s="157"/>
      <c r="O223" s="157"/>
    </row>
    <row r="224" spans="2:15" ht="15.75" customHeight="1" x14ac:dyDescent="0.45">
      <c r="B224" s="190"/>
      <c r="J224" s="157"/>
      <c r="K224" s="157"/>
      <c r="L224" s="157"/>
      <c r="M224" s="157"/>
      <c r="N224" s="157"/>
      <c r="O224" s="157"/>
    </row>
    <row r="225" spans="2:15" ht="15.75" customHeight="1" x14ac:dyDescent="0.45">
      <c r="B225" s="190"/>
      <c r="J225" s="157"/>
      <c r="K225" s="157"/>
      <c r="L225" s="157"/>
      <c r="M225" s="157"/>
      <c r="N225" s="157"/>
      <c r="O225" s="157"/>
    </row>
    <row r="226" spans="2:15" ht="15.75" customHeight="1" x14ac:dyDescent="0.45">
      <c r="B226" s="190"/>
      <c r="J226" s="157"/>
      <c r="K226" s="157"/>
      <c r="L226" s="157"/>
      <c r="M226" s="157"/>
      <c r="N226" s="157"/>
      <c r="O226" s="157"/>
    </row>
    <row r="227" spans="2:15" ht="15.75" customHeight="1" x14ac:dyDescent="0.45">
      <c r="B227" s="190"/>
      <c r="J227" s="157"/>
      <c r="K227" s="157"/>
      <c r="L227" s="157"/>
      <c r="M227" s="157"/>
      <c r="N227" s="157"/>
      <c r="O227" s="157"/>
    </row>
    <row r="228" spans="2:15" ht="15.75" customHeight="1" x14ac:dyDescent="0.45">
      <c r="B228" s="190"/>
      <c r="J228" s="157"/>
      <c r="K228" s="157"/>
      <c r="L228" s="157"/>
      <c r="M228" s="157"/>
      <c r="N228" s="157"/>
      <c r="O228" s="157"/>
    </row>
    <row r="229" spans="2:15" ht="15.75" customHeight="1" x14ac:dyDescent="0.45">
      <c r="B229" s="190"/>
      <c r="J229" s="157"/>
      <c r="K229" s="157"/>
      <c r="L229" s="157"/>
      <c r="M229" s="157"/>
      <c r="N229" s="157"/>
      <c r="O229" s="157"/>
    </row>
    <row r="230" spans="2:15" ht="15.75" customHeight="1" x14ac:dyDescent="0.45">
      <c r="B230" s="190"/>
      <c r="J230" s="157"/>
      <c r="K230" s="157"/>
      <c r="L230" s="157"/>
      <c r="M230" s="157"/>
      <c r="N230" s="157"/>
      <c r="O230" s="157"/>
    </row>
    <row r="231" spans="2:15" ht="15.75" customHeight="1" x14ac:dyDescent="0.45">
      <c r="B231" s="190"/>
      <c r="J231" s="157"/>
      <c r="K231" s="157"/>
      <c r="L231" s="157"/>
      <c r="M231" s="157"/>
      <c r="N231" s="157"/>
      <c r="O231" s="157"/>
    </row>
    <row r="232" spans="2:15" ht="15.75" customHeight="1" x14ac:dyDescent="0.45">
      <c r="B232" s="190"/>
      <c r="J232" s="157"/>
      <c r="K232" s="157"/>
      <c r="L232" s="157"/>
      <c r="M232" s="157"/>
      <c r="N232" s="157"/>
      <c r="O232" s="157"/>
    </row>
    <row r="233" spans="2:15" ht="15.75" customHeight="1" x14ac:dyDescent="0.45">
      <c r="B233" s="190"/>
      <c r="J233" s="157"/>
      <c r="K233" s="157"/>
      <c r="L233" s="157"/>
      <c r="M233" s="157"/>
      <c r="N233" s="157"/>
      <c r="O233" s="157"/>
    </row>
    <row r="234" spans="2:15" ht="15.75" customHeight="1" x14ac:dyDescent="0.45">
      <c r="B234" s="190"/>
      <c r="J234" s="157"/>
      <c r="K234" s="157"/>
      <c r="L234" s="157"/>
      <c r="M234" s="157"/>
      <c r="N234" s="157"/>
      <c r="O234" s="157"/>
    </row>
    <row r="235" spans="2:15" ht="15.75" customHeight="1" x14ac:dyDescent="0.45">
      <c r="B235" s="190"/>
      <c r="J235" s="157"/>
      <c r="K235" s="157"/>
      <c r="L235" s="157"/>
      <c r="M235" s="157"/>
      <c r="N235" s="157"/>
      <c r="O235" s="157"/>
    </row>
    <row r="236" spans="2:15" ht="15.75" customHeight="1" x14ac:dyDescent="0.45">
      <c r="B236" s="190"/>
      <c r="J236" s="157"/>
      <c r="K236" s="157"/>
      <c r="L236" s="157"/>
      <c r="M236" s="157"/>
      <c r="N236" s="157"/>
      <c r="O236" s="157"/>
    </row>
    <row r="237" spans="2:15" ht="15.75" customHeight="1" x14ac:dyDescent="0.45">
      <c r="B237" s="190"/>
      <c r="J237" s="157"/>
      <c r="K237" s="157"/>
      <c r="L237" s="157"/>
      <c r="M237" s="157"/>
      <c r="N237" s="157"/>
      <c r="O237" s="157"/>
    </row>
    <row r="238" spans="2:15" ht="15.75" customHeight="1" x14ac:dyDescent="0.45">
      <c r="B238" s="190"/>
      <c r="J238" s="157"/>
      <c r="K238" s="157"/>
      <c r="L238" s="157"/>
      <c r="M238" s="157"/>
      <c r="N238" s="157"/>
      <c r="O238" s="157"/>
    </row>
    <row r="239" spans="2:15" ht="15.75" customHeight="1" x14ac:dyDescent="0.45">
      <c r="B239" s="190"/>
      <c r="J239" s="157"/>
      <c r="K239" s="157"/>
      <c r="L239" s="157"/>
      <c r="M239" s="157"/>
      <c r="N239" s="157"/>
      <c r="O239" s="157"/>
    </row>
    <row r="240" spans="2:15" ht="15.75" customHeight="1" x14ac:dyDescent="0.45">
      <c r="B240" s="190"/>
      <c r="J240" s="157"/>
      <c r="K240" s="157"/>
      <c r="L240" s="157"/>
      <c r="M240" s="157"/>
      <c r="N240" s="157"/>
      <c r="O240" s="157"/>
    </row>
    <row r="241" spans="2:15" ht="15.75" customHeight="1" x14ac:dyDescent="0.45">
      <c r="B241" s="190"/>
      <c r="J241" s="157"/>
      <c r="K241" s="157"/>
      <c r="L241" s="157"/>
      <c r="M241" s="157"/>
      <c r="N241" s="157"/>
      <c r="O241" s="157"/>
    </row>
    <row r="242" spans="2:15" ht="15.75" customHeight="1" x14ac:dyDescent="0.45">
      <c r="B242" s="190"/>
      <c r="J242" s="157"/>
      <c r="K242" s="157"/>
      <c r="L242" s="157"/>
      <c r="M242" s="157"/>
      <c r="N242" s="157"/>
      <c r="O242" s="157"/>
    </row>
    <row r="243" spans="2:15" ht="15.75" customHeight="1" x14ac:dyDescent="0.45">
      <c r="B243" s="190"/>
      <c r="J243" s="157"/>
      <c r="K243" s="157"/>
      <c r="L243" s="157"/>
      <c r="M243" s="157"/>
      <c r="N243" s="157"/>
      <c r="O243" s="157"/>
    </row>
    <row r="244" spans="2:15" ht="15.75" customHeight="1" x14ac:dyDescent="0.45">
      <c r="B244" s="190"/>
      <c r="J244" s="157"/>
      <c r="K244" s="157"/>
      <c r="L244" s="157"/>
      <c r="M244" s="157"/>
      <c r="N244" s="157"/>
      <c r="O244" s="157"/>
    </row>
    <row r="245" spans="2:15" ht="15.75" customHeight="1" x14ac:dyDescent="0.45">
      <c r="B245" s="190"/>
      <c r="J245" s="157"/>
      <c r="K245" s="157"/>
      <c r="L245" s="157"/>
      <c r="M245" s="157"/>
      <c r="N245" s="157"/>
      <c r="O245" s="157"/>
    </row>
    <row r="246" spans="2:15" ht="15.75" customHeight="1" x14ac:dyDescent="0.45">
      <c r="B246" s="190"/>
      <c r="J246" s="157"/>
      <c r="K246" s="157"/>
      <c r="L246" s="157"/>
      <c r="M246" s="157"/>
      <c r="N246" s="157"/>
      <c r="O246" s="157"/>
    </row>
    <row r="247" spans="2:15" ht="15.75" customHeight="1" x14ac:dyDescent="0.45">
      <c r="B247" s="190"/>
      <c r="J247" s="157"/>
      <c r="K247" s="157"/>
      <c r="L247" s="157"/>
      <c r="M247" s="157"/>
      <c r="N247" s="157"/>
      <c r="O247" s="157"/>
    </row>
    <row r="248" spans="2:15" ht="15.75" customHeight="1" x14ac:dyDescent="0.45">
      <c r="B248" s="190"/>
      <c r="J248" s="157"/>
      <c r="K248" s="157"/>
      <c r="L248" s="157"/>
      <c r="M248" s="157"/>
      <c r="N248" s="157"/>
      <c r="O248" s="157"/>
    </row>
    <row r="249" spans="2:15" ht="15.75" customHeight="1" x14ac:dyDescent="0.45">
      <c r="B249" s="190"/>
      <c r="J249" s="157"/>
      <c r="K249" s="157"/>
      <c r="L249" s="157"/>
      <c r="M249" s="157"/>
      <c r="N249" s="157"/>
      <c r="O249" s="157"/>
    </row>
    <row r="250" spans="2:15" ht="15.75" customHeight="1" x14ac:dyDescent="0.45">
      <c r="B250" s="190"/>
      <c r="J250" s="157"/>
      <c r="K250" s="157"/>
      <c r="L250" s="157"/>
      <c r="M250" s="157"/>
      <c r="N250" s="157"/>
      <c r="O250" s="157"/>
    </row>
    <row r="251" spans="2:15" ht="15.75" customHeight="1" x14ac:dyDescent="0.45">
      <c r="B251" s="190"/>
      <c r="J251" s="157"/>
      <c r="K251" s="157"/>
      <c r="L251" s="157"/>
      <c r="M251" s="157"/>
      <c r="N251" s="157"/>
      <c r="O251" s="157"/>
    </row>
    <row r="252" spans="2:15" ht="15.75" customHeight="1" x14ac:dyDescent="0.45">
      <c r="B252" s="190"/>
      <c r="J252" s="157"/>
      <c r="K252" s="157"/>
      <c r="L252" s="157"/>
      <c r="M252" s="157"/>
      <c r="N252" s="157"/>
      <c r="O252" s="157"/>
    </row>
    <row r="253" spans="2:15" ht="15.75" customHeight="1" x14ac:dyDescent="0.45">
      <c r="B253" s="190"/>
      <c r="J253" s="157"/>
      <c r="K253" s="157"/>
      <c r="L253" s="157"/>
      <c r="M253" s="157"/>
      <c r="N253" s="157"/>
      <c r="O253" s="157"/>
    </row>
    <row r="254" spans="2:15" ht="15.75" customHeight="1" x14ac:dyDescent="0.45">
      <c r="B254" s="190"/>
      <c r="J254" s="157"/>
      <c r="K254" s="157"/>
      <c r="L254" s="157"/>
      <c r="M254" s="157"/>
      <c r="N254" s="157"/>
      <c r="O254" s="157"/>
    </row>
    <row r="255" spans="2:15" ht="15.75" customHeight="1" x14ac:dyDescent="0.45">
      <c r="B255" s="190"/>
      <c r="J255" s="157"/>
      <c r="K255" s="157"/>
      <c r="L255" s="157"/>
      <c r="M255" s="157"/>
      <c r="N255" s="157"/>
      <c r="O255" s="157"/>
    </row>
    <row r="256" spans="2:15" ht="15.75" customHeight="1" x14ac:dyDescent="0.45">
      <c r="B256" s="190"/>
      <c r="J256" s="157"/>
      <c r="K256" s="157"/>
      <c r="L256" s="157"/>
      <c r="M256" s="157"/>
      <c r="N256" s="157"/>
      <c r="O256" s="157"/>
    </row>
    <row r="257" spans="2:15" ht="15.75" customHeight="1" x14ac:dyDescent="0.45">
      <c r="B257" s="190"/>
      <c r="J257" s="157"/>
      <c r="K257" s="157"/>
      <c r="L257" s="157"/>
      <c r="M257" s="157"/>
      <c r="N257" s="157"/>
      <c r="O257" s="157"/>
    </row>
    <row r="258" spans="2:15" ht="15.75" customHeight="1" x14ac:dyDescent="0.45">
      <c r="B258" s="190"/>
      <c r="J258" s="157"/>
      <c r="K258" s="157"/>
      <c r="L258" s="157"/>
      <c r="M258" s="157"/>
      <c r="N258" s="157"/>
      <c r="O258" s="157"/>
    </row>
    <row r="259" spans="2:15" ht="15.75" customHeight="1" x14ac:dyDescent="0.45">
      <c r="B259" s="190"/>
      <c r="J259" s="157"/>
      <c r="K259" s="157"/>
      <c r="L259" s="157"/>
      <c r="M259" s="157"/>
      <c r="N259" s="157"/>
      <c r="O259" s="157"/>
    </row>
    <row r="260" spans="2:15" ht="15.75" customHeight="1" x14ac:dyDescent="0.45">
      <c r="B260" s="190"/>
      <c r="J260" s="157"/>
      <c r="K260" s="157"/>
      <c r="L260" s="157"/>
      <c r="M260" s="157"/>
      <c r="N260" s="157"/>
      <c r="O260" s="157"/>
    </row>
    <row r="261" spans="2:15" ht="15.75" customHeight="1" x14ac:dyDescent="0.45">
      <c r="B261" s="190"/>
      <c r="J261" s="157"/>
      <c r="K261" s="157"/>
      <c r="L261" s="157"/>
      <c r="M261" s="157"/>
      <c r="N261" s="157"/>
      <c r="O261" s="157"/>
    </row>
    <row r="262" spans="2:15" ht="15.75" customHeight="1" x14ac:dyDescent="0.45">
      <c r="B262" s="190"/>
      <c r="J262" s="157"/>
      <c r="K262" s="157"/>
      <c r="L262" s="157"/>
      <c r="M262" s="157"/>
      <c r="N262" s="157"/>
      <c r="O262" s="157"/>
    </row>
    <row r="263" spans="2:15" ht="15.75" customHeight="1" x14ac:dyDescent="0.45">
      <c r="B263" s="190"/>
      <c r="J263" s="157"/>
      <c r="K263" s="157"/>
      <c r="L263" s="157"/>
      <c r="M263" s="157"/>
      <c r="N263" s="157"/>
      <c r="O263" s="157"/>
    </row>
    <row r="264" spans="2:15" ht="15.75" customHeight="1" x14ac:dyDescent="0.45">
      <c r="B264" s="190"/>
      <c r="J264" s="157"/>
      <c r="K264" s="157"/>
      <c r="L264" s="157"/>
      <c r="M264" s="157"/>
      <c r="N264" s="157"/>
      <c r="O264" s="157"/>
    </row>
    <row r="265" spans="2:15" ht="15.75" customHeight="1" x14ac:dyDescent="0.45">
      <c r="B265" s="190"/>
      <c r="J265" s="157"/>
      <c r="K265" s="157"/>
      <c r="L265" s="157"/>
      <c r="M265" s="157"/>
      <c r="N265" s="157"/>
      <c r="O265" s="157"/>
    </row>
    <row r="266" spans="2:15" ht="15.75" customHeight="1" x14ac:dyDescent="0.45">
      <c r="B266" s="190"/>
      <c r="J266" s="157"/>
      <c r="K266" s="157"/>
      <c r="L266" s="157"/>
      <c r="M266" s="157"/>
      <c r="N266" s="157"/>
      <c r="O266" s="157"/>
    </row>
    <row r="267" spans="2:15" ht="15.75" customHeight="1" x14ac:dyDescent="0.45">
      <c r="B267" s="190"/>
      <c r="J267" s="157"/>
      <c r="K267" s="157"/>
      <c r="L267" s="157"/>
      <c r="M267" s="157"/>
      <c r="N267" s="157"/>
      <c r="O267" s="157"/>
    </row>
    <row r="268" spans="2:15" ht="15.75" customHeight="1" x14ac:dyDescent="0.45">
      <c r="B268" s="190"/>
      <c r="J268" s="157"/>
      <c r="K268" s="157"/>
      <c r="L268" s="157"/>
      <c r="M268" s="157"/>
      <c r="N268" s="157"/>
      <c r="O268" s="157"/>
    </row>
    <row r="269" spans="2:15" ht="15.75" customHeight="1" x14ac:dyDescent="0.45">
      <c r="B269" s="190"/>
      <c r="J269" s="157"/>
      <c r="K269" s="157"/>
      <c r="L269" s="157"/>
      <c r="M269" s="157"/>
      <c r="N269" s="157"/>
      <c r="O269" s="157"/>
    </row>
    <row r="270" spans="2:15" ht="15.75" customHeight="1" x14ac:dyDescent="0.45">
      <c r="B270" s="190"/>
      <c r="J270" s="157"/>
      <c r="K270" s="157"/>
      <c r="L270" s="157"/>
      <c r="M270" s="157"/>
      <c r="N270" s="157"/>
      <c r="O270" s="157"/>
    </row>
    <row r="271" spans="2:15" ht="15.75" customHeight="1" x14ac:dyDescent="0.45">
      <c r="B271" s="190"/>
      <c r="J271" s="157"/>
      <c r="K271" s="157"/>
      <c r="L271" s="157"/>
      <c r="M271" s="157"/>
      <c r="N271" s="157"/>
      <c r="O271" s="157"/>
    </row>
    <row r="272" spans="2:15" ht="15.75" customHeight="1" x14ac:dyDescent="0.45">
      <c r="B272" s="190"/>
      <c r="J272" s="157"/>
      <c r="K272" s="157"/>
      <c r="L272" s="157"/>
      <c r="M272" s="157"/>
      <c r="N272" s="157"/>
      <c r="O272" s="157"/>
    </row>
    <row r="273" spans="2:15" ht="15.75" customHeight="1" x14ac:dyDescent="0.45">
      <c r="B273" s="190"/>
      <c r="J273" s="157"/>
      <c r="K273" s="157"/>
      <c r="L273" s="157"/>
      <c r="M273" s="157"/>
      <c r="N273" s="157"/>
      <c r="O273" s="157"/>
    </row>
    <row r="274" spans="2:15" ht="15.75" customHeight="1" x14ac:dyDescent="0.45">
      <c r="B274" s="190"/>
      <c r="J274" s="157"/>
      <c r="K274" s="157"/>
      <c r="L274" s="157"/>
      <c r="M274" s="157"/>
      <c r="N274" s="157"/>
      <c r="O274" s="157"/>
    </row>
    <row r="275" spans="2:15" ht="15.75" customHeight="1" x14ac:dyDescent="0.45">
      <c r="B275" s="190"/>
      <c r="J275" s="157"/>
      <c r="K275" s="157"/>
      <c r="L275" s="157"/>
      <c r="M275" s="157"/>
      <c r="N275" s="157"/>
      <c r="O275" s="157"/>
    </row>
    <row r="276" spans="2:15" ht="15.75" customHeight="1" x14ac:dyDescent="0.45">
      <c r="B276" s="190"/>
      <c r="J276" s="157"/>
      <c r="K276" s="157"/>
      <c r="L276" s="157"/>
      <c r="M276" s="157"/>
      <c r="N276" s="157"/>
      <c r="O276" s="157"/>
    </row>
    <row r="277" spans="2:15" ht="15.75" customHeight="1" x14ac:dyDescent="0.45">
      <c r="B277" s="190"/>
      <c r="J277" s="157"/>
      <c r="K277" s="157"/>
      <c r="L277" s="157"/>
      <c r="M277" s="157"/>
      <c r="N277" s="157"/>
      <c r="O277" s="157"/>
    </row>
    <row r="278" spans="2:15" ht="15.75" customHeight="1" x14ac:dyDescent="0.45">
      <c r="B278" s="190"/>
      <c r="J278" s="157"/>
      <c r="K278" s="157"/>
      <c r="L278" s="157"/>
      <c r="M278" s="157"/>
      <c r="N278" s="157"/>
      <c r="O278" s="157"/>
    </row>
    <row r="279" spans="2:15" ht="15.75" customHeight="1" x14ac:dyDescent="0.45">
      <c r="B279" s="190"/>
      <c r="J279" s="157"/>
      <c r="K279" s="157"/>
      <c r="L279" s="157"/>
      <c r="M279" s="157"/>
      <c r="N279" s="157"/>
      <c r="O279" s="157"/>
    </row>
    <row r="280" spans="2:15" ht="15.75" customHeight="1" x14ac:dyDescent="0.45">
      <c r="B280" s="190"/>
      <c r="J280" s="157"/>
      <c r="K280" s="157"/>
      <c r="L280" s="157"/>
      <c r="M280" s="157"/>
      <c r="N280" s="157"/>
      <c r="O280" s="157"/>
    </row>
    <row r="281" spans="2:15" ht="15.75" customHeight="1" x14ac:dyDescent="0.45">
      <c r="B281" s="190"/>
      <c r="J281" s="157"/>
      <c r="K281" s="157"/>
      <c r="L281" s="157"/>
      <c r="M281" s="157"/>
      <c r="N281" s="157"/>
      <c r="O281" s="157"/>
    </row>
    <row r="282" spans="2:15" ht="15.75" customHeight="1" x14ac:dyDescent="0.45">
      <c r="B282" s="190"/>
      <c r="J282" s="157"/>
      <c r="K282" s="157"/>
      <c r="L282" s="157"/>
      <c r="M282" s="157"/>
      <c r="N282" s="157"/>
      <c r="O282" s="157"/>
    </row>
    <row r="283" spans="2:15" ht="15.75" customHeight="1" x14ac:dyDescent="0.45">
      <c r="B283" s="190"/>
      <c r="J283" s="157"/>
      <c r="K283" s="157"/>
      <c r="L283" s="157"/>
      <c r="M283" s="157"/>
      <c r="N283" s="157"/>
      <c r="O283" s="157"/>
    </row>
    <row r="284" spans="2:15" ht="15.75" customHeight="1" x14ac:dyDescent="0.45">
      <c r="B284" s="190"/>
      <c r="J284" s="157"/>
      <c r="K284" s="157"/>
      <c r="L284" s="157"/>
      <c r="M284" s="157"/>
      <c r="N284" s="157"/>
      <c r="O284" s="157"/>
    </row>
    <row r="285" spans="2:15" ht="15.75" customHeight="1" x14ac:dyDescent="0.45">
      <c r="B285" s="190"/>
      <c r="J285" s="157"/>
      <c r="K285" s="157"/>
      <c r="L285" s="157"/>
      <c r="M285" s="157"/>
      <c r="N285" s="157"/>
      <c r="O285" s="157"/>
    </row>
    <row r="286" spans="2:15" ht="15.75" customHeight="1" x14ac:dyDescent="0.45">
      <c r="B286" s="190"/>
      <c r="J286" s="157"/>
      <c r="K286" s="157"/>
      <c r="L286" s="157"/>
      <c r="M286" s="157"/>
      <c r="N286" s="157"/>
      <c r="O286" s="157"/>
    </row>
    <row r="287" spans="2:15" ht="15.75" customHeight="1" x14ac:dyDescent="0.45">
      <c r="B287" s="190"/>
      <c r="J287" s="157"/>
      <c r="K287" s="157"/>
      <c r="L287" s="157"/>
      <c r="M287" s="157"/>
      <c r="N287" s="157"/>
      <c r="O287" s="157"/>
    </row>
    <row r="288" spans="2:15" ht="15.75" customHeight="1" x14ac:dyDescent="0.45">
      <c r="B288" s="190"/>
      <c r="J288" s="157"/>
      <c r="K288" s="157"/>
      <c r="L288" s="157"/>
      <c r="M288" s="157"/>
      <c r="N288" s="157"/>
      <c r="O288" s="157"/>
    </row>
    <row r="289" spans="2:15" ht="15.75" customHeight="1" x14ac:dyDescent="0.45">
      <c r="B289" s="190"/>
      <c r="J289" s="157"/>
      <c r="K289" s="157"/>
      <c r="L289" s="157"/>
      <c r="M289" s="157"/>
      <c r="N289" s="157"/>
      <c r="O289" s="157"/>
    </row>
    <row r="290" spans="2:15" ht="15.75" customHeight="1" x14ac:dyDescent="0.45">
      <c r="B290" s="190"/>
      <c r="J290" s="157"/>
      <c r="K290" s="157"/>
      <c r="L290" s="157"/>
      <c r="M290" s="157"/>
      <c r="N290" s="157"/>
      <c r="O290" s="157"/>
    </row>
    <row r="291" spans="2:15" ht="15.75" customHeight="1" x14ac:dyDescent="0.45">
      <c r="B291" s="190"/>
      <c r="J291" s="157"/>
      <c r="K291" s="157"/>
      <c r="L291" s="157"/>
      <c r="M291" s="157"/>
      <c r="N291" s="157"/>
      <c r="O291" s="157"/>
    </row>
    <row r="292" spans="2:15" ht="15.75" customHeight="1" x14ac:dyDescent="0.45">
      <c r="B292" s="190"/>
      <c r="J292" s="157"/>
      <c r="K292" s="157"/>
      <c r="L292" s="157"/>
      <c r="M292" s="157"/>
      <c r="N292" s="157"/>
      <c r="O292" s="157"/>
    </row>
    <row r="293" spans="2:15" ht="15.75" customHeight="1" x14ac:dyDescent="0.45">
      <c r="B293" s="190"/>
      <c r="J293" s="157"/>
      <c r="K293" s="157"/>
      <c r="L293" s="157"/>
      <c r="M293" s="157"/>
      <c r="N293" s="157"/>
      <c r="O293" s="157"/>
    </row>
    <row r="294" spans="2:15" ht="15.75" customHeight="1" x14ac:dyDescent="0.45">
      <c r="B294" s="190"/>
      <c r="J294" s="157"/>
      <c r="K294" s="157"/>
      <c r="L294" s="157"/>
      <c r="M294" s="157"/>
      <c r="N294" s="157"/>
      <c r="O294" s="157"/>
    </row>
    <row r="295" spans="2:15" ht="15.75" customHeight="1" x14ac:dyDescent="0.45">
      <c r="B295" s="190"/>
      <c r="J295" s="157"/>
      <c r="K295" s="157"/>
      <c r="L295" s="157"/>
      <c r="M295" s="157"/>
      <c r="N295" s="157"/>
      <c r="O295" s="157"/>
    </row>
    <row r="296" spans="2:15" ht="15.75" customHeight="1" x14ac:dyDescent="0.45">
      <c r="B296" s="190"/>
      <c r="J296" s="157"/>
      <c r="K296" s="157"/>
      <c r="L296" s="157"/>
      <c r="M296" s="157"/>
      <c r="N296" s="157"/>
      <c r="O296" s="157"/>
    </row>
    <row r="297" spans="2:15" ht="15.75" customHeight="1" x14ac:dyDescent="0.45">
      <c r="B297" s="190"/>
      <c r="J297" s="157"/>
      <c r="K297" s="157"/>
      <c r="L297" s="157"/>
      <c r="M297" s="157"/>
      <c r="N297" s="157"/>
      <c r="O297" s="157"/>
    </row>
    <row r="298" spans="2:15" ht="15.75" customHeight="1" x14ac:dyDescent="0.45">
      <c r="B298" s="190"/>
      <c r="J298" s="157"/>
      <c r="K298" s="157"/>
      <c r="L298" s="157"/>
      <c r="M298" s="157"/>
      <c r="N298" s="157"/>
      <c r="O298" s="157"/>
    </row>
    <row r="299" spans="2:15" ht="15.75" customHeight="1" x14ac:dyDescent="0.45">
      <c r="B299" s="190"/>
      <c r="J299" s="157"/>
      <c r="K299" s="157"/>
      <c r="L299" s="157"/>
      <c r="M299" s="157"/>
      <c r="N299" s="157"/>
      <c r="O299" s="157"/>
    </row>
    <row r="300" spans="2:15" ht="15.75" customHeight="1" x14ac:dyDescent="0.45">
      <c r="B300" s="190"/>
      <c r="J300" s="157"/>
      <c r="K300" s="157"/>
      <c r="L300" s="157"/>
      <c r="M300" s="157"/>
      <c r="N300" s="157"/>
      <c r="O300" s="157"/>
    </row>
    <row r="301" spans="2:15" ht="15.75" customHeight="1" x14ac:dyDescent="0.45">
      <c r="B301" s="190"/>
      <c r="J301" s="157"/>
      <c r="K301" s="157"/>
      <c r="L301" s="157"/>
      <c r="M301" s="157"/>
      <c r="N301" s="157"/>
      <c r="O301" s="157"/>
    </row>
    <row r="302" spans="2:15" ht="15.75" customHeight="1" x14ac:dyDescent="0.45">
      <c r="B302" s="190"/>
      <c r="J302" s="157"/>
      <c r="K302" s="157"/>
      <c r="L302" s="157"/>
      <c r="M302" s="157"/>
      <c r="N302" s="157"/>
      <c r="O302" s="157"/>
    </row>
    <row r="303" spans="2:15" ht="15.75" customHeight="1" x14ac:dyDescent="0.45">
      <c r="B303" s="190"/>
      <c r="J303" s="157"/>
      <c r="K303" s="157"/>
      <c r="L303" s="157"/>
      <c r="M303" s="157"/>
      <c r="N303" s="157"/>
      <c r="O303" s="157"/>
    </row>
    <row r="304" spans="2:15" ht="15.75" customHeight="1" x14ac:dyDescent="0.45">
      <c r="B304" s="190"/>
      <c r="J304" s="157"/>
      <c r="K304" s="157"/>
      <c r="L304" s="157"/>
      <c r="M304" s="157"/>
      <c r="N304" s="157"/>
      <c r="O304" s="157"/>
    </row>
    <row r="305" spans="2:15" ht="15.75" customHeight="1" x14ac:dyDescent="0.45">
      <c r="B305" s="190"/>
      <c r="J305" s="157"/>
      <c r="K305" s="157"/>
      <c r="L305" s="157"/>
      <c r="M305" s="157"/>
      <c r="N305" s="157"/>
      <c r="O305" s="157"/>
    </row>
    <row r="306" spans="2:15" ht="15.75" customHeight="1" x14ac:dyDescent="0.45">
      <c r="B306" s="190"/>
      <c r="J306" s="157"/>
      <c r="K306" s="157"/>
      <c r="L306" s="157"/>
      <c r="M306" s="157"/>
      <c r="N306" s="157"/>
      <c r="O306" s="157"/>
    </row>
    <row r="307" spans="2:15" ht="15.75" customHeight="1" x14ac:dyDescent="0.45">
      <c r="B307" s="190"/>
      <c r="J307" s="157"/>
      <c r="K307" s="157"/>
      <c r="L307" s="157"/>
      <c r="M307" s="157"/>
      <c r="N307" s="157"/>
      <c r="O307" s="157"/>
    </row>
    <row r="308" spans="2:15" ht="15.75" customHeight="1" x14ac:dyDescent="0.45">
      <c r="B308" s="190"/>
      <c r="J308" s="157"/>
      <c r="K308" s="157"/>
      <c r="L308" s="157"/>
      <c r="M308" s="157"/>
      <c r="N308" s="157"/>
      <c r="O308" s="157"/>
    </row>
    <row r="309" spans="2:15" ht="15.75" customHeight="1" x14ac:dyDescent="0.45">
      <c r="B309" s="190"/>
      <c r="J309" s="157"/>
      <c r="K309" s="157"/>
      <c r="L309" s="157"/>
      <c r="M309" s="157"/>
      <c r="N309" s="157"/>
      <c r="O309" s="157"/>
    </row>
    <row r="310" spans="2:15" ht="15.75" customHeight="1" x14ac:dyDescent="0.45">
      <c r="B310" s="190"/>
      <c r="J310" s="157"/>
      <c r="K310" s="157"/>
      <c r="L310" s="157"/>
      <c r="M310" s="157"/>
      <c r="N310" s="157"/>
      <c r="O310" s="157"/>
    </row>
    <row r="311" spans="2:15" ht="15.75" customHeight="1" x14ac:dyDescent="0.45">
      <c r="B311" s="190"/>
      <c r="J311" s="157"/>
      <c r="K311" s="157"/>
      <c r="L311" s="157"/>
      <c r="M311" s="157"/>
      <c r="N311" s="157"/>
      <c r="O311" s="157"/>
    </row>
    <row r="312" spans="2:15" ht="15.75" customHeight="1" x14ac:dyDescent="0.45">
      <c r="B312" s="190"/>
      <c r="J312" s="157"/>
      <c r="K312" s="157"/>
      <c r="L312" s="157"/>
      <c r="M312" s="157"/>
      <c r="N312" s="157"/>
      <c r="O312" s="157"/>
    </row>
    <row r="313" spans="2:15" ht="15.75" customHeight="1" x14ac:dyDescent="0.45">
      <c r="B313" s="190"/>
      <c r="J313" s="157"/>
      <c r="K313" s="157"/>
      <c r="L313" s="157"/>
      <c r="M313" s="157"/>
      <c r="N313" s="157"/>
      <c r="O313" s="157"/>
    </row>
    <row r="314" spans="2:15" ht="15.75" customHeight="1" x14ac:dyDescent="0.45">
      <c r="B314" s="190"/>
      <c r="J314" s="157"/>
      <c r="K314" s="157"/>
      <c r="L314" s="157"/>
      <c r="M314" s="157"/>
      <c r="N314" s="157"/>
      <c r="O314" s="157"/>
    </row>
    <row r="315" spans="2:15" ht="15.75" customHeight="1" x14ac:dyDescent="0.45">
      <c r="B315" s="190"/>
      <c r="J315" s="157"/>
      <c r="K315" s="157"/>
      <c r="L315" s="157"/>
      <c r="M315" s="157"/>
      <c r="N315" s="157"/>
      <c r="O315" s="157"/>
    </row>
    <row r="316" spans="2:15" ht="15.75" customHeight="1" x14ac:dyDescent="0.45">
      <c r="B316" s="190"/>
      <c r="J316" s="157"/>
      <c r="K316" s="157"/>
      <c r="L316" s="157"/>
      <c r="M316" s="157"/>
      <c r="N316" s="157"/>
      <c r="O316" s="157"/>
    </row>
    <row r="317" spans="2:15" ht="15.75" customHeight="1" x14ac:dyDescent="0.45">
      <c r="B317" s="190"/>
      <c r="J317" s="157"/>
      <c r="K317" s="157"/>
      <c r="L317" s="157"/>
      <c r="M317" s="157"/>
      <c r="N317" s="157"/>
      <c r="O317" s="157"/>
    </row>
    <row r="318" spans="2:15" ht="15.75" customHeight="1" x14ac:dyDescent="0.45">
      <c r="B318" s="190"/>
      <c r="J318" s="157"/>
      <c r="K318" s="157"/>
      <c r="L318" s="157"/>
      <c r="M318" s="157"/>
      <c r="N318" s="157"/>
      <c r="O318" s="157"/>
    </row>
    <row r="319" spans="2:15" ht="15.75" customHeight="1" x14ac:dyDescent="0.45">
      <c r="B319" s="190"/>
      <c r="J319" s="157"/>
      <c r="K319" s="157"/>
      <c r="L319" s="157"/>
      <c r="M319" s="157"/>
      <c r="N319" s="157"/>
      <c r="O319" s="157"/>
    </row>
    <row r="320" spans="2:15" ht="15.75" customHeight="1" x14ac:dyDescent="0.45">
      <c r="B320" s="190"/>
      <c r="J320" s="157"/>
      <c r="K320" s="157"/>
      <c r="L320" s="157"/>
      <c r="M320" s="157"/>
      <c r="N320" s="157"/>
      <c r="O320" s="157"/>
    </row>
    <row r="321" spans="2:15" ht="15.75" customHeight="1" x14ac:dyDescent="0.45">
      <c r="B321" s="190"/>
      <c r="J321" s="157"/>
      <c r="K321" s="157"/>
      <c r="L321" s="157"/>
      <c r="M321" s="157"/>
      <c r="N321" s="157"/>
      <c r="O321" s="157"/>
    </row>
    <row r="322" spans="2:15" ht="15.75" customHeight="1" x14ac:dyDescent="0.45">
      <c r="B322" s="190"/>
      <c r="J322" s="157"/>
      <c r="K322" s="157"/>
      <c r="L322" s="157"/>
      <c r="M322" s="157"/>
      <c r="N322" s="157"/>
      <c r="O322" s="157"/>
    </row>
    <row r="323" spans="2:15" ht="15.75" customHeight="1" x14ac:dyDescent="0.45">
      <c r="B323" s="190"/>
      <c r="J323" s="157"/>
      <c r="K323" s="157"/>
      <c r="L323" s="157"/>
      <c r="M323" s="157"/>
      <c r="N323" s="157"/>
      <c r="O323" s="157"/>
    </row>
    <row r="324" spans="2:15" ht="15.75" customHeight="1" x14ac:dyDescent="0.45">
      <c r="B324" s="190"/>
      <c r="J324" s="157"/>
      <c r="K324" s="157"/>
      <c r="L324" s="157"/>
      <c r="M324" s="157"/>
      <c r="N324" s="157"/>
      <c r="O324" s="157"/>
    </row>
    <row r="325" spans="2:15" ht="15.75" customHeight="1" x14ac:dyDescent="0.45">
      <c r="B325" s="190"/>
      <c r="J325" s="157"/>
      <c r="K325" s="157"/>
      <c r="L325" s="157"/>
      <c r="M325" s="157"/>
      <c r="N325" s="157"/>
      <c r="O325" s="157"/>
    </row>
    <row r="326" spans="2:15" ht="15.75" customHeight="1" x14ac:dyDescent="0.45">
      <c r="B326" s="190"/>
      <c r="J326" s="157"/>
      <c r="K326" s="157"/>
      <c r="L326" s="157"/>
      <c r="M326" s="157"/>
      <c r="N326" s="157"/>
      <c r="O326" s="157"/>
    </row>
    <row r="327" spans="2:15" ht="15.75" customHeight="1" x14ac:dyDescent="0.45">
      <c r="B327" s="190"/>
      <c r="J327" s="157"/>
      <c r="K327" s="157"/>
      <c r="L327" s="157"/>
      <c r="M327" s="157"/>
      <c r="N327" s="157"/>
      <c r="O327" s="157"/>
    </row>
    <row r="328" spans="2:15" ht="15.75" customHeight="1" x14ac:dyDescent="0.45">
      <c r="B328" s="190"/>
      <c r="J328" s="157"/>
      <c r="K328" s="157"/>
      <c r="L328" s="157"/>
      <c r="M328" s="157"/>
      <c r="N328" s="157"/>
      <c r="O328" s="157"/>
    </row>
    <row r="329" spans="2:15" ht="15.75" customHeight="1" x14ac:dyDescent="0.45">
      <c r="B329" s="190"/>
      <c r="J329" s="157"/>
      <c r="K329" s="157"/>
      <c r="L329" s="157"/>
      <c r="M329" s="157"/>
      <c r="N329" s="157"/>
      <c r="O329" s="157"/>
    </row>
    <row r="330" spans="2:15" ht="15.75" customHeight="1" x14ac:dyDescent="0.45">
      <c r="B330" s="190"/>
      <c r="J330" s="157"/>
      <c r="K330" s="157"/>
      <c r="L330" s="157"/>
      <c r="M330" s="157"/>
      <c r="N330" s="157"/>
      <c r="O330" s="157"/>
    </row>
    <row r="331" spans="2:15" ht="15.75" customHeight="1" x14ac:dyDescent="0.45">
      <c r="B331" s="190"/>
      <c r="J331" s="157"/>
      <c r="K331" s="157"/>
      <c r="L331" s="157"/>
      <c r="M331" s="157"/>
      <c r="N331" s="157"/>
      <c r="O331" s="157"/>
    </row>
    <row r="332" spans="2:15" ht="15.75" customHeight="1" x14ac:dyDescent="0.45">
      <c r="B332" s="190"/>
      <c r="J332" s="157"/>
      <c r="K332" s="157"/>
      <c r="L332" s="157"/>
      <c r="M332" s="157"/>
      <c r="N332" s="157"/>
      <c r="O332" s="157"/>
    </row>
    <row r="333" spans="2:15" ht="15.75" customHeight="1" x14ac:dyDescent="0.45">
      <c r="B333" s="190"/>
      <c r="J333" s="157"/>
      <c r="K333" s="157"/>
      <c r="L333" s="157"/>
      <c r="M333" s="157"/>
      <c r="N333" s="157"/>
      <c r="O333" s="157"/>
    </row>
    <row r="334" spans="2:15" ht="15.75" customHeight="1" x14ac:dyDescent="0.45">
      <c r="B334" s="190"/>
      <c r="J334" s="157"/>
      <c r="K334" s="157"/>
      <c r="L334" s="157"/>
      <c r="M334" s="157"/>
      <c r="N334" s="157"/>
      <c r="O334" s="157"/>
    </row>
    <row r="335" spans="2:15" ht="15.75" customHeight="1" x14ac:dyDescent="0.45">
      <c r="B335" s="190"/>
      <c r="J335" s="157"/>
      <c r="K335" s="157"/>
      <c r="L335" s="157"/>
      <c r="M335" s="157"/>
      <c r="N335" s="157"/>
      <c r="O335" s="157"/>
    </row>
    <row r="336" spans="2:15" ht="15.75" customHeight="1" x14ac:dyDescent="0.45">
      <c r="B336" s="190"/>
      <c r="J336" s="157"/>
      <c r="K336" s="157"/>
      <c r="L336" s="157"/>
      <c r="M336" s="157"/>
      <c r="N336" s="157"/>
      <c r="O336" s="157"/>
    </row>
    <row r="337" spans="2:15" ht="15.75" customHeight="1" x14ac:dyDescent="0.45">
      <c r="B337" s="190"/>
      <c r="J337" s="157"/>
      <c r="K337" s="157"/>
      <c r="L337" s="157"/>
      <c r="M337" s="157"/>
      <c r="N337" s="157"/>
      <c r="O337" s="157"/>
    </row>
    <row r="338" spans="2:15" ht="15.75" customHeight="1" x14ac:dyDescent="0.45">
      <c r="B338" s="190"/>
      <c r="J338" s="157"/>
      <c r="K338" s="157"/>
      <c r="L338" s="157"/>
      <c r="M338" s="157"/>
      <c r="N338" s="157"/>
      <c r="O338" s="157"/>
    </row>
    <row r="339" spans="2:15" ht="15.75" customHeight="1" x14ac:dyDescent="0.45">
      <c r="B339" s="190"/>
      <c r="J339" s="157"/>
      <c r="K339" s="157"/>
      <c r="L339" s="157"/>
      <c r="M339" s="157"/>
      <c r="N339" s="157"/>
      <c r="O339" s="157"/>
    </row>
    <row r="340" spans="2:15" ht="15.75" customHeight="1" x14ac:dyDescent="0.45">
      <c r="B340" s="190"/>
      <c r="J340" s="157"/>
      <c r="K340" s="157"/>
      <c r="L340" s="157"/>
      <c r="M340" s="157"/>
      <c r="N340" s="157"/>
      <c r="O340" s="157"/>
    </row>
    <row r="341" spans="2:15" ht="15.75" customHeight="1" x14ac:dyDescent="0.45">
      <c r="B341" s="190"/>
      <c r="J341" s="157"/>
      <c r="K341" s="157"/>
      <c r="L341" s="157"/>
      <c r="M341" s="157"/>
      <c r="N341" s="157"/>
      <c r="O341" s="157"/>
    </row>
    <row r="342" spans="2:15" ht="15.75" customHeight="1" x14ac:dyDescent="0.45">
      <c r="B342" s="190"/>
      <c r="J342" s="157"/>
      <c r="K342" s="157"/>
      <c r="L342" s="157"/>
      <c r="M342" s="157"/>
      <c r="N342" s="157"/>
      <c r="O342" s="157"/>
    </row>
    <row r="343" spans="2:15" ht="15.75" customHeight="1" x14ac:dyDescent="0.45">
      <c r="B343" s="190"/>
      <c r="J343" s="157"/>
      <c r="K343" s="157"/>
      <c r="L343" s="157"/>
      <c r="M343" s="157"/>
      <c r="N343" s="157"/>
      <c r="O343" s="157"/>
    </row>
    <row r="344" spans="2:15" ht="15.75" customHeight="1" x14ac:dyDescent="0.45">
      <c r="B344" s="190"/>
      <c r="J344" s="157"/>
      <c r="K344" s="157"/>
      <c r="L344" s="157"/>
      <c r="M344" s="157"/>
      <c r="N344" s="157"/>
      <c r="O344" s="157"/>
    </row>
    <row r="345" spans="2:15" ht="15.75" customHeight="1" x14ac:dyDescent="0.45">
      <c r="B345" s="190"/>
      <c r="J345" s="157"/>
      <c r="K345" s="157"/>
      <c r="L345" s="157"/>
      <c r="M345" s="157"/>
      <c r="N345" s="157"/>
      <c r="O345" s="157"/>
    </row>
    <row r="346" spans="2:15" ht="15.75" customHeight="1" x14ac:dyDescent="0.45">
      <c r="B346" s="190"/>
      <c r="J346" s="157"/>
      <c r="K346" s="157"/>
      <c r="L346" s="157"/>
      <c r="M346" s="157"/>
      <c r="N346" s="157"/>
      <c r="O346" s="157"/>
    </row>
    <row r="347" spans="2:15" ht="15.75" customHeight="1" x14ac:dyDescent="0.45">
      <c r="B347" s="190"/>
      <c r="J347" s="157"/>
      <c r="K347" s="157"/>
      <c r="L347" s="157"/>
      <c r="M347" s="157"/>
      <c r="N347" s="157"/>
      <c r="O347" s="157"/>
    </row>
    <row r="348" spans="2:15" ht="15.75" customHeight="1" x14ac:dyDescent="0.45">
      <c r="B348" s="190"/>
      <c r="J348" s="157"/>
      <c r="K348" s="157"/>
      <c r="L348" s="157"/>
      <c r="M348" s="157"/>
      <c r="N348" s="157"/>
      <c r="O348" s="157"/>
    </row>
    <row r="349" spans="2:15" ht="15.75" customHeight="1" x14ac:dyDescent="0.45">
      <c r="B349" s="190"/>
      <c r="J349" s="157"/>
      <c r="K349" s="157"/>
      <c r="L349" s="157"/>
      <c r="M349" s="157"/>
      <c r="N349" s="157"/>
      <c r="O349" s="157"/>
    </row>
    <row r="350" spans="2:15" ht="15.75" customHeight="1" x14ac:dyDescent="0.45">
      <c r="B350" s="190"/>
      <c r="J350" s="157"/>
      <c r="K350" s="157"/>
      <c r="L350" s="157"/>
      <c r="M350" s="157"/>
      <c r="N350" s="157"/>
      <c r="O350" s="157"/>
    </row>
    <row r="351" spans="2:15" ht="15.75" customHeight="1" x14ac:dyDescent="0.45">
      <c r="B351" s="190"/>
      <c r="J351" s="157"/>
      <c r="K351" s="157"/>
      <c r="L351" s="157"/>
      <c r="M351" s="157"/>
      <c r="N351" s="157"/>
      <c r="O351" s="157"/>
    </row>
    <row r="352" spans="2:15" ht="15.75" customHeight="1" x14ac:dyDescent="0.45">
      <c r="B352" s="190"/>
      <c r="J352" s="157"/>
      <c r="K352" s="157"/>
      <c r="L352" s="157"/>
      <c r="M352" s="157"/>
      <c r="N352" s="157"/>
      <c r="O352" s="157"/>
    </row>
    <row r="353" spans="2:15" ht="15.75" customHeight="1" x14ac:dyDescent="0.45">
      <c r="B353" s="190"/>
      <c r="J353" s="157"/>
      <c r="K353" s="157"/>
      <c r="L353" s="157"/>
      <c r="M353" s="157"/>
      <c r="N353" s="157"/>
      <c r="O353" s="157"/>
    </row>
    <row r="354" spans="2:15" ht="15.75" customHeight="1" x14ac:dyDescent="0.45">
      <c r="B354" s="190"/>
      <c r="J354" s="157"/>
      <c r="K354" s="157"/>
      <c r="L354" s="157"/>
      <c r="M354" s="157"/>
      <c r="N354" s="157"/>
      <c r="O354" s="157"/>
    </row>
    <row r="355" spans="2:15" ht="15.75" customHeight="1" x14ac:dyDescent="0.45">
      <c r="B355" s="190"/>
      <c r="J355" s="157"/>
      <c r="K355" s="157"/>
      <c r="L355" s="157"/>
      <c r="M355" s="157"/>
      <c r="N355" s="157"/>
      <c r="O355" s="157"/>
    </row>
    <row r="356" spans="2:15" ht="15.75" customHeight="1" x14ac:dyDescent="0.45">
      <c r="B356" s="190"/>
      <c r="J356" s="157"/>
      <c r="K356" s="157"/>
      <c r="L356" s="157"/>
      <c r="M356" s="157"/>
      <c r="N356" s="157"/>
      <c r="O356" s="157"/>
    </row>
    <row r="357" spans="2:15" ht="15.75" customHeight="1" x14ac:dyDescent="0.45">
      <c r="B357" s="190"/>
      <c r="J357" s="157"/>
      <c r="K357" s="157"/>
      <c r="L357" s="157"/>
      <c r="M357" s="157"/>
      <c r="N357" s="157"/>
      <c r="O357" s="157"/>
    </row>
    <row r="358" spans="2:15" ht="15.75" customHeight="1" x14ac:dyDescent="0.45">
      <c r="B358" s="190"/>
      <c r="J358" s="157"/>
      <c r="K358" s="157"/>
      <c r="L358" s="157"/>
      <c r="M358" s="157"/>
      <c r="N358" s="157"/>
      <c r="O358" s="157"/>
    </row>
    <row r="359" spans="2:15" ht="15.75" customHeight="1" x14ac:dyDescent="0.45">
      <c r="B359" s="190"/>
      <c r="J359" s="157"/>
      <c r="K359" s="157"/>
      <c r="L359" s="157"/>
      <c r="M359" s="157"/>
      <c r="N359" s="157"/>
      <c r="O359" s="157"/>
    </row>
    <row r="360" spans="2:15" ht="15.75" customHeight="1" x14ac:dyDescent="0.45">
      <c r="B360" s="190"/>
      <c r="J360" s="157"/>
      <c r="K360" s="157"/>
      <c r="L360" s="157"/>
      <c r="M360" s="157"/>
      <c r="N360" s="157"/>
      <c r="O360" s="157"/>
    </row>
    <row r="361" spans="2:15" ht="15.75" customHeight="1" x14ac:dyDescent="0.45">
      <c r="B361" s="190"/>
      <c r="J361" s="157"/>
      <c r="K361" s="157"/>
      <c r="L361" s="157"/>
      <c r="M361" s="157"/>
      <c r="N361" s="157"/>
      <c r="O361" s="157"/>
    </row>
    <row r="362" spans="2:15" ht="15.75" customHeight="1" x14ac:dyDescent="0.45">
      <c r="B362" s="190"/>
      <c r="J362" s="157"/>
      <c r="K362" s="157"/>
      <c r="L362" s="157"/>
      <c r="M362" s="157"/>
      <c r="N362" s="157"/>
      <c r="O362" s="157"/>
    </row>
    <row r="363" spans="2:15" ht="15.75" customHeight="1" x14ac:dyDescent="0.45">
      <c r="B363" s="190"/>
      <c r="J363" s="157"/>
      <c r="K363" s="157"/>
      <c r="L363" s="157"/>
      <c r="M363" s="157"/>
      <c r="N363" s="157"/>
      <c r="O363" s="157"/>
    </row>
    <row r="364" spans="2:15" ht="15.75" customHeight="1" x14ac:dyDescent="0.45">
      <c r="B364" s="190"/>
      <c r="J364" s="157"/>
      <c r="K364" s="157"/>
      <c r="L364" s="157"/>
      <c r="M364" s="157"/>
      <c r="N364" s="157"/>
      <c r="O364" s="157"/>
    </row>
    <row r="365" spans="2:15" ht="15.75" customHeight="1" x14ac:dyDescent="0.45">
      <c r="B365" s="190"/>
      <c r="J365" s="157"/>
      <c r="K365" s="157"/>
      <c r="L365" s="157"/>
      <c r="M365" s="157"/>
      <c r="N365" s="157"/>
      <c r="O365" s="157"/>
    </row>
    <row r="366" spans="2:15" ht="15.75" customHeight="1" x14ac:dyDescent="0.45">
      <c r="B366" s="190"/>
      <c r="J366" s="157"/>
      <c r="K366" s="157"/>
      <c r="L366" s="157"/>
      <c r="M366" s="157"/>
      <c r="N366" s="157"/>
      <c r="O366" s="157"/>
    </row>
    <row r="367" spans="2:15" ht="15.75" customHeight="1" x14ac:dyDescent="0.45">
      <c r="B367" s="190"/>
      <c r="J367" s="157"/>
      <c r="K367" s="157"/>
      <c r="L367" s="157"/>
      <c r="M367" s="157"/>
      <c r="N367" s="157"/>
      <c r="O367" s="157"/>
    </row>
    <row r="368" spans="2:15" ht="15.75" customHeight="1" x14ac:dyDescent="0.45">
      <c r="B368" s="190"/>
      <c r="J368" s="157"/>
      <c r="K368" s="157"/>
      <c r="L368" s="157"/>
      <c r="M368" s="157"/>
      <c r="N368" s="157"/>
      <c r="O368" s="157"/>
    </row>
    <row r="369" spans="2:15" ht="15.75" customHeight="1" x14ac:dyDescent="0.45">
      <c r="B369" s="190"/>
      <c r="J369" s="157"/>
      <c r="K369" s="157"/>
      <c r="L369" s="157"/>
      <c r="M369" s="157"/>
      <c r="N369" s="157"/>
      <c r="O369" s="157"/>
    </row>
    <row r="370" spans="2:15" ht="15.75" customHeight="1" x14ac:dyDescent="0.45">
      <c r="B370" s="190"/>
      <c r="J370" s="157"/>
      <c r="K370" s="157"/>
      <c r="L370" s="157"/>
      <c r="M370" s="157"/>
      <c r="N370" s="157"/>
      <c r="O370" s="157"/>
    </row>
    <row r="371" spans="2:15" ht="15.75" customHeight="1" x14ac:dyDescent="0.45">
      <c r="B371" s="190"/>
      <c r="J371" s="157"/>
      <c r="K371" s="157"/>
      <c r="L371" s="157"/>
      <c r="M371" s="157"/>
      <c r="N371" s="157"/>
      <c r="O371" s="157"/>
    </row>
    <row r="372" spans="2:15" ht="15.75" customHeight="1" x14ac:dyDescent="0.45">
      <c r="B372" s="190"/>
      <c r="J372" s="157"/>
      <c r="K372" s="157"/>
      <c r="L372" s="157"/>
      <c r="M372" s="157"/>
      <c r="N372" s="157"/>
      <c r="O372" s="157"/>
    </row>
    <row r="373" spans="2:15" ht="15.75" customHeight="1" x14ac:dyDescent="0.45">
      <c r="B373" s="190"/>
      <c r="J373" s="157"/>
      <c r="K373" s="157"/>
      <c r="L373" s="157"/>
      <c r="M373" s="157"/>
      <c r="N373" s="157"/>
      <c r="O373" s="157"/>
    </row>
    <row r="374" spans="2:15" ht="15.75" customHeight="1" x14ac:dyDescent="0.45">
      <c r="B374" s="190"/>
      <c r="J374" s="157"/>
      <c r="K374" s="157"/>
      <c r="L374" s="157"/>
      <c r="M374" s="157"/>
      <c r="N374" s="157"/>
      <c r="O374" s="157"/>
    </row>
    <row r="375" spans="2:15" ht="15.75" customHeight="1" x14ac:dyDescent="0.45">
      <c r="B375" s="190"/>
      <c r="J375" s="157"/>
      <c r="K375" s="157"/>
      <c r="L375" s="157"/>
      <c r="M375" s="157"/>
      <c r="N375" s="157"/>
      <c r="O375" s="157"/>
    </row>
    <row r="376" spans="2:15" ht="15.75" customHeight="1" x14ac:dyDescent="0.45">
      <c r="B376" s="190"/>
      <c r="J376" s="157"/>
      <c r="K376" s="157"/>
      <c r="L376" s="157"/>
      <c r="M376" s="157"/>
      <c r="N376" s="157"/>
      <c r="O376" s="157"/>
    </row>
    <row r="377" spans="2:15" ht="15.75" customHeight="1" x14ac:dyDescent="0.45">
      <c r="B377" s="190"/>
      <c r="J377" s="157"/>
      <c r="K377" s="157"/>
      <c r="L377" s="157"/>
      <c r="M377" s="157"/>
      <c r="N377" s="157"/>
      <c r="O377" s="157"/>
    </row>
    <row r="378" spans="2:15" ht="15.75" customHeight="1" x14ac:dyDescent="0.45">
      <c r="B378" s="190"/>
      <c r="J378" s="157"/>
      <c r="K378" s="157"/>
      <c r="L378" s="157"/>
      <c r="M378" s="157"/>
      <c r="N378" s="157"/>
      <c r="O378" s="157"/>
    </row>
    <row r="379" spans="2:15" ht="15.75" customHeight="1" x14ac:dyDescent="0.45">
      <c r="B379" s="190"/>
      <c r="J379" s="157"/>
      <c r="K379" s="157"/>
      <c r="L379" s="157"/>
      <c r="M379" s="157"/>
      <c r="N379" s="157"/>
      <c r="O379" s="157"/>
    </row>
    <row r="380" spans="2:15" ht="15.75" customHeight="1" x14ac:dyDescent="0.45">
      <c r="B380" s="190"/>
      <c r="J380" s="157"/>
      <c r="K380" s="157"/>
      <c r="L380" s="157"/>
      <c r="M380" s="157"/>
      <c r="N380" s="157"/>
      <c r="O380" s="157"/>
    </row>
    <row r="381" spans="2:15" ht="15.75" customHeight="1" x14ac:dyDescent="0.45">
      <c r="B381" s="190"/>
      <c r="J381" s="157"/>
      <c r="K381" s="157"/>
      <c r="L381" s="157"/>
      <c r="M381" s="157"/>
      <c r="N381" s="157"/>
      <c r="O381" s="157"/>
    </row>
    <row r="382" spans="2:15" ht="15.75" customHeight="1" x14ac:dyDescent="0.45">
      <c r="B382" s="190"/>
      <c r="J382" s="157"/>
      <c r="K382" s="157"/>
      <c r="L382" s="157"/>
      <c r="M382" s="157"/>
      <c r="N382" s="157"/>
      <c r="O382" s="157"/>
    </row>
    <row r="383" spans="2:15" ht="15.75" customHeight="1" x14ac:dyDescent="0.45">
      <c r="B383" s="190"/>
      <c r="J383" s="157"/>
      <c r="K383" s="157"/>
      <c r="L383" s="157"/>
      <c r="M383" s="157"/>
      <c r="N383" s="157"/>
      <c r="O383" s="157"/>
    </row>
    <row r="384" spans="2:15" ht="15.75" customHeight="1" x14ac:dyDescent="0.45">
      <c r="B384" s="190"/>
      <c r="J384" s="157"/>
      <c r="K384" s="157"/>
      <c r="L384" s="157"/>
      <c r="M384" s="157"/>
      <c r="N384" s="157"/>
      <c r="O384" s="157"/>
    </row>
    <row r="385" spans="2:15" ht="15.75" customHeight="1" x14ac:dyDescent="0.45">
      <c r="B385" s="190"/>
      <c r="J385" s="157"/>
      <c r="K385" s="157"/>
      <c r="L385" s="157"/>
      <c r="M385" s="157"/>
      <c r="N385" s="157"/>
      <c r="O385" s="157"/>
    </row>
    <row r="386" spans="2:15" ht="15.75" customHeight="1" x14ac:dyDescent="0.45">
      <c r="B386" s="190"/>
      <c r="J386" s="157"/>
      <c r="K386" s="157"/>
      <c r="L386" s="157"/>
      <c r="M386" s="157"/>
      <c r="N386" s="157"/>
      <c r="O386" s="157"/>
    </row>
    <row r="387" spans="2:15" ht="15.75" customHeight="1" x14ac:dyDescent="0.45">
      <c r="B387" s="190"/>
      <c r="J387" s="157"/>
      <c r="K387" s="157"/>
      <c r="L387" s="157"/>
      <c r="M387" s="157"/>
      <c r="N387" s="157"/>
      <c r="O387" s="157"/>
    </row>
    <row r="388" spans="2:15" ht="15.75" customHeight="1" x14ac:dyDescent="0.45">
      <c r="B388" s="190"/>
      <c r="J388" s="157"/>
      <c r="K388" s="157"/>
      <c r="L388" s="157"/>
      <c r="M388" s="157"/>
      <c r="N388" s="157"/>
      <c r="O388" s="157"/>
    </row>
    <row r="389" spans="2:15" ht="15.75" customHeight="1" x14ac:dyDescent="0.45">
      <c r="B389" s="190"/>
      <c r="J389" s="157"/>
      <c r="K389" s="157"/>
      <c r="L389" s="157"/>
      <c r="M389" s="157"/>
      <c r="N389" s="157"/>
      <c r="O389" s="157"/>
    </row>
    <row r="390" spans="2:15" ht="15.75" customHeight="1" x14ac:dyDescent="0.45">
      <c r="B390" s="190"/>
      <c r="J390" s="157"/>
      <c r="K390" s="157"/>
      <c r="L390" s="157"/>
      <c r="M390" s="157"/>
      <c r="N390" s="157"/>
      <c r="O390" s="157"/>
    </row>
    <row r="391" spans="2:15" ht="15.75" customHeight="1" x14ac:dyDescent="0.45">
      <c r="B391" s="190"/>
      <c r="J391" s="157"/>
      <c r="K391" s="157"/>
      <c r="L391" s="157"/>
      <c r="M391" s="157"/>
      <c r="N391" s="157"/>
      <c r="O391" s="157"/>
    </row>
    <row r="392" spans="2:15" ht="15.75" customHeight="1" x14ac:dyDescent="0.45">
      <c r="B392" s="190"/>
      <c r="J392" s="157"/>
      <c r="K392" s="157"/>
      <c r="L392" s="157"/>
      <c r="M392" s="157"/>
      <c r="N392" s="157"/>
      <c r="O392" s="157"/>
    </row>
    <row r="393" spans="2:15" ht="15.75" customHeight="1" x14ac:dyDescent="0.45">
      <c r="B393" s="190"/>
      <c r="J393" s="157"/>
      <c r="K393" s="157"/>
      <c r="L393" s="157"/>
      <c r="M393" s="157"/>
      <c r="N393" s="157"/>
      <c r="O393" s="157"/>
    </row>
    <row r="394" spans="2:15" ht="15.75" customHeight="1" x14ac:dyDescent="0.45">
      <c r="B394" s="190"/>
      <c r="J394" s="157"/>
      <c r="K394" s="157"/>
      <c r="L394" s="157"/>
      <c r="M394" s="157"/>
      <c r="N394" s="157"/>
      <c r="O394" s="157"/>
    </row>
    <row r="395" spans="2:15" ht="15.75" customHeight="1" x14ac:dyDescent="0.45">
      <c r="B395" s="190"/>
      <c r="J395" s="157"/>
      <c r="K395" s="157"/>
      <c r="L395" s="157"/>
      <c r="M395" s="157"/>
      <c r="N395" s="157"/>
      <c r="O395" s="157"/>
    </row>
    <row r="396" spans="2:15" ht="15.75" customHeight="1" x14ac:dyDescent="0.45">
      <c r="B396" s="190"/>
      <c r="J396" s="157"/>
      <c r="K396" s="157"/>
      <c r="L396" s="157"/>
      <c r="M396" s="157"/>
      <c r="N396" s="157"/>
      <c r="O396" s="157"/>
    </row>
    <row r="397" spans="2:15" ht="15.75" customHeight="1" x14ac:dyDescent="0.45">
      <c r="B397" s="190"/>
      <c r="J397" s="157"/>
      <c r="K397" s="157"/>
      <c r="L397" s="157"/>
      <c r="M397" s="157"/>
      <c r="N397" s="157"/>
      <c r="O397" s="157"/>
    </row>
    <row r="398" spans="2:15" ht="15.75" customHeight="1" x14ac:dyDescent="0.45">
      <c r="B398" s="190"/>
      <c r="J398" s="157"/>
      <c r="K398" s="157"/>
      <c r="L398" s="157"/>
      <c r="M398" s="157"/>
      <c r="N398" s="157"/>
      <c r="O398" s="157"/>
    </row>
    <row r="399" spans="2:15" ht="15.75" customHeight="1" x14ac:dyDescent="0.45">
      <c r="B399" s="190"/>
      <c r="J399" s="157"/>
      <c r="K399" s="157"/>
      <c r="L399" s="157"/>
      <c r="M399" s="157"/>
      <c r="N399" s="157"/>
      <c r="O399" s="157"/>
    </row>
    <row r="400" spans="2:15" ht="15.75" customHeight="1" x14ac:dyDescent="0.45">
      <c r="B400" s="190"/>
      <c r="J400" s="157"/>
      <c r="K400" s="157"/>
      <c r="L400" s="157"/>
      <c r="M400" s="157"/>
      <c r="N400" s="157"/>
      <c r="O400" s="157"/>
    </row>
    <row r="401" spans="2:15" ht="15.75" customHeight="1" x14ac:dyDescent="0.45">
      <c r="B401" s="190"/>
      <c r="J401" s="157"/>
      <c r="K401" s="157"/>
      <c r="L401" s="157"/>
      <c r="M401" s="157"/>
      <c r="N401" s="157"/>
      <c r="O401" s="157"/>
    </row>
    <row r="402" spans="2:15" ht="15.75" customHeight="1" x14ac:dyDescent="0.45">
      <c r="B402" s="190"/>
      <c r="J402" s="157"/>
      <c r="K402" s="157"/>
      <c r="L402" s="157"/>
      <c r="M402" s="157"/>
      <c r="N402" s="157"/>
      <c r="O402" s="157"/>
    </row>
    <row r="403" spans="2:15" ht="15.75" customHeight="1" x14ac:dyDescent="0.45">
      <c r="B403" s="190"/>
      <c r="J403" s="157"/>
      <c r="K403" s="157"/>
      <c r="L403" s="157"/>
      <c r="M403" s="157"/>
      <c r="N403" s="157"/>
      <c r="O403" s="157"/>
    </row>
    <row r="404" spans="2:15" ht="15.75" customHeight="1" x14ac:dyDescent="0.45">
      <c r="B404" s="190"/>
      <c r="J404" s="157"/>
      <c r="K404" s="157"/>
      <c r="L404" s="157"/>
      <c r="M404" s="157"/>
      <c r="N404" s="157"/>
      <c r="O404" s="157"/>
    </row>
    <row r="405" spans="2:15" ht="15.75" customHeight="1" x14ac:dyDescent="0.45">
      <c r="B405" s="190"/>
      <c r="J405" s="157"/>
      <c r="K405" s="157"/>
      <c r="L405" s="157"/>
      <c r="M405" s="157"/>
      <c r="N405" s="157"/>
      <c r="O405" s="157"/>
    </row>
    <row r="406" spans="2:15" ht="15.75" customHeight="1" x14ac:dyDescent="0.45">
      <c r="B406" s="190"/>
      <c r="J406" s="157"/>
      <c r="K406" s="157"/>
      <c r="L406" s="157"/>
      <c r="M406" s="157"/>
      <c r="N406" s="157"/>
      <c r="O406" s="157"/>
    </row>
    <row r="407" spans="2:15" ht="15.75" customHeight="1" x14ac:dyDescent="0.45">
      <c r="B407" s="190"/>
      <c r="J407" s="157"/>
      <c r="K407" s="157"/>
      <c r="L407" s="157"/>
      <c r="M407" s="157"/>
      <c r="N407" s="157"/>
      <c r="O407" s="157"/>
    </row>
    <row r="408" spans="2:15" ht="15.75" customHeight="1" x14ac:dyDescent="0.45">
      <c r="B408" s="190"/>
      <c r="J408" s="157"/>
      <c r="K408" s="157"/>
      <c r="L408" s="157"/>
      <c r="M408" s="157"/>
      <c r="N408" s="157"/>
      <c r="O408" s="157"/>
    </row>
    <row r="409" spans="2:15" ht="15.75" customHeight="1" x14ac:dyDescent="0.45">
      <c r="B409" s="190"/>
      <c r="J409" s="157"/>
      <c r="K409" s="157"/>
      <c r="L409" s="157"/>
      <c r="M409" s="157"/>
      <c r="N409" s="157"/>
      <c r="O409" s="157"/>
    </row>
    <row r="410" spans="2:15" ht="15.75" customHeight="1" x14ac:dyDescent="0.45">
      <c r="B410" s="190"/>
      <c r="J410" s="157"/>
      <c r="K410" s="157"/>
      <c r="L410" s="157"/>
      <c r="M410" s="157"/>
      <c r="N410" s="157"/>
      <c r="O410" s="157"/>
    </row>
    <row r="411" spans="2:15" ht="15.75" customHeight="1" x14ac:dyDescent="0.45">
      <c r="B411" s="190"/>
      <c r="J411" s="157"/>
      <c r="K411" s="157"/>
      <c r="L411" s="157"/>
      <c r="M411" s="157"/>
      <c r="N411" s="157"/>
      <c r="O411" s="157"/>
    </row>
    <row r="412" spans="2:15" ht="15.75" customHeight="1" x14ac:dyDescent="0.45">
      <c r="B412" s="190"/>
      <c r="J412" s="157"/>
      <c r="K412" s="157"/>
      <c r="L412" s="157"/>
      <c r="M412" s="157"/>
      <c r="N412" s="157"/>
      <c r="O412" s="157"/>
    </row>
    <row r="413" spans="2:15" ht="15.75" customHeight="1" x14ac:dyDescent="0.45">
      <c r="B413" s="190"/>
      <c r="J413" s="157"/>
      <c r="K413" s="157"/>
      <c r="L413" s="157"/>
      <c r="M413" s="157"/>
      <c r="N413" s="157"/>
      <c r="O413" s="157"/>
    </row>
    <row r="414" spans="2:15" ht="15.75" customHeight="1" x14ac:dyDescent="0.45">
      <c r="B414" s="190"/>
      <c r="J414" s="157"/>
      <c r="K414" s="157"/>
      <c r="L414" s="157"/>
      <c r="M414" s="157"/>
      <c r="N414" s="157"/>
      <c r="O414" s="157"/>
    </row>
    <row r="415" spans="2:15" ht="15.75" customHeight="1" x14ac:dyDescent="0.45">
      <c r="B415" s="190"/>
      <c r="J415" s="157"/>
      <c r="K415" s="157"/>
      <c r="L415" s="157"/>
      <c r="M415" s="157"/>
      <c r="N415" s="157"/>
      <c r="O415" s="157"/>
    </row>
    <row r="416" spans="2:15" ht="15.75" customHeight="1" x14ac:dyDescent="0.45">
      <c r="B416" s="190"/>
      <c r="J416" s="157"/>
      <c r="K416" s="157"/>
      <c r="L416" s="157"/>
      <c r="M416" s="157"/>
      <c r="N416" s="157"/>
      <c r="O416" s="157"/>
    </row>
    <row r="417" spans="2:15" ht="15.75" customHeight="1" x14ac:dyDescent="0.45">
      <c r="B417" s="190"/>
      <c r="J417" s="157"/>
      <c r="K417" s="157"/>
      <c r="L417" s="157"/>
      <c r="M417" s="157"/>
      <c r="N417" s="157"/>
      <c r="O417" s="157"/>
    </row>
    <row r="418" spans="2:15" ht="15.75" customHeight="1" x14ac:dyDescent="0.45">
      <c r="B418" s="190"/>
      <c r="J418" s="157"/>
      <c r="K418" s="157"/>
      <c r="L418" s="157"/>
      <c r="M418" s="157"/>
      <c r="N418" s="157"/>
      <c r="O418" s="157"/>
    </row>
    <row r="419" spans="2:15" ht="15.75" customHeight="1" x14ac:dyDescent="0.45">
      <c r="B419" s="190"/>
      <c r="J419" s="157"/>
      <c r="K419" s="157"/>
      <c r="L419" s="157"/>
      <c r="M419" s="157"/>
      <c r="N419" s="157"/>
      <c r="O419" s="157"/>
    </row>
    <row r="420" spans="2:15" ht="15.75" customHeight="1" x14ac:dyDescent="0.45">
      <c r="B420" s="190"/>
      <c r="J420" s="157"/>
      <c r="K420" s="157"/>
      <c r="L420" s="157"/>
      <c r="M420" s="157"/>
      <c r="N420" s="157"/>
      <c r="O420" s="157"/>
    </row>
    <row r="421" spans="2:15" ht="15.75" customHeight="1" x14ac:dyDescent="0.45">
      <c r="B421" s="190"/>
      <c r="J421" s="157"/>
      <c r="K421" s="157"/>
      <c r="L421" s="157"/>
      <c r="M421" s="157"/>
      <c r="N421" s="157"/>
      <c r="O421" s="157"/>
    </row>
    <row r="422" spans="2:15" ht="15.75" customHeight="1" x14ac:dyDescent="0.45">
      <c r="B422" s="190"/>
      <c r="J422" s="157"/>
      <c r="K422" s="157"/>
      <c r="L422" s="157"/>
      <c r="M422" s="157"/>
      <c r="N422" s="157"/>
      <c r="O422" s="157"/>
    </row>
    <row r="423" spans="2:15" ht="15.75" customHeight="1" x14ac:dyDescent="0.45">
      <c r="B423" s="190"/>
      <c r="J423" s="157"/>
      <c r="K423" s="157"/>
      <c r="L423" s="157"/>
      <c r="M423" s="157"/>
      <c r="N423" s="157"/>
      <c r="O423" s="157"/>
    </row>
    <row r="424" spans="2:15" ht="15.75" customHeight="1" x14ac:dyDescent="0.45">
      <c r="B424" s="190"/>
      <c r="J424" s="157"/>
      <c r="K424" s="157"/>
      <c r="L424" s="157"/>
      <c r="M424" s="157"/>
      <c r="N424" s="157"/>
      <c r="O424" s="157"/>
    </row>
    <row r="425" spans="2:15" ht="15.75" customHeight="1" x14ac:dyDescent="0.45">
      <c r="B425" s="190"/>
      <c r="J425" s="157"/>
      <c r="K425" s="157"/>
      <c r="L425" s="157"/>
      <c r="M425" s="157"/>
      <c r="N425" s="157"/>
      <c r="O425" s="157"/>
    </row>
    <row r="426" spans="2:15" ht="15.75" customHeight="1" x14ac:dyDescent="0.45">
      <c r="B426" s="190"/>
      <c r="J426" s="157"/>
      <c r="K426" s="157"/>
      <c r="L426" s="157"/>
      <c r="M426" s="157"/>
      <c r="N426" s="157"/>
      <c r="O426" s="157"/>
    </row>
    <row r="427" spans="2:15" ht="15.75" customHeight="1" x14ac:dyDescent="0.45">
      <c r="B427" s="190"/>
      <c r="J427" s="157"/>
      <c r="K427" s="157"/>
      <c r="L427" s="157"/>
      <c r="M427" s="157"/>
      <c r="N427" s="157"/>
      <c r="O427" s="157"/>
    </row>
    <row r="428" spans="2:15" ht="15.75" customHeight="1" x14ac:dyDescent="0.45">
      <c r="B428" s="190"/>
      <c r="J428" s="157"/>
      <c r="K428" s="157"/>
      <c r="L428" s="157"/>
      <c r="M428" s="157"/>
      <c r="N428" s="157"/>
      <c r="O428" s="157"/>
    </row>
    <row r="429" spans="2:15" ht="15.75" customHeight="1" x14ac:dyDescent="0.45">
      <c r="B429" s="190"/>
      <c r="J429" s="157"/>
      <c r="K429" s="157"/>
      <c r="L429" s="157"/>
      <c r="M429" s="157"/>
      <c r="N429" s="157"/>
      <c r="O429" s="157"/>
    </row>
    <row r="430" spans="2:15" ht="15.75" customHeight="1" x14ac:dyDescent="0.45">
      <c r="B430" s="190"/>
      <c r="J430" s="157"/>
      <c r="K430" s="157"/>
      <c r="L430" s="157"/>
      <c r="M430" s="157"/>
      <c r="N430" s="157"/>
      <c r="O430" s="157"/>
    </row>
    <row r="431" spans="2:15" ht="15.75" customHeight="1" x14ac:dyDescent="0.45">
      <c r="B431" s="190"/>
      <c r="J431" s="157"/>
      <c r="K431" s="157"/>
      <c r="L431" s="157"/>
      <c r="M431" s="157"/>
      <c r="N431" s="157"/>
      <c r="O431" s="157"/>
    </row>
    <row r="432" spans="2:15" ht="15.75" customHeight="1" x14ac:dyDescent="0.45">
      <c r="B432" s="190"/>
      <c r="J432" s="157"/>
      <c r="K432" s="157"/>
      <c r="L432" s="157"/>
      <c r="M432" s="157"/>
      <c r="N432" s="157"/>
      <c r="O432" s="157"/>
    </row>
    <row r="433" spans="2:15" ht="15.75" customHeight="1" x14ac:dyDescent="0.45">
      <c r="B433" s="190"/>
      <c r="J433" s="157"/>
      <c r="K433" s="157"/>
      <c r="L433" s="157"/>
      <c r="M433" s="157"/>
      <c r="N433" s="157"/>
      <c r="O433" s="157"/>
    </row>
    <row r="434" spans="2:15" ht="15.75" customHeight="1" x14ac:dyDescent="0.45">
      <c r="B434" s="190"/>
      <c r="J434" s="157"/>
      <c r="K434" s="157"/>
      <c r="L434" s="157"/>
      <c r="M434" s="157"/>
      <c r="N434" s="157"/>
      <c r="O434" s="157"/>
    </row>
    <row r="435" spans="2:15" ht="15.75" customHeight="1" x14ac:dyDescent="0.45">
      <c r="B435" s="190"/>
      <c r="J435" s="157"/>
      <c r="K435" s="157"/>
      <c r="L435" s="157"/>
      <c r="M435" s="157"/>
      <c r="N435" s="157"/>
      <c r="O435" s="157"/>
    </row>
    <row r="436" spans="2:15" ht="15.75" customHeight="1" x14ac:dyDescent="0.45">
      <c r="B436" s="190"/>
      <c r="J436" s="157"/>
      <c r="K436" s="157"/>
      <c r="L436" s="157"/>
      <c r="M436" s="157"/>
      <c r="N436" s="157"/>
      <c r="O436" s="157"/>
    </row>
    <row r="437" spans="2:15" ht="15.75" customHeight="1" x14ac:dyDescent="0.45">
      <c r="B437" s="190"/>
      <c r="J437" s="157"/>
      <c r="K437" s="157"/>
      <c r="L437" s="157"/>
      <c r="M437" s="157"/>
      <c r="N437" s="157"/>
      <c r="O437" s="157"/>
    </row>
    <row r="438" spans="2:15" ht="15.75" customHeight="1" x14ac:dyDescent="0.45">
      <c r="B438" s="190"/>
      <c r="J438" s="157"/>
      <c r="K438" s="157"/>
      <c r="L438" s="157"/>
      <c r="M438" s="157"/>
      <c r="N438" s="157"/>
      <c r="O438" s="157"/>
    </row>
    <row r="439" spans="2:15" ht="15.75" customHeight="1" x14ac:dyDescent="0.45">
      <c r="B439" s="190"/>
      <c r="J439" s="157"/>
      <c r="K439" s="157"/>
      <c r="L439" s="157"/>
      <c r="M439" s="157"/>
      <c r="N439" s="157"/>
      <c r="O439" s="157"/>
    </row>
    <row r="440" spans="2:15" ht="15.75" customHeight="1" x14ac:dyDescent="0.45">
      <c r="B440" s="190"/>
      <c r="J440" s="157"/>
      <c r="K440" s="157"/>
      <c r="L440" s="157"/>
      <c r="M440" s="157"/>
      <c r="N440" s="157"/>
      <c r="O440" s="157"/>
    </row>
    <row r="441" spans="2:15" ht="15.75" customHeight="1" x14ac:dyDescent="0.45">
      <c r="B441" s="190"/>
      <c r="J441" s="157"/>
      <c r="K441" s="157"/>
      <c r="L441" s="157"/>
      <c r="M441" s="157"/>
      <c r="N441" s="157"/>
      <c r="O441" s="157"/>
    </row>
    <row r="442" spans="2:15" ht="15.75" customHeight="1" x14ac:dyDescent="0.45">
      <c r="B442" s="190"/>
      <c r="J442" s="157"/>
      <c r="K442" s="157"/>
      <c r="L442" s="157"/>
      <c r="M442" s="157"/>
      <c r="N442" s="157"/>
      <c r="O442" s="157"/>
    </row>
    <row r="443" spans="2:15" ht="15.75" customHeight="1" x14ac:dyDescent="0.45">
      <c r="B443" s="190"/>
      <c r="J443" s="157"/>
      <c r="K443" s="157"/>
      <c r="L443" s="157"/>
      <c r="M443" s="157"/>
      <c r="N443" s="157"/>
      <c r="O443" s="157"/>
    </row>
    <row r="444" spans="2:15" ht="15.75" customHeight="1" x14ac:dyDescent="0.45">
      <c r="B444" s="190"/>
      <c r="J444" s="157"/>
      <c r="K444" s="157"/>
      <c r="L444" s="157"/>
      <c r="M444" s="157"/>
      <c r="N444" s="157"/>
      <c r="O444" s="157"/>
    </row>
    <row r="445" spans="2:15" ht="15.75" customHeight="1" x14ac:dyDescent="0.45">
      <c r="B445" s="190"/>
      <c r="J445" s="157"/>
      <c r="K445" s="157"/>
      <c r="L445" s="157"/>
      <c r="M445" s="157"/>
      <c r="N445" s="157"/>
      <c r="O445" s="157"/>
    </row>
    <row r="446" spans="2:15" ht="15.75" customHeight="1" x14ac:dyDescent="0.45">
      <c r="B446" s="190"/>
      <c r="J446" s="157"/>
      <c r="K446" s="157"/>
      <c r="L446" s="157"/>
      <c r="M446" s="157"/>
      <c r="N446" s="157"/>
      <c r="O446" s="157"/>
    </row>
    <row r="447" spans="2:15" ht="15.75" customHeight="1" x14ac:dyDescent="0.45">
      <c r="B447" s="190"/>
      <c r="J447" s="157"/>
      <c r="K447" s="157"/>
      <c r="L447" s="157"/>
      <c r="M447" s="157"/>
      <c r="N447" s="157"/>
      <c r="O447" s="157"/>
    </row>
    <row r="448" spans="2:15" ht="15.75" customHeight="1" x14ac:dyDescent="0.45">
      <c r="B448" s="190"/>
      <c r="J448" s="157"/>
      <c r="K448" s="157"/>
      <c r="L448" s="157"/>
      <c r="M448" s="157"/>
      <c r="N448" s="157"/>
      <c r="O448" s="157"/>
    </row>
    <row r="449" spans="2:15" ht="15.75" customHeight="1" x14ac:dyDescent="0.45">
      <c r="B449" s="190"/>
      <c r="J449" s="157"/>
      <c r="K449" s="157"/>
      <c r="L449" s="157"/>
      <c r="M449" s="157"/>
      <c r="N449" s="157"/>
      <c r="O449" s="157"/>
    </row>
    <row r="450" spans="2:15" ht="15.75" customHeight="1" x14ac:dyDescent="0.45">
      <c r="B450" s="190"/>
      <c r="J450" s="157"/>
      <c r="K450" s="157"/>
      <c r="L450" s="157"/>
      <c r="M450" s="157"/>
      <c r="N450" s="157"/>
      <c r="O450" s="157"/>
    </row>
    <row r="451" spans="2:15" ht="15.75" customHeight="1" x14ac:dyDescent="0.45">
      <c r="B451" s="190"/>
      <c r="J451" s="157"/>
      <c r="K451" s="157"/>
      <c r="L451" s="157"/>
      <c r="M451" s="157"/>
      <c r="N451" s="157"/>
      <c r="O451" s="157"/>
    </row>
    <row r="452" spans="2:15" ht="15.75" customHeight="1" x14ac:dyDescent="0.45">
      <c r="B452" s="190"/>
      <c r="J452" s="157"/>
      <c r="K452" s="157"/>
      <c r="L452" s="157"/>
      <c r="M452" s="157"/>
      <c r="N452" s="157"/>
      <c r="O452" s="157"/>
    </row>
    <row r="453" spans="2:15" ht="15.75" customHeight="1" x14ac:dyDescent="0.45">
      <c r="B453" s="190"/>
      <c r="J453" s="157"/>
      <c r="K453" s="157"/>
      <c r="L453" s="157"/>
      <c r="M453" s="157"/>
      <c r="N453" s="157"/>
      <c r="O453" s="157"/>
    </row>
    <row r="454" spans="2:15" ht="15.75" customHeight="1" x14ac:dyDescent="0.45">
      <c r="B454" s="190"/>
      <c r="J454" s="157"/>
      <c r="K454" s="157"/>
      <c r="L454" s="157"/>
      <c r="M454" s="157"/>
      <c r="N454" s="157"/>
      <c r="O454" s="157"/>
    </row>
    <row r="455" spans="2:15" ht="15.75" customHeight="1" x14ac:dyDescent="0.45">
      <c r="B455" s="190"/>
      <c r="J455" s="157"/>
      <c r="K455" s="157"/>
      <c r="L455" s="157"/>
      <c r="M455" s="157"/>
      <c r="N455" s="157"/>
      <c r="O455" s="157"/>
    </row>
    <row r="456" spans="2:15" ht="15.75" customHeight="1" x14ac:dyDescent="0.45">
      <c r="B456" s="190"/>
      <c r="J456" s="157"/>
      <c r="K456" s="157"/>
      <c r="L456" s="157"/>
      <c r="M456" s="157"/>
      <c r="N456" s="157"/>
      <c r="O456" s="157"/>
    </row>
    <row r="457" spans="2:15" ht="15.75" customHeight="1" x14ac:dyDescent="0.45">
      <c r="B457" s="190"/>
      <c r="J457" s="157"/>
      <c r="K457" s="157"/>
      <c r="L457" s="157"/>
      <c r="M457" s="157"/>
      <c r="N457" s="157"/>
      <c r="O457" s="157"/>
    </row>
    <row r="458" spans="2:15" ht="15.75" customHeight="1" x14ac:dyDescent="0.45">
      <c r="B458" s="190"/>
      <c r="J458" s="157"/>
      <c r="K458" s="157"/>
      <c r="L458" s="157"/>
      <c r="M458" s="157"/>
      <c r="N458" s="157"/>
      <c r="O458" s="157"/>
    </row>
    <row r="459" spans="2:15" ht="15.75" customHeight="1" x14ac:dyDescent="0.45">
      <c r="B459" s="190"/>
      <c r="J459" s="157"/>
      <c r="K459" s="157"/>
      <c r="L459" s="157"/>
      <c r="M459" s="157"/>
      <c r="N459" s="157"/>
      <c r="O459" s="157"/>
    </row>
    <row r="460" spans="2:15" ht="15.75" customHeight="1" x14ac:dyDescent="0.45">
      <c r="B460" s="190"/>
      <c r="J460" s="157"/>
      <c r="K460" s="157"/>
      <c r="L460" s="157"/>
      <c r="M460" s="157"/>
      <c r="N460" s="157"/>
      <c r="O460" s="157"/>
    </row>
    <row r="461" spans="2:15" ht="15.75" customHeight="1" x14ac:dyDescent="0.45">
      <c r="B461" s="190"/>
      <c r="J461" s="157"/>
      <c r="K461" s="157"/>
      <c r="L461" s="157"/>
      <c r="M461" s="157"/>
      <c r="N461" s="157"/>
      <c r="O461" s="157"/>
    </row>
    <row r="462" spans="2:15" ht="15.75" customHeight="1" x14ac:dyDescent="0.45">
      <c r="B462" s="190"/>
      <c r="J462" s="157"/>
      <c r="K462" s="157"/>
      <c r="L462" s="157"/>
      <c r="M462" s="157"/>
      <c r="N462" s="157"/>
      <c r="O462" s="157"/>
    </row>
    <row r="463" spans="2:15" ht="15.75" customHeight="1" x14ac:dyDescent="0.45">
      <c r="B463" s="190"/>
      <c r="J463" s="157"/>
      <c r="K463" s="157"/>
      <c r="L463" s="157"/>
      <c r="M463" s="157"/>
      <c r="N463" s="157"/>
      <c r="O463" s="157"/>
    </row>
    <row r="464" spans="2:15" ht="15.75" customHeight="1" x14ac:dyDescent="0.45">
      <c r="B464" s="190"/>
      <c r="J464" s="157"/>
      <c r="K464" s="157"/>
      <c r="L464" s="157"/>
      <c r="M464" s="157"/>
      <c r="N464" s="157"/>
      <c r="O464" s="157"/>
    </row>
    <row r="465" spans="2:15" ht="15.75" customHeight="1" x14ac:dyDescent="0.45">
      <c r="B465" s="190"/>
      <c r="J465" s="157"/>
      <c r="K465" s="157"/>
      <c r="L465" s="157"/>
      <c r="M465" s="157"/>
      <c r="N465" s="157"/>
      <c r="O465" s="157"/>
    </row>
    <row r="466" spans="2:15" ht="15.75" customHeight="1" x14ac:dyDescent="0.45">
      <c r="B466" s="190"/>
      <c r="J466" s="157"/>
      <c r="K466" s="157"/>
      <c r="L466" s="157"/>
      <c r="M466" s="157"/>
      <c r="N466" s="157"/>
      <c r="O466" s="157"/>
    </row>
    <row r="467" spans="2:15" ht="15.75" customHeight="1" x14ac:dyDescent="0.45">
      <c r="B467" s="190"/>
      <c r="J467" s="157"/>
      <c r="K467" s="157"/>
      <c r="L467" s="157"/>
      <c r="M467" s="157"/>
      <c r="N467" s="157"/>
      <c r="O467" s="157"/>
    </row>
    <row r="468" spans="2:15" ht="15.75" customHeight="1" x14ac:dyDescent="0.45">
      <c r="B468" s="190"/>
      <c r="J468" s="157"/>
      <c r="K468" s="157"/>
      <c r="L468" s="157"/>
      <c r="M468" s="157"/>
      <c r="N468" s="157"/>
      <c r="O468" s="157"/>
    </row>
    <row r="469" spans="2:15" ht="15.75" customHeight="1" x14ac:dyDescent="0.45">
      <c r="B469" s="190"/>
      <c r="J469" s="157"/>
      <c r="K469" s="157"/>
      <c r="L469" s="157"/>
      <c r="M469" s="157"/>
      <c r="N469" s="157"/>
      <c r="O469" s="157"/>
    </row>
    <row r="470" spans="2:15" ht="15.75" customHeight="1" x14ac:dyDescent="0.45">
      <c r="B470" s="190"/>
      <c r="J470" s="157"/>
      <c r="K470" s="157"/>
      <c r="L470" s="157"/>
      <c r="M470" s="157"/>
      <c r="N470" s="157"/>
      <c r="O470" s="157"/>
    </row>
    <row r="471" spans="2:15" ht="15.75" customHeight="1" x14ac:dyDescent="0.45">
      <c r="B471" s="190"/>
      <c r="J471" s="157"/>
      <c r="K471" s="157"/>
      <c r="L471" s="157"/>
      <c r="M471" s="157"/>
      <c r="N471" s="157"/>
      <c r="O471" s="157"/>
    </row>
    <row r="472" spans="2:15" ht="15.75" customHeight="1" x14ac:dyDescent="0.45">
      <c r="B472" s="190"/>
      <c r="J472" s="157"/>
      <c r="K472" s="157"/>
      <c r="L472" s="157"/>
      <c r="M472" s="157"/>
      <c r="N472" s="157"/>
      <c r="O472" s="157"/>
    </row>
    <row r="473" spans="2:15" ht="15.75" customHeight="1" x14ac:dyDescent="0.45">
      <c r="B473" s="190"/>
      <c r="J473" s="157"/>
      <c r="K473" s="157"/>
      <c r="L473" s="157"/>
      <c r="M473" s="157"/>
      <c r="N473" s="157"/>
      <c r="O473" s="157"/>
    </row>
    <row r="474" spans="2:15" ht="15.75" customHeight="1" x14ac:dyDescent="0.45">
      <c r="B474" s="190"/>
      <c r="J474" s="157"/>
      <c r="K474" s="157"/>
      <c r="L474" s="157"/>
      <c r="M474" s="157"/>
      <c r="N474" s="157"/>
      <c r="O474" s="157"/>
    </row>
    <row r="475" spans="2:15" ht="15.75" customHeight="1" x14ac:dyDescent="0.45">
      <c r="B475" s="190"/>
      <c r="J475" s="157"/>
      <c r="K475" s="157"/>
      <c r="L475" s="157"/>
      <c r="M475" s="157"/>
      <c r="N475" s="157"/>
      <c r="O475" s="157"/>
    </row>
    <row r="476" spans="2:15" ht="15.75" customHeight="1" x14ac:dyDescent="0.45">
      <c r="B476" s="190"/>
      <c r="J476" s="157"/>
      <c r="K476" s="157"/>
      <c r="L476" s="157"/>
      <c r="M476" s="157"/>
      <c r="N476" s="157"/>
      <c r="O476" s="157"/>
    </row>
    <row r="477" spans="2:15" ht="15.75" customHeight="1" x14ac:dyDescent="0.45">
      <c r="B477" s="190"/>
      <c r="J477" s="157"/>
      <c r="K477" s="157"/>
      <c r="L477" s="157"/>
      <c r="M477" s="157"/>
      <c r="N477" s="157"/>
      <c r="O477" s="157"/>
    </row>
    <row r="478" spans="2:15" ht="15.75" customHeight="1" x14ac:dyDescent="0.45">
      <c r="B478" s="190"/>
      <c r="J478" s="157"/>
      <c r="K478" s="157"/>
      <c r="L478" s="157"/>
      <c r="M478" s="157"/>
      <c r="N478" s="157"/>
      <c r="O478" s="157"/>
    </row>
    <row r="479" spans="2:15" ht="15.75" customHeight="1" x14ac:dyDescent="0.45">
      <c r="B479" s="190"/>
      <c r="J479" s="157"/>
      <c r="K479" s="157"/>
      <c r="L479" s="157"/>
      <c r="M479" s="157"/>
      <c r="N479" s="157"/>
      <c r="O479" s="157"/>
    </row>
    <row r="480" spans="2:15" ht="15.75" customHeight="1" x14ac:dyDescent="0.45">
      <c r="B480" s="190"/>
      <c r="J480" s="157"/>
      <c r="K480" s="157"/>
      <c r="L480" s="157"/>
      <c r="M480" s="157"/>
      <c r="N480" s="157"/>
      <c r="O480" s="157"/>
    </row>
    <row r="481" spans="2:15" ht="15.75" customHeight="1" x14ac:dyDescent="0.45">
      <c r="B481" s="190"/>
      <c r="J481" s="157"/>
      <c r="K481" s="157"/>
      <c r="L481" s="157"/>
      <c r="M481" s="157"/>
      <c r="N481" s="157"/>
      <c r="O481" s="157"/>
    </row>
    <row r="482" spans="2:15" ht="15.75" customHeight="1" x14ac:dyDescent="0.45">
      <c r="B482" s="190"/>
      <c r="J482" s="157"/>
      <c r="K482" s="157"/>
      <c r="L482" s="157"/>
      <c r="M482" s="157"/>
      <c r="N482" s="157"/>
      <c r="O482" s="157"/>
    </row>
    <row r="483" spans="2:15" ht="15.75" customHeight="1" x14ac:dyDescent="0.45">
      <c r="B483" s="190"/>
      <c r="J483" s="157"/>
      <c r="K483" s="157"/>
      <c r="L483" s="157"/>
      <c r="M483" s="157"/>
      <c r="N483" s="157"/>
      <c r="O483" s="157"/>
    </row>
    <row r="484" spans="2:15" ht="15.75" customHeight="1" x14ac:dyDescent="0.45">
      <c r="B484" s="190"/>
      <c r="J484" s="157"/>
      <c r="K484" s="157"/>
      <c r="L484" s="157"/>
      <c r="M484" s="157"/>
      <c r="N484" s="157"/>
      <c r="O484" s="157"/>
    </row>
    <row r="485" spans="2:15" ht="15.75" customHeight="1" x14ac:dyDescent="0.45">
      <c r="B485" s="190"/>
      <c r="J485" s="157"/>
      <c r="K485" s="157"/>
      <c r="L485" s="157"/>
      <c r="M485" s="157"/>
      <c r="N485" s="157"/>
      <c r="O485" s="157"/>
    </row>
    <row r="486" spans="2:15" ht="15.75" customHeight="1" x14ac:dyDescent="0.45">
      <c r="B486" s="190"/>
      <c r="J486" s="157"/>
      <c r="K486" s="157"/>
      <c r="L486" s="157"/>
      <c r="M486" s="157"/>
      <c r="N486" s="157"/>
      <c r="O486" s="157"/>
    </row>
    <row r="487" spans="2:15" ht="15.75" customHeight="1" x14ac:dyDescent="0.45">
      <c r="B487" s="190"/>
      <c r="J487" s="157"/>
      <c r="K487" s="157"/>
      <c r="L487" s="157"/>
      <c r="M487" s="157"/>
      <c r="N487" s="157"/>
      <c r="O487" s="157"/>
    </row>
    <row r="488" spans="2:15" ht="15.75" customHeight="1" x14ac:dyDescent="0.45">
      <c r="B488" s="190"/>
      <c r="J488" s="157"/>
      <c r="K488" s="157"/>
      <c r="L488" s="157"/>
      <c r="M488" s="157"/>
      <c r="N488" s="157"/>
      <c r="O488" s="157"/>
    </row>
    <row r="489" spans="2:15" ht="15.75" customHeight="1" x14ac:dyDescent="0.45">
      <c r="B489" s="190"/>
      <c r="J489" s="157"/>
      <c r="K489" s="157"/>
      <c r="L489" s="157"/>
      <c r="M489" s="157"/>
      <c r="N489" s="157"/>
      <c r="O489" s="157"/>
    </row>
    <row r="490" spans="2:15" ht="15.75" customHeight="1" x14ac:dyDescent="0.45">
      <c r="B490" s="190"/>
      <c r="J490" s="157"/>
      <c r="K490" s="157"/>
      <c r="L490" s="157"/>
      <c r="M490" s="157"/>
      <c r="N490" s="157"/>
      <c r="O490" s="157"/>
    </row>
    <row r="491" spans="2:15" ht="15.75" customHeight="1" x14ac:dyDescent="0.45">
      <c r="B491" s="190"/>
      <c r="J491" s="157"/>
      <c r="K491" s="157"/>
      <c r="L491" s="157"/>
      <c r="M491" s="157"/>
      <c r="N491" s="157"/>
      <c r="O491" s="157"/>
    </row>
    <row r="492" spans="2:15" ht="15.75" customHeight="1" x14ac:dyDescent="0.45">
      <c r="B492" s="190"/>
      <c r="J492" s="157"/>
      <c r="K492" s="157"/>
      <c r="L492" s="157"/>
      <c r="M492" s="157"/>
      <c r="N492" s="157"/>
      <c r="O492" s="157"/>
    </row>
    <row r="493" spans="2:15" ht="15.75" customHeight="1" x14ac:dyDescent="0.45">
      <c r="B493" s="190"/>
      <c r="J493" s="157"/>
      <c r="K493" s="157"/>
      <c r="L493" s="157"/>
      <c r="M493" s="157"/>
      <c r="N493" s="157"/>
      <c r="O493" s="157"/>
    </row>
    <row r="494" spans="2:15" ht="15.75" customHeight="1" x14ac:dyDescent="0.45">
      <c r="B494" s="190"/>
      <c r="J494" s="157"/>
      <c r="K494" s="157"/>
      <c r="L494" s="157"/>
      <c r="M494" s="157"/>
      <c r="N494" s="157"/>
      <c r="O494" s="157"/>
    </row>
    <row r="495" spans="2:15" ht="15.75" customHeight="1" x14ac:dyDescent="0.45">
      <c r="B495" s="190"/>
      <c r="J495" s="157"/>
      <c r="K495" s="157"/>
      <c r="L495" s="157"/>
      <c r="M495" s="157"/>
      <c r="N495" s="157"/>
      <c r="O495" s="157"/>
    </row>
    <row r="496" spans="2:15" ht="15.75" customHeight="1" x14ac:dyDescent="0.45">
      <c r="B496" s="190"/>
      <c r="J496" s="157"/>
      <c r="K496" s="157"/>
      <c r="L496" s="157"/>
      <c r="M496" s="157"/>
      <c r="N496" s="157"/>
      <c r="O496" s="157"/>
    </row>
    <row r="497" spans="2:15" ht="15.75" customHeight="1" x14ac:dyDescent="0.45">
      <c r="B497" s="190"/>
      <c r="J497" s="157"/>
      <c r="K497" s="157"/>
      <c r="L497" s="157"/>
      <c r="M497" s="157"/>
      <c r="N497" s="157"/>
      <c r="O497" s="157"/>
    </row>
    <row r="498" spans="2:15" ht="15.75" customHeight="1" x14ac:dyDescent="0.45">
      <c r="B498" s="190"/>
      <c r="J498" s="157"/>
      <c r="K498" s="157"/>
      <c r="L498" s="157"/>
      <c r="M498" s="157"/>
      <c r="N498" s="157"/>
      <c r="O498" s="157"/>
    </row>
    <row r="499" spans="2:15" ht="15.75" customHeight="1" x14ac:dyDescent="0.45">
      <c r="B499" s="190"/>
      <c r="J499" s="157"/>
      <c r="K499" s="157"/>
      <c r="L499" s="157"/>
      <c r="M499" s="157"/>
      <c r="N499" s="157"/>
      <c r="O499" s="157"/>
    </row>
    <row r="500" spans="2:15" ht="15.75" customHeight="1" x14ac:dyDescent="0.45">
      <c r="B500" s="190"/>
      <c r="J500" s="157"/>
      <c r="K500" s="157"/>
      <c r="L500" s="157"/>
      <c r="M500" s="157"/>
      <c r="N500" s="157"/>
      <c r="O500" s="157"/>
    </row>
    <row r="501" spans="2:15" ht="15.75" customHeight="1" x14ac:dyDescent="0.45">
      <c r="B501" s="190"/>
      <c r="J501" s="157"/>
      <c r="K501" s="157"/>
      <c r="L501" s="157"/>
      <c r="M501" s="157"/>
      <c r="N501" s="157"/>
      <c r="O501" s="157"/>
    </row>
    <row r="502" spans="2:15" ht="15.75" customHeight="1" x14ac:dyDescent="0.45">
      <c r="B502" s="190"/>
      <c r="J502" s="157"/>
      <c r="K502" s="157"/>
      <c r="L502" s="157"/>
      <c r="M502" s="157"/>
      <c r="N502" s="157"/>
      <c r="O502" s="157"/>
    </row>
    <row r="503" spans="2:15" ht="15.75" customHeight="1" x14ac:dyDescent="0.45">
      <c r="B503" s="190"/>
      <c r="J503" s="157"/>
      <c r="K503" s="157"/>
      <c r="L503" s="157"/>
      <c r="M503" s="157"/>
      <c r="N503" s="157"/>
      <c r="O503" s="157"/>
    </row>
    <row r="504" spans="2:15" ht="15.75" customHeight="1" x14ac:dyDescent="0.45">
      <c r="B504" s="190"/>
      <c r="J504" s="157"/>
      <c r="K504" s="157"/>
      <c r="L504" s="157"/>
      <c r="M504" s="157"/>
      <c r="N504" s="157"/>
      <c r="O504" s="157"/>
    </row>
    <row r="505" spans="2:15" ht="15.75" customHeight="1" x14ac:dyDescent="0.45">
      <c r="B505" s="190"/>
      <c r="J505" s="157"/>
      <c r="K505" s="157"/>
      <c r="L505" s="157"/>
      <c r="M505" s="157"/>
      <c r="N505" s="157"/>
      <c r="O505" s="157"/>
    </row>
    <row r="506" spans="2:15" ht="15.75" customHeight="1" x14ac:dyDescent="0.45">
      <c r="B506" s="190"/>
      <c r="J506" s="157"/>
      <c r="K506" s="157"/>
      <c r="L506" s="157"/>
      <c r="M506" s="157"/>
      <c r="N506" s="157"/>
      <c r="O506" s="157"/>
    </row>
    <row r="507" spans="2:15" ht="15.75" customHeight="1" x14ac:dyDescent="0.45">
      <c r="B507" s="190"/>
      <c r="J507" s="157"/>
      <c r="K507" s="157"/>
      <c r="L507" s="157"/>
      <c r="M507" s="157"/>
      <c r="N507" s="157"/>
      <c r="O507" s="157"/>
    </row>
    <row r="508" spans="2:15" ht="15.75" customHeight="1" x14ac:dyDescent="0.45">
      <c r="B508" s="190"/>
      <c r="J508" s="157"/>
      <c r="K508" s="157"/>
      <c r="L508" s="157"/>
      <c r="M508" s="157"/>
      <c r="N508" s="157"/>
      <c r="O508" s="157"/>
    </row>
    <row r="509" spans="2:15" ht="15.75" customHeight="1" x14ac:dyDescent="0.45">
      <c r="B509" s="190"/>
      <c r="J509" s="157"/>
      <c r="K509" s="157"/>
      <c r="L509" s="157"/>
      <c r="M509" s="157"/>
      <c r="N509" s="157"/>
      <c r="O509" s="157"/>
    </row>
    <row r="510" spans="2:15" ht="15.75" customHeight="1" x14ac:dyDescent="0.45">
      <c r="B510" s="190"/>
      <c r="J510" s="157"/>
      <c r="K510" s="157"/>
      <c r="L510" s="157"/>
      <c r="M510" s="157"/>
      <c r="N510" s="157"/>
      <c r="O510" s="157"/>
    </row>
    <row r="511" spans="2:15" ht="15.75" customHeight="1" x14ac:dyDescent="0.45">
      <c r="B511" s="190"/>
      <c r="J511" s="157"/>
      <c r="K511" s="157"/>
      <c r="L511" s="157"/>
      <c r="M511" s="157"/>
      <c r="N511" s="157"/>
      <c r="O511" s="157"/>
    </row>
    <row r="512" spans="2:15" ht="15.75" customHeight="1" x14ac:dyDescent="0.45">
      <c r="B512" s="190"/>
      <c r="J512" s="157"/>
      <c r="K512" s="157"/>
      <c r="L512" s="157"/>
      <c r="M512" s="157"/>
      <c r="N512" s="157"/>
      <c r="O512" s="157"/>
    </row>
    <row r="513" spans="2:15" ht="15.75" customHeight="1" x14ac:dyDescent="0.45">
      <c r="B513" s="190"/>
      <c r="J513" s="157"/>
      <c r="K513" s="157"/>
      <c r="L513" s="157"/>
      <c r="M513" s="157"/>
      <c r="N513" s="157"/>
      <c r="O513" s="157"/>
    </row>
    <row r="514" spans="2:15" ht="15.75" customHeight="1" x14ac:dyDescent="0.45">
      <c r="B514" s="190"/>
      <c r="J514" s="157"/>
      <c r="K514" s="157"/>
      <c r="L514" s="157"/>
      <c r="M514" s="157"/>
      <c r="N514" s="157"/>
      <c r="O514" s="157"/>
    </row>
    <row r="515" spans="2:15" ht="15.75" customHeight="1" x14ac:dyDescent="0.45">
      <c r="B515" s="190"/>
      <c r="J515" s="157"/>
      <c r="K515" s="157"/>
      <c r="L515" s="157"/>
      <c r="M515" s="157"/>
      <c r="N515" s="157"/>
      <c r="O515" s="157"/>
    </row>
    <row r="516" spans="2:15" ht="15.75" customHeight="1" x14ac:dyDescent="0.45">
      <c r="B516" s="190"/>
      <c r="J516" s="157"/>
      <c r="K516" s="157"/>
      <c r="L516" s="157"/>
      <c r="M516" s="157"/>
      <c r="N516" s="157"/>
      <c r="O516" s="157"/>
    </row>
    <row r="517" spans="2:15" ht="15.75" customHeight="1" x14ac:dyDescent="0.45">
      <c r="B517" s="190"/>
      <c r="J517" s="157"/>
      <c r="K517" s="157"/>
      <c r="L517" s="157"/>
      <c r="M517" s="157"/>
      <c r="N517" s="157"/>
      <c r="O517" s="157"/>
    </row>
    <row r="518" spans="2:15" ht="15.75" customHeight="1" x14ac:dyDescent="0.45">
      <c r="B518" s="190"/>
      <c r="J518" s="157"/>
      <c r="K518" s="157"/>
      <c r="L518" s="157"/>
      <c r="M518" s="157"/>
      <c r="N518" s="157"/>
      <c r="O518" s="157"/>
    </row>
    <row r="519" spans="2:15" ht="15.75" customHeight="1" x14ac:dyDescent="0.45">
      <c r="B519" s="190"/>
      <c r="J519" s="157"/>
      <c r="K519" s="157"/>
      <c r="L519" s="157"/>
      <c r="M519" s="157"/>
      <c r="N519" s="157"/>
      <c r="O519" s="157"/>
    </row>
    <row r="520" spans="2:15" ht="15.75" customHeight="1" x14ac:dyDescent="0.45">
      <c r="B520" s="190"/>
      <c r="J520" s="157"/>
      <c r="K520" s="157"/>
      <c r="L520" s="157"/>
      <c r="M520" s="157"/>
      <c r="N520" s="157"/>
      <c r="O520" s="157"/>
    </row>
    <row r="521" spans="2:15" ht="15.75" customHeight="1" x14ac:dyDescent="0.45">
      <c r="B521" s="190"/>
      <c r="J521" s="157"/>
      <c r="K521" s="157"/>
      <c r="L521" s="157"/>
      <c r="M521" s="157"/>
      <c r="N521" s="157"/>
      <c r="O521" s="157"/>
    </row>
    <row r="522" spans="2:15" ht="15.75" customHeight="1" x14ac:dyDescent="0.45">
      <c r="B522" s="190"/>
      <c r="J522" s="157"/>
      <c r="K522" s="157"/>
      <c r="L522" s="157"/>
      <c r="M522" s="157"/>
      <c r="N522" s="157"/>
      <c r="O522" s="157"/>
    </row>
    <row r="523" spans="2:15" ht="15.75" customHeight="1" x14ac:dyDescent="0.45">
      <c r="B523" s="190"/>
      <c r="J523" s="157"/>
      <c r="K523" s="157"/>
      <c r="L523" s="157"/>
      <c r="M523" s="157"/>
      <c r="N523" s="157"/>
      <c r="O523" s="157"/>
    </row>
    <row r="524" spans="2:15" ht="15.75" customHeight="1" x14ac:dyDescent="0.45">
      <c r="B524" s="190"/>
      <c r="J524" s="157"/>
      <c r="K524" s="157"/>
      <c r="L524" s="157"/>
      <c r="M524" s="157"/>
      <c r="N524" s="157"/>
      <c r="O524" s="157"/>
    </row>
    <row r="525" spans="2:15" ht="15.75" customHeight="1" x14ac:dyDescent="0.45">
      <c r="B525" s="190"/>
      <c r="J525" s="157"/>
      <c r="K525" s="157"/>
      <c r="L525" s="157"/>
      <c r="M525" s="157"/>
      <c r="N525" s="157"/>
      <c r="O525" s="157"/>
    </row>
    <row r="526" spans="2:15" ht="15.75" customHeight="1" x14ac:dyDescent="0.45">
      <c r="B526" s="190"/>
      <c r="J526" s="157"/>
      <c r="K526" s="157"/>
      <c r="L526" s="157"/>
      <c r="M526" s="157"/>
      <c r="N526" s="157"/>
      <c r="O526" s="157"/>
    </row>
    <row r="527" spans="2:15" ht="15.75" customHeight="1" x14ac:dyDescent="0.45">
      <c r="B527" s="190"/>
      <c r="J527" s="157"/>
      <c r="K527" s="157"/>
      <c r="L527" s="157"/>
      <c r="M527" s="157"/>
      <c r="N527" s="157"/>
      <c r="O527" s="157"/>
    </row>
    <row r="528" spans="2:15" ht="15.75" customHeight="1" x14ac:dyDescent="0.45">
      <c r="B528" s="190"/>
      <c r="J528" s="157"/>
      <c r="K528" s="157"/>
      <c r="L528" s="157"/>
      <c r="M528" s="157"/>
      <c r="N528" s="157"/>
      <c r="O528" s="157"/>
    </row>
    <row r="529" spans="2:15" ht="15.75" customHeight="1" x14ac:dyDescent="0.45">
      <c r="B529" s="190"/>
      <c r="J529" s="157"/>
      <c r="K529" s="157"/>
      <c r="L529" s="157"/>
      <c r="M529" s="157"/>
      <c r="N529" s="157"/>
      <c r="O529" s="157"/>
    </row>
    <row r="530" spans="2:15" ht="15.75" customHeight="1" x14ac:dyDescent="0.45">
      <c r="B530" s="190"/>
      <c r="J530" s="157"/>
      <c r="K530" s="157"/>
      <c r="L530" s="157"/>
      <c r="M530" s="157"/>
      <c r="N530" s="157"/>
      <c r="O530" s="157"/>
    </row>
    <row r="531" spans="2:15" ht="15.75" customHeight="1" x14ac:dyDescent="0.45">
      <c r="B531" s="190"/>
      <c r="J531" s="157"/>
      <c r="K531" s="157"/>
      <c r="L531" s="157"/>
      <c r="M531" s="157"/>
      <c r="N531" s="157"/>
      <c r="O531" s="157"/>
    </row>
    <row r="532" spans="2:15" ht="15.75" customHeight="1" x14ac:dyDescent="0.45">
      <c r="B532" s="190"/>
      <c r="J532" s="157"/>
      <c r="K532" s="157"/>
      <c r="L532" s="157"/>
      <c r="M532" s="157"/>
      <c r="N532" s="157"/>
      <c r="O532" s="157"/>
    </row>
    <row r="533" spans="2:15" ht="15.75" customHeight="1" x14ac:dyDescent="0.45">
      <c r="B533" s="190"/>
      <c r="J533" s="157"/>
      <c r="K533" s="157"/>
      <c r="L533" s="157"/>
      <c r="M533" s="157"/>
      <c r="N533" s="157"/>
      <c r="O533" s="157"/>
    </row>
    <row r="534" spans="2:15" ht="15.75" customHeight="1" x14ac:dyDescent="0.45">
      <c r="B534" s="190"/>
      <c r="J534" s="157"/>
      <c r="K534" s="157"/>
      <c r="L534" s="157"/>
      <c r="M534" s="157"/>
      <c r="N534" s="157"/>
      <c r="O534" s="157"/>
    </row>
    <row r="535" spans="2:15" ht="15.75" customHeight="1" x14ac:dyDescent="0.45">
      <c r="B535" s="190"/>
      <c r="J535" s="157"/>
      <c r="K535" s="157"/>
      <c r="L535" s="157"/>
      <c r="M535" s="157"/>
      <c r="N535" s="157"/>
      <c r="O535" s="157"/>
    </row>
    <row r="536" spans="2:15" ht="15.75" customHeight="1" x14ac:dyDescent="0.45">
      <c r="B536" s="190"/>
      <c r="J536" s="157"/>
      <c r="K536" s="157"/>
      <c r="L536" s="157"/>
      <c r="M536" s="157"/>
      <c r="N536" s="157"/>
      <c r="O536" s="157"/>
    </row>
    <row r="537" spans="2:15" ht="15.75" customHeight="1" x14ac:dyDescent="0.45">
      <c r="B537" s="190"/>
      <c r="J537" s="157"/>
      <c r="K537" s="157"/>
      <c r="L537" s="157"/>
      <c r="M537" s="157"/>
      <c r="N537" s="157"/>
      <c r="O537" s="157"/>
    </row>
    <row r="538" spans="2:15" ht="15.75" customHeight="1" x14ac:dyDescent="0.45">
      <c r="B538" s="190"/>
      <c r="J538" s="157"/>
      <c r="K538" s="157"/>
      <c r="L538" s="157"/>
      <c r="M538" s="157"/>
      <c r="N538" s="157"/>
      <c r="O538" s="157"/>
    </row>
    <row r="539" spans="2:15" ht="15.75" customHeight="1" x14ac:dyDescent="0.45">
      <c r="B539" s="190"/>
      <c r="J539" s="157"/>
      <c r="K539" s="157"/>
      <c r="L539" s="157"/>
      <c r="M539" s="157"/>
      <c r="N539" s="157"/>
      <c r="O539" s="157"/>
    </row>
    <row r="540" spans="2:15" ht="15.75" customHeight="1" x14ac:dyDescent="0.45">
      <c r="B540" s="190"/>
      <c r="J540" s="157"/>
      <c r="K540" s="157"/>
      <c r="L540" s="157"/>
      <c r="M540" s="157"/>
      <c r="N540" s="157"/>
      <c r="O540" s="157"/>
    </row>
    <row r="541" spans="2:15" ht="15.75" customHeight="1" x14ac:dyDescent="0.45">
      <c r="B541" s="190"/>
      <c r="J541" s="157"/>
      <c r="K541" s="157"/>
      <c r="L541" s="157"/>
      <c r="M541" s="157"/>
      <c r="N541" s="157"/>
      <c r="O541" s="157"/>
    </row>
    <row r="542" spans="2:15" ht="15.75" customHeight="1" x14ac:dyDescent="0.45">
      <c r="B542" s="190"/>
      <c r="J542" s="157"/>
      <c r="K542" s="157"/>
      <c r="L542" s="157"/>
      <c r="M542" s="157"/>
      <c r="N542" s="157"/>
      <c r="O542" s="157"/>
    </row>
    <row r="543" spans="2:15" ht="15.75" customHeight="1" x14ac:dyDescent="0.45">
      <c r="B543" s="190"/>
      <c r="J543" s="157"/>
      <c r="K543" s="157"/>
      <c r="L543" s="157"/>
      <c r="M543" s="157"/>
      <c r="N543" s="157"/>
      <c r="O543" s="157"/>
    </row>
    <row r="544" spans="2:15" ht="15.75" customHeight="1" x14ac:dyDescent="0.45">
      <c r="B544" s="190"/>
      <c r="J544" s="157"/>
      <c r="K544" s="157"/>
      <c r="L544" s="157"/>
      <c r="M544" s="157"/>
      <c r="N544" s="157"/>
      <c r="O544" s="157"/>
    </row>
    <row r="545" spans="2:15" ht="15.75" customHeight="1" x14ac:dyDescent="0.45">
      <c r="B545" s="190"/>
      <c r="J545" s="157"/>
      <c r="K545" s="157"/>
      <c r="L545" s="157"/>
      <c r="M545" s="157"/>
      <c r="N545" s="157"/>
      <c r="O545" s="157"/>
    </row>
    <row r="546" spans="2:15" ht="15.75" customHeight="1" x14ac:dyDescent="0.45">
      <c r="B546" s="190"/>
      <c r="J546" s="157"/>
      <c r="K546" s="157"/>
      <c r="L546" s="157"/>
      <c r="M546" s="157"/>
      <c r="N546" s="157"/>
      <c r="O546" s="157"/>
    </row>
    <row r="547" spans="2:15" ht="15.75" customHeight="1" x14ac:dyDescent="0.45">
      <c r="B547" s="190"/>
      <c r="J547" s="157"/>
      <c r="K547" s="157"/>
      <c r="L547" s="157"/>
      <c r="M547" s="157"/>
      <c r="N547" s="157"/>
      <c r="O547" s="157"/>
    </row>
    <row r="548" spans="2:15" ht="15.75" customHeight="1" x14ac:dyDescent="0.45">
      <c r="B548" s="190"/>
      <c r="J548" s="157"/>
      <c r="K548" s="157"/>
      <c r="L548" s="157"/>
      <c r="M548" s="157"/>
      <c r="N548" s="157"/>
      <c r="O548" s="157"/>
    </row>
    <row r="549" spans="2:15" ht="15.75" customHeight="1" x14ac:dyDescent="0.45">
      <c r="B549" s="190"/>
      <c r="J549" s="157"/>
      <c r="K549" s="157"/>
      <c r="L549" s="157"/>
      <c r="M549" s="157"/>
      <c r="N549" s="157"/>
      <c r="O549" s="157"/>
    </row>
    <row r="550" spans="2:15" ht="15.75" customHeight="1" x14ac:dyDescent="0.45">
      <c r="B550" s="190"/>
      <c r="J550" s="157"/>
      <c r="K550" s="157"/>
      <c r="L550" s="157"/>
      <c r="M550" s="157"/>
      <c r="N550" s="157"/>
      <c r="O550" s="157"/>
    </row>
    <row r="551" spans="2:15" ht="15.75" customHeight="1" x14ac:dyDescent="0.45">
      <c r="B551" s="190"/>
      <c r="J551" s="157"/>
      <c r="K551" s="157"/>
      <c r="L551" s="157"/>
      <c r="M551" s="157"/>
      <c r="N551" s="157"/>
      <c r="O551" s="157"/>
    </row>
    <row r="552" spans="2:15" ht="15.75" customHeight="1" x14ac:dyDescent="0.45">
      <c r="B552" s="190"/>
      <c r="J552" s="157"/>
      <c r="K552" s="157"/>
      <c r="L552" s="157"/>
      <c r="M552" s="157"/>
      <c r="N552" s="157"/>
      <c r="O552" s="157"/>
    </row>
    <row r="553" spans="2:15" ht="15.75" customHeight="1" x14ac:dyDescent="0.45">
      <c r="B553" s="190"/>
      <c r="J553" s="157"/>
      <c r="K553" s="157"/>
      <c r="L553" s="157"/>
      <c r="M553" s="157"/>
      <c r="N553" s="157"/>
      <c r="O553" s="157"/>
    </row>
    <row r="554" spans="2:15" ht="15.75" customHeight="1" x14ac:dyDescent="0.45">
      <c r="B554" s="190"/>
      <c r="J554" s="157"/>
      <c r="K554" s="157"/>
      <c r="L554" s="157"/>
      <c r="M554" s="157"/>
      <c r="N554" s="157"/>
      <c r="O554" s="157"/>
    </row>
    <row r="555" spans="2:15" ht="15.75" customHeight="1" x14ac:dyDescent="0.45">
      <c r="B555" s="190"/>
      <c r="J555" s="157"/>
      <c r="K555" s="157"/>
      <c r="L555" s="157"/>
      <c r="M555" s="157"/>
      <c r="N555" s="157"/>
      <c r="O555" s="157"/>
    </row>
    <row r="556" spans="2:15" ht="15.75" customHeight="1" x14ac:dyDescent="0.45">
      <c r="B556" s="190"/>
      <c r="J556" s="157"/>
      <c r="K556" s="157"/>
      <c r="L556" s="157"/>
      <c r="M556" s="157"/>
      <c r="N556" s="157"/>
      <c r="O556" s="157"/>
    </row>
    <row r="557" spans="2:15" ht="15.75" customHeight="1" x14ac:dyDescent="0.45">
      <c r="B557" s="190"/>
      <c r="J557" s="157"/>
      <c r="K557" s="157"/>
      <c r="L557" s="157"/>
      <c r="M557" s="157"/>
      <c r="N557" s="157"/>
      <c r="O557" s="157"/>
    </row>
    <row r="558" spans="2:15" ht="15.75" customHeight="1" x14ac:dyDescent="0.45">
      <c r="B558" s="190"/>
      <c r="J558" s="157"/>
      <c r="K558" s="157"/>
      <c r="L558" s="157"/>
      <c r="M558" s="157"/>
      <c r="N558" s="157"/>
      <c r="O558" s="157"/>
    </row>
    <row r="559" spans="2:15" ht="15.75" customHeight="1" x14ac:dyDescent="0.45">
      <c r="B559" s="190"/>
      <c r="J559" s="157"/>
      <c r="K559" s="157"/>
      <c r="L559" s="157"/>
      <c r="M559" s="157"/>
      <c r="N559" s="157"/>
      <c r="O559" s="157"/>
    </row>
    <row r="560" spans="2:15" ht="15.75" customHeight="1" x14ac:dyDescent="0.45">
      <c r="B560" s="190"/>
      <c r="J560" s="157"/>
      <c r="K560" s="157"/>
      <c r="L560" s="157"/>
      <c r="M560" s="157"/>
      <c r="N560" s="157"/>
      <c r="O560" s="157"/>
    </row>
    <row r="561" spans="2:15" ht="15.75" customHeight="1" x14ac:dyDescent="0.45">
      <c r="B561" s="190"/>
      <c r="J561" s="157"/>
      <c r="K561" s="157"/>
      <c r="L561" s="157"/>
      <c r="M561" s="157"/>
      <c r="N561" s="157"/>
      <c r="O561" s="157"/>
    </row>
    <row r="562" spans="2:15" ht="15.75" customHeight="1" x14ac:dyDescent="0.45">
      <c r="B562" s="190"/>
      <c r="J562" s="157"/>
      <c r="K562" s="157"/>
      <c r="L562" s="157"/>
      <c r="M562" s="157"/>
      <c r="N562" s="157"/>
      <c r="O562" s="157"/>
    </row>
    <row r="563" spans="2:15" ht="15.75" customHeight="1" x14ac:dyDescent="0.45">
      <c r="B563" s="190"/>
      <c r="J563" s="157"/>
      <c r="K563" s="157"/>
      <c r="L563" s="157"/>
      <c r="M563" s="157"/>
      <c r="N563" s="157"/>
      <c r="O563" s="157"/>
    </row>
    <row r="564" spans="2:15" ht="15.75" customHeight="1" x14ac:dyDescent="0.45">
      <c r="B564" s="190"/>
      <c r="J564" s="157"/>
      <c r="K564" s="157"/>
      <c r="L564" s="157"/>
      <c r="M564" s="157"/>
      <c r="N564" s="157"/>
      <c r="O564" s="157"/>
    </row>
    <row r="565" spans="2:15" ht="15.75" customHeight="1" x14ac:dyDescent="0.45">
      <c r="B565" s="190"/>
      <c r="J565" s="157"/>
      <c r="K565" s="157"/>
      <c r="L565" s="157"/>
      <c r="M565" s="157"/>
      <c r="N565" s="157"/>
      <c r="O565" s="157"/>
    </row>
    <row r="566" spans="2:15" ht="15.75" customHeight="1" x14ac:dyDescent="0.45">
      <c r="B566" s="190"/>
      <c r="J566" s="157"/>
      <c r="K566" s="157"/>
      <c r="L566" s="157"/>
      <c r="M566" s="157"/>
      <c r="N566" s="157"/>
      <c r="O566" s="157"/>
    </row>
    <row r="567" spans="2:15" ht="15.75" customHeight="1" x14ac:dyDescent="0.45">
      <c r="B567" s="190"/>
      <c r="J567" s="157"/>
      <c r="K567" s="157"/>
      <c r="L567" s="157"/>
      <c r="M567" s="157"/>
      <c r="N567" s="157"/>
      <c r="O567" s="157"/>
    </row>
    <row r="568" spans="2:15" ht="15.75" customHeight="1" x14ac:dyDescent="0.45">
      <c r="B568" s="190"/>
      <c r="J568" s="157"/>
      <c r="K568" s="157"/>
      <c r="L568" s="157"/>
      <c r="M568" s="157"/>
      <c r="N568" s="157"/>
      <c r="O568" s="157"/>
    </row>
    <row r="569" spans="2:15" ht="15.75" customHeight="1" x14ac:dyDescent="0.45">
      <c r="B569" s="190"/>
      <c r="J569" s="157"/>
      <c r="K569" s="157"/>
      <c r="L569" s="157"/>
      <c r="M569" s="157"/>
      <c r="N569" s="157"/>
      <c r="O569" s="157"/>
    </row>
    <row r="570" spans="2:15" ht="15.75" customHeight="1" x14ac:dyDescent="0.45">
      <c r="B570" s="190"/>
      <c r="J570" s="157"/>
      <c r="K570" s="157"/>
      <c r="L570" s="157"/>
      <c r="M570" s="157"/>
      <c r="N570" s="157"/>
      <c r="O570" s="157"/>
    </row>
    <row r="571" spans="2:15" ht="15.75" customHeight="1" x14ac:dyDescent="0.45">
      <c r="B571" s="190"/>
      <c r="J571" s="157"/>
      <c r="K571" s="157"/>
      <c r="L571" s="157"/>
      <c r="M571" s="157"/>
      <c r="N571" s="157"/>
      <c r="O571" s="157"/>
    </row>
    <row r="572" spans="2:15" ht="15.75" customHeight="1" x14ac:dyDescent="0.45">
      <c r="B572" s="190"/>
      <c r="J572" s="157"/>
      <c r="K572" s="157"/>
      <c r="L572" s="157"/>
      <c r="M572" s="157"/>
      <c r="N572" s="157"/>
      <c r="O572" s="157"/>
    </row>
    <row r="573" spans="2:15" ht="15.75" customHeight="1" x14ac:dyDescent="0.45">
      <c r="B573" s="190"/>
      <c r="J573" s="157"/>
      <c r="K573" s="157"/>
      <c r="L573" s="157"/>
      <c r="M573" s="157"/>
      <c r="N573" s="157"/>
      <c r="O573" s="157"/>
    </row>
    <row r="574" spans="2:15" ht="15.75" customHeight="1" x14ac:dyDescent="0.45">
      <c r="B574" s="190"/>
      <c r="J574" s="157"/>
      <c r="K574" s="157"/>
      <c r="L574" s="157"/>
      <c r="M574" s="157"/>
      <c r="N574" s="157"/>
      <c r="O574" s="157"/>
    </row>
    <row r="575" spans="2:15" ht="15.75" customHeight="1" x14ac:dyDescent="0.45">
      <c r="B575" s="190"/>
      <c r="J575" s="157"/>
      <c r="K575" s="157"/>
      <c r="L575" s="157"/>
      <c r="M575" s="157"/>
      <c r="N575" s="157"/>
      <c r="O575" s="157"/>
    </row>
    <row r="576" spans="2:15" ht="15.75" customHeight="1" x14ac:dyDescent="0.45">
      <c r="B576" s="190"/>
      <c r="J576" s="157"/>
      <c r="K576" s="157"/>
      <c r="L576" s="157"/>
      <c r="M576" s="157"/>
      <c r="N576" s="157"/>
      <c r="O576" s="157"/>
    </row>
    <row r="577" spans="2:15" ht="15.75" customHeight="1" x14ac:dyDescent="0.45">
      <c r="B577" s="190"/>
      <c r="J577" s="157"/>
      <c r="K577" s="157"/>
      <c r="L577" s="157"/>
      <c r="M577" s="157"/>
      <c r="N577" s="157"/>
      <c r="O577" s="157"/>
    </row>
    <row r="578" spans="2:15" ht="15.75" customHeight="1" x14ac:dyDescent="0.45">
      <c r="B578" s="190"/>
      <c r="J578" s="157"/>
      <c r="K578" s="157"/>
      <c r="L578" s="157"/>
      <c r="M578" s="157"/>
      <c r="N578" s="157"/>
      <c r="O578" s="157"/>
    </row>
    <row r="579" spans="2:15" ht="15.75" customHeight="1" x14ac:dyDescent="0.45">
      <c r="B579" s="190"/>
      <c r="J579" s="157"/>
      <c r="K579" s="157"/>
      <c r="L579" s="157"/>
      <c r="M579" s="157"/>
      <c r="N579" s="157"/>
      <c r="O579" s="157"/>
    </row>
    <row r="580" spans="2:15" ht="15.75" customHeight="1" x14ac:dyDescent="0.45">
      <c r="B580" s="190"/>
      <c r="J580" s="157"/>
      <c r="K580" s="157"/>
      <c r="L580" s="157"/>
      <c r="M580" s="157"/>
      <c r="N580" s="157"/>
      <c r="O580" s="157"/>
    </row>
    <row r="581" spans="2:15" ht="15.75" customHeight="1" x14ac:dyDescent="0.45">
      <c r="B581" s="190"/>
      <c r="J581" s="157"/>
      <c r="K581" s="157"/>
      <c r="L581" s="157"/>
      <c r="M581" s="157"/>
      <c r="N581" s="157"/>
      <c r="O581" s="157"/>
    </row>
    <row r="582" spans="2:15" ht="15.75" customHeight="1" x14ac:dyDescent="0.45">
      <c r="B582" s="190"/>
      <c r="J582" s="157"/>
      <c r="K582" s="157"/>
      <c r="L582" s="157"/>
      <c r="M582" s="157"/>
      <c r="N582" s="157"/>
      <c r="O582" s="157"/>
    </row>
    <row r="583" spans="2:15" ht="15.75" customHeight="1" x14ac:dyDescent="0.45">
      <c r="B583" s="190"/>
      <c r="J583" s="157"/>
      <c r="K583" s="157"/>
      <c r="L583" s="157"/>
      <c r="M583" s="157"/>
      <c r="N583" s="157"/>
      <c r="O583" s="157"/>
    </row>
    <row r="584" spans="2:15" ht="15.75" customHeight="1" x14ac:dyDescent="0.45">
      <c r="B584" s="190"/>
      <c r="J584" s="157"/>
      <c r="K584" s="157"/>
      <c r="L584" s="157"/>
      <c r="M584" s="157"/>
      <c r="N584" s="157"/>
      <c r="O584" s="157"/>
    </row>
    <row r="585" spans="2:15" ht="15.75" customHeight="1" x14ac:dyDescent="0.45">
      <c r="B585" s="190"/>
      <c r="J585" s="157"/>
      <c r="K585" s="157"/>
      <c r="L585" s="157"/>
      <c r="M585" s="157"/>
      <c r="N585" s="157"/>
      <c r="O585" s="157"/>
    </row>
    <row r="586" spans="2:15" ht="15.75" customHeight="1" x14ac:dyDescent="0.45">
      <c r="B586" s="190"/>
      <c r="J586" s="157"/>
      <c r="K586" s="157"/>
      <c r="L586" s="157"/>
      <c r="M586" s="157"/>
      <c r="N586" s="157"/>
      <c r="O586" s="157"/>
    </row>
    <row r="587" spans="2:15" ht="15.75" customHeight="1" x14ac:dyDescent="0.45">
      <c r="B587" s="190"/>
      <c r="J587" s="157"/>
      <c r="K587" s="157"/>
      <c r="L587" s="157"/>
      <c r="M587" s="157"/>
      <c r="N587" s="157"/>
      <c r="O587" s="157"/>
    </row>
    <row r="588" spans="2:15" ht="15.75" customHeight="1" x14ac:dyDescent="0.45">
      <c r="B588" s="190"/>
      <c r="J588" s="157"/>
      <c r="K588" s="157"/>
      <c r="L588" s="157"/>
      <c r="M588" s="157"/>
      <c r="N588" s="157"/>
      <c r="O588" s="157"/>
    </row>
    <row r="589" spans="2:15" ht="15.75" customHeight="1" x14ac:dyDescent="0.45">
      <c r="B589" s="190"/>
      <c r="J589" s="157"/>
      <c r="K589" s="157"/>
      <c r="L589" s="157"/>
      <c r="M589" s="157"/>
      <c r="N589" s="157"/>
      <c r="O589" s="157"/>
    </row>
    <row r="590" spans="2:15" ht="15.75" customHeight="1" x14ac:dyDescent="0.45">
      <c r="B590" s="190"/>
      <c r="J590" s="157"/>
      <c r="K590" s="157"/>
      <c r="L590" s="157"/>
      <c r="M590" s="157"/>
      <c r="N590" s="157"/>
      <c r="O590" s="157"/>
    </row>
    <row r="591" spans="2:15" ht="15.75" customHeight="1" x14ac:dyDescent="0.45">
      <c r="B591" s="190"/>
      <c r="J591" s="157"/>
      <c r="K591" s="157"/>
      <c r="L591" s="157"/>
      <c r="M591" s="157"/>
      <c r="N591" s="157"/>
      <c r="O591" s="157"/>
    </row>
    <row r="592" spans="2:15" ht="15.75" customHeight="1" x14ac:dyDescent="0.45">
      <c r="B592" s="190"/>
      <c r="J592" s="157"/>
      <c r="K592" s="157"/>
      <c r="L592" s="157"/>
      <c r="M592" s="157"/>
      <c r="N592" s="157"/>
      <c r="O592" s="157"/>
    </row>
    <row r="593" spans="2:15" ht="15.75" customHeight="1" x14ac:dyDescent="0.45">
      <c r="B593" s="190"/>
      <c r="J593" s="157"/>
      <c r="K593" s="157"/>
      <c r="L593" s="157"/>
      <c r="M593" s="157"/>
      <c r="N593" s="157"/>
      <c r="O593" s="157"/>
    </row>
    <row r="594" spans="2:15" ht="15.75" customHeight="1" x14ac:dyDescent="0.45">
      <c r="B594" s="190"/>
      <c r="J594" s="157"/>
      <c r="K594" s="157"/>
      <c r="L594" s="157"/>
      <c r="M594" s="157"/>
      <c r="N594" s="157"/>
      <c r="O594" s="157"/>
    </row>
    <row r="595" spans="2:15" ht="15.75" customHeight="1" x14ac:dyDescent="0.45">
      <c r="B595" s="190"/>
      <c r="J595" s="157"/>
      <c r="K595" s="157"/>
      <c r="L595" s="157"/>
      <c r="M595" s="157"/>
      <c r="N595" s="157"/>
      <c r="O595" s="157"/>
    </row>
    <row r="596" spans="2:15" ht="15.75" customHeight="1" x14ac:dyDescent="0.45">
      <c r="B596" s="190"/>
      <c r="J596" s="157"/>
      <c r="K596" s="157"/>
      <c r="L596" s="157"/>
      <c r="M596" s="157"/>
      <c r="N596" s="157"/>
      <c r="O596" s="157"/>
    </row>
    <row r="597" spans="2:15" ht="15.75" customHeight="1" x14ac:dyDescent="0.45">
      <c r="B597" s="190"/>
      <c r="J597" s="157"/>
      <c r="K597" s="157"/>
      <c r="L597" s="157"/>
      <c r="M597" s="157"/>
      <c r="N597" s="157"/>
      <c r="O597" s="157"/>
    </row>
    <row r="598" spans="2:15" ht="15.75" customHeight="1" x14ac:dyDescent="0.45">
      <c r="B598" s="190"/>
      <c r="J598" s="157"/>
      <c r="K598" s="157"/>
      <c r="L598" s="157"/>
      <c r="M598" s="157"/>
      <c r="N598" s="157"/>
      <c r="O598" s="157"/>
    </row>
    <row r="599" spans="2:15" ht="15.75" customHeight="1" x14ac:dyDescent="0.45">
      <c r="B599" s="190"/>
      <c r="J599" s="157"/>
      <c r="K599" s="157"/>
      <c r="L599" s="157"/>
      <c r="M599" s="157"/>
      <c r="N599" s="157"/>
      <c r="O599" s="157"/>
    </row>
    <row r="600" spans="2:15" ht="15.75" customHeight="1" x14ac:dyDescent="0.45">
      <c r="B600" s="190"/>
      <c r="J600" s="157"/>
      <c r="K600" s="157"/>
      <c r="L600" s="157"/>
      <c r="M600" s="157"/>
      <c r="N600" s="157"/>
      <c r="O600" s="157"/>
    </row>
    <row r="601" spans="2:15" ht="15.75" customHeight="1" x14ac:dyDescent="0.45">
      <c r="B601" s="190"/>
      <c r="J601" s="157"/>
      <c r="K601" s="157"/>
      <c r="L601" s="157"/>
      <c r="M601" s="157"/>
      <c r="N601" s="157"/>
      <c r="O601" s="157"/>
    </row>
    <row r="602" spans="2:15" ht="15.75" customHeight="1" x14ac:dyDescent="0.45">
      <c r="B602" s="190"/>
      <c r="J602" s="157"/>
      <c r="K602" s="157"/>
      <c r="L602" s="157"/>
      <c r="M602" s="157"/>
      <c r="N602" s="157"/>
      <c r="O602" s="157"/>
    </row>
    <row r="603" spans="2:15" ht="15.75" customHeight="1" x14ac:dyDescent="0.45">
      <c r="B603" s="190"/>
      <c r="J603" s="157"/>
      <c r="K603" s="157"/>
      <c r="L603" s="157"/>
      <c r="M603" s="157"/>
      <c r="N603" s="157"/>
      <c r="O603" s="157"/>
    </row>
    <row r="604" spans="2:15" ht="15.75" customHeight="1" x14ac:dyDescent="0.45">
      <c r="B604" s="190"/>
      <c r="J604" s="157"/>
      <c r="K604" s="157"/>
      <c r="L604" s="157"/>
      <c r="M604" s="157"/>
      <c r="N604" s="157"/>
      <c r="O604" s="157"/>
    </row>
    <row r="605" spans="2:15" ht="15.75" customHeight="1" x14ac:dyDescent="0.45">
      <c r="B605" s="190"/>
      <c r="J605" s="157"/>
      <c r="K605" s="157"/>
      <c r="L605" s="157"/>
      <c r="M605" s="157"/>
      <c r="N605" s="157"/>
      <c r="O605" s="157"/>
    </row>
    <row r="606" spans="2:15" ht="15.75" customHeight="1" x14ac:dyDescent="0.45">
      <c r="B606" s="190"/>
      <c r="J606" s="157"/>
      <c r="K606" s="157"/>
      <c r="L606" s="157"/>
      <c r="M606" s="157"/>
      <c r="N606" s="157"/>
      <c r="O606" s="157"/>
    </row>
    <row r="607" spans="2:15" ht="15.75" customHeight="1" x14ac:dyDescent="0.45">
      <c r="B607" s="190"/>
      <c r="J607" s="157"/>
      <c r="K607" s="157"/>
      <c r="L607" s="157"/>
      <c r="M607" s="157"/>
      <c r="N607" s="157"/>
      <c r="O607" s="157"/>
    </row>
    <row r="608" spans="2:15" ht="15.75" customHeight="1" x14ac:dyDescent="0.45">
      <c r="B608" s="190"/>
      <c r="J608" s="157"/>
      <c r="K608" s="157"/>
      <c r="L608" s="157"/>
      <c r="M608" s="157"/>
      <c r="N608" s="157"/>
      <c r="O608" s="157"/>
    </row>
    <row r="609" spans="2:15" ht="15.75" customHeight="1" x14ac:dyDescent="0.45">
      <c r="B609" s="190"/>
      <c r="J609" s="157"/>
      <c r="K609" s="157"/>
      <c r="L609" s="157"/>
      <c r="M609" s="157"/>
      <c r="N609" s="157"/>
      <c r="O609" s="157"/>
    </row>
    <row r="610" spans="2:15" ht="15.75" customHeight="1" x14ac:dyDescent="0.45">
      <c r="B610" s="190"/>
      <c r="J610" s="157"/>
      <c r="K610" s="157"/>
      <c r="L610" s="157"/>
      <c r="M610" s="157"/>
      <c r="N610" s="157"/>
      <c r="O610" s="157"/>
    </row>
    <row r="611" spans="2:15" ht="15.75" customHeight="1" x14ac:dyDescent="0.45">
      <c r="B611" s="190"/>
      <c r="J611" s="157"/>
      <c r="K611" s="157"/>
      <c r="L611" s="157"/>
      <c r="M611" s="157"/>
      <c r="N611" s="157"/>
      <c r="O611" s="157"/>
    </row>
    <row r="612" spans="2:15" ht="15.75" customHeight="1" x14ac:dyDescent="0.45">
      <c r="B612" s="190"/>
      <c r="J612" s="157"/>
      <c r="K612" s="157"/>
      <c r="L612" s="157"/>
      <c r="M612" s="157"/>
      <c r="N612" s="157"/>
      <c r="O612" s="157"/>
    </row>
    <row r="613" spans="2:15" ht="15.75" customHeight="1" x14ac:dyDescent="0.45">
      <c r="B613" s="190"/>
      <c r="J613" s="157"/>
      <c r="K613" s="157"/>
      <c r="L613" s="157"/>
      <c r="M613" s="157"/>
      <c r="N613" s="157"/>
      <c r="O613" s="157"/>
    </row>
    <row r="614" spans="2:15" ht="15.75" customHeight="1" x14ac:dyDescent="0.45">
      <c r="B614" s="190"/>
      <c r="J614" s="157"/>
      <c r="K614" s="157"/>
      <c r="L614" s="157"/>
      <c r="M614" s="157"/>
      <c r="N614" s="157"/>
      <c r="O614" s="157"/>
    </row>
    <row r="615" spans="2:15" ht="15.75" customHeight="1" x14ac:dyDescent="0.45">
      <c r="B615" s="190"/>
      <c r="J615" s="157"/>
      <c r="K615" s="157"/>
      <c r="L615" s="157"/>
      <c r="M615" s="157"/>
      <c r="N615" s="157"/>
      <c r="O615" s="157"/>
    </row>
    <row r="616" spans="2:15" ht="15.75" customHeight="1" x14ac:dyDescent="0.45">
      <c r="B616" s="190"/>
      <c r="J616" s="157"/>
      <c r="K616" s="157"/>
      <c r="L616" s="157"/>
      <c r="M616" s="157"/>
      <c r="N616" s="157"/>
      <c r="O616" s="157"/>
    </row>
    <row r="617" spans="2:15" ht="15.75" customHeight="1" x14ac:dyDescent="0.45">
      <c r="B617" s="190"/>
      <c r="J617" s="157"/>
      <c r="K617" s="157"/>
      <c r="L617" s="157"/>
      <c r="M617" s="157"/>
      <c r="N617" s="157"/>
      <c r="O617" s="157"/>
    </row>
    <row r="618" spans="2:15" ht="15.75" customHeight="1" x14ac:dyDescent="0.45">
      <c r="B618" s="190"/>
      <c r="J618" s="157"/>
      <c r="K618" s="157"/>
      <c r="L618" s="157"/>
      <c r="M618" s="157"/>
      <c r="N618" s="157"/>
      <c r="O618" s="157"/>
    </row>
    <row r="619" spans="2:15" ht="15.75" customHeight="1" x14ac:dyDescent="0.45">
      <c r="B619" s="190"/>
      <c r="J619" s="157"/>
      <c r="K619" s="157"/>
      <c r="L619" s="157"/>
      <c r="M619" s="157"/>
      <c r="N619" s="157"/>
      <c r="O619" s="157"/>
    </row>
    <row r="620" spans="2:15" ht="15.75" customHeight="1" x14ac:dyDescent="0.45">
      <c r="B620" s="190"/>
      <c r="J620" s="157"/>
      <c r="K620" s="157"/>
      <c r="L620" s="157"/>
      <c r="M620" s="157"/>
      <c r="N620" s="157"/>
      <c r="O620" s="157"/>
    </row>
    <row r="621" spans="2:15" ht="15.75" customHeight="1" x14ac:dyDescent="0.45">
      <c r="B621" s="190"/>
      <c r="J621" s="157"/>
      <c r="K621" s="157"/>
      <c r="L621" s="157"/>
      <c r="M621" s="157"/>
      <c r="N621" s="157"/>
      <c r="O621" s="157"/>
    </row>
    <row r="622" spans="2:15" ht="15.75" customHeight="1" x14ac:dyDescent="0.45">
      <c r="B622" s="190"/>
      <c r="J622" s="157"/>
      <c r="K622" s="157"/>
      <c r="L622" s="157"/>
      <c r="M622" s="157"/>
      <c r="N622" s="157"/>
      <c r="O622" s="157"/>
    </row>
    <row r="623" spans="2:15" ht="15.75" customHeight="1" x14ac:dyDescent="0.45">
      <c r="B623" s="190"/>
      <c r="J623" s="157"/>
      <c r="K623" s="157"/>
      <c r="L623" s="157"/>
      <c r="M623" s="157"/>
      <c r="N623" s="157"/>
      <c r="O623" s="157"/>
    </row>
    <row r="624" spans="2:15" ht="15.75" customHeight="1" x14ac:dyDescent="0.45">
      <c r="B624" s="190"/>
      <c r="J624" s="157"/>
      <c r="K624" s="157"/>
      <c r="L624" s="157"/>
      <c r="M624" s="157"/>
      <c r="N624" s="157"/>
      <c r="O624" s="157"/>
    </row>
    <row r="625" spans="2:15" ht="15.75" customHeight="1" x14ac:dyDescent="0.45">
      <c r="B625" s="190"/>
      <c r="J625" s="157"/>
      <c r="K625" s="157"/>
      <c r="L625" s="157"/>
      <c r="M625" s="157"/>
      <c r="N625" s="157"/>
      <c r="O625" s="157"/>
    </row>
    <row r="626" spans="2:15" ht="15.75" customHeight="1" x14ac:dyDescent="0.45">
      <c r="B626" s="190"/>
      <c r="J626" s="157"/>
      <c r="K626" s="157"/>
      <c r="L626" s="157"/>
      <c r="M626" s="157"/>
      <c r="N626" s="157"/>
      <c r="O626" s="157"/>
    </row>
    <row r="627" spans="2:15" ht="15.75" customHeight="1" x14ac:dyDescent="0.45">
      <c r="B627" s="190"/>
      <c r="J627" s="157"/>
      <c r="K627" s="157"/>
      <c r="L627" s="157"/>
      <c r="M627" s="157"/>
      <c r="N627" s="157"/>
      <c r="O627" s="157"/>
    </row>
    <row r="628" spans="2:15" ht="15.75" customHeight="1" x14ac:dyDescent="0.45">
      <c r="B628" s="190"/>
      <c r="J628" s="157"/>
      <c r="K628" s="157"/>
      <c r="L628" s="157"/>
      <c r="M628" s="157"/>
      <c r="N628" s="157"/>
      <c r="O628" s="157"/>
    </row>
    <row r="629" spans="2:15" ht="15.75" customHeight="1" x14ac:dyDescent="0.45">
      <c r="B629" s="190"/>
      <c r="J629" s="157"/>
      <c r="K629" s="157"/>
      <c r="L629" s="157"/>
      <c r="M629" s="157"/>
      <c r="N629" s="157"/>
      <c r="O629" s="157"/>
    </row>
    <row r="630" spans="2:15" ht="15.75" customHeight="1" x14ac:dyDescent="0.45">
      <c r="B630" s="190"/>
      <c r="J630" s="157"/>
      <c r="K630" s="157"/>
      <c r="L630" s="157"/>
      <c r="M630" s="157"/>
      <c r="N630" s="157"/>
      <c r="O630" s="157"/>
    </row>
    <row r="631" spans="2:15" ht="15.75" customHeight="1" x14ac:dyDescent="0.45">
      <c r="B631" s="190"/>
      <c r="J631" s="157"/>
      <c r="K631" s="157"/>
      <c r="L631" s="157"/>
      <c r="M631" s="157"/>
      <c r="N631" s="157"/>
      <c r="O631" s="157"/>
    </row>
    <row r="632" spans="2:15" ht="15.75" customHeight="1" x14ac:dyDescent="0.45">
      <c r="B632" s="190"/>
      <c r="J632" s="157"/>
      <c r="K632" s="157"/>
      <c r="L632" s="157"/>
      <c r="M632" s="157"/>
      <c r="N632" s="157"/>
      <c r="O632" s="157"/>
    </row>
    <row r="633" spans="2:15" ht="15.75" customHeight="1" x14ac:dyDescent="0.45">
      <c r="B633" s="190"/>
      <c r="J633" s="157"/>
      <c r="K633" s="157"/>
      <c r="L633" s="157"/>
      <c r="M633" s="157"/>
      <c r="N633" s="157"/>
      <c r="O633" s="157"/>
    </row>
    <row r="634" spans="2:15" ht="15.75" customHeight="1" x14ac:dyDescent="0.45">
      <c r="B634" s="190"/>
      <c r="J634" s="157"/>
      <c r="K634" s="157"/>
      <c r="L634" s="157"/>
      <c r="M634" s="157"/>
      <c r="N634" s="157"/>
      <c r="O634" s="157"/>
    </row>
    <row r="635" spans="2:15" ht="15.75" customHeight="1" x14ac:dyDescent="0.45">
      <c r="B635" s="190"/>
      <c r="J635" s="157"/>
      <c r="K635" s="157"/>
      <c r="L635" s="157"/>
      <c r="M635" s="157"/>
      <c r="N635" s="157"/>
      <c r="O635" s="157"/>
    </row>
    <row r="636" spans="2:15" ht="15.75" customHeight="1" x14ac:dyDescent="0.45">
      <c r="B636" s="190"/>
      <c r="J636" s="157"/>
      <c r="K636" s="157"/>
      <c r="L636" s="157"/>
      <c r="M636" s="157"/>
      <c r="N636" s="157"/>
      <c r="O636" s="157"/>
    </row>
    <row r="637" spans="2:15" ht="15.75" customHeight="1" x14ac:dyDescent="0.45">
      <c r="B637" s="190"/>
      <c r="J637" s="157"/>
      <c r="K637" s="157"/>
      <c r="L637" s="157"/>
      <c r="M637" s="157"/>
      <c r="N637" s="157"/>
      <c r="O637" s="157"/>
    </row>
    <row r="638" spans="2:15" ht="15.75" customHeight="1" x14ac:dyDescent="0.45">
      <c r="B638" s="190"/>
      <c r="J638" s="157"/>
      <c r="K638" s="157"/>
      <c r="L638" s="157"/>
      <c r="M638" s="157"/>
      <c r="N638" s="157"/>
      <c r="O638" s="157"/>
    </row>
    <row r="639" spans="2:15" ht="15.75" customHeight="1" x14ac:dyDescent="0.45">
      <c r="B639" s="190"/>
      <c r="J639" s="157"/>
      <c r="K639" s="157"/>
      <c r="L639" s="157"/>
      <c r="M639" s="157"/>
      <c r="N639" s="157"/>
      <c r="O639" s="157"/>
    </row>
    <row r="640" spans="2:15" ht="15.75" customHeight="1" x14ac:dyDescent="0.45">
      <c r="B640" s="190"/>
      <c r="J640" s="157"/>
      <c r="K640" s="157"/>
      <c r="L640" s="157"/>
      <c r="M640" s="157"/>
      <c r="N640" s="157"/>
      <c r="O640" s="157"/>
    </row>
    <row r="641" spans="2:15" ht="15.75" customHeight="1" x14ac:dyDescent="0.45">
      <c r="B641" s="190"/>
      <c r="J641" s="157"/>
      <c r="K641" s="157"/>
      <c r="L641" s="157"/>
      <c r="M641" s="157"/>
      <c r="N641" s="157"/>
      <c r="O641" s="157"/>
    </row>
    <row r="642" spans="2:15" ht="15.75" customHeight="1" x14ac:dyDescent="0.45">
      <c r="B642" s="190"/>
      <c r="J642" s="157"/>
      <c r="K642" s="157"/>
      <c r="L642" s="157"/>
      <c r="M642" s="157"/>
      <c r="N642" s="157"/>
      <c r="O642" s="157"/>
    </row>
    <row r="643" spans="2:15" ht="15.75" customHeight="1" x14ac:dyDescent="0.45">
      <c r="B643" s="190"/>
      <c r="J643" s="157"/>
      <c r="K643" s="157"/>
      <c r="L643" s="157"/>
      <c r="M643" s="157"/>
      <c r="N643" s="157"/>
      <c r="O643" s="157"/>
    </row>
    <row r="644" spans="2:15" ht="15.75" customHeight="1" x14ac:dyDescent="0.45">
      <c r="B644" s="190"/>
      <c r="J644" s="157"/>
      <c r="K644" s="157"/>
      <c r="L644" s="157"/>
      <c r="M644" s="157"/>
      <c r="N644" s="157"/>
      <c r="O644" s="157"/>
    </row>
    <row r="645" spans="2:15" ht="15.75" customHeight="1" x14ac:dyDescent="0.45">
      <c r="B645" s="190"/>
      <c r="J645" s="157"/>
      <c r="K645" s="157"/>
      <c r="L645" s="157"/>
      <c r="M645" s="157"/>
      <c r="N645" s="157"/>
      <c r="O645" s="157"/>
    </row>
    <row r="646" spans="2:15" ht="15.75" customHeight="1" x14ac:dyDescent="0.45">
      <c r="B646" s="190"/>
      <c r="J646" s="157"/>
      <c r="K646" s="157"/>
      <c r="L646" s="157"/>
      <c r="M646" s="157"/>
      <c r="N646" s="157"/>
      <c r="O646" s="157"/>
    </row>
    <row r="647" spans="2:15" ht="15.75" customHeight="1" x14ac:dyDescent="0.45">
      <c r="B647" s="190"/>
      <c r="J647" s="157"/>
      <c r="K647" s="157"/>
      <c r="L647" s="157"/>
      <c r="M647" s="157"/>
      <c r="N647" s="157"/>
      <c r="O647" s="157"/>
    </row>
    <row r="648" spans="2:15" ht="15.75" customHeight="1" x14ac:dyDescent="0.45">
      <c r="B648" s="190"/>
      <c r="J648" s="157"/>
      <c r="K648" s="157"/>
      <c r="L648" s="157"/>
      <c r="M648" s="157"/>
      <c r="N648" s="157"/>
      <c r="O648" s="157"/>
    </row>
    <row r="649" spans="2:15" ht="15.75" customHeight="1" x14ac:dyDescent="0.45">
      <c r="B649" s="190"/>
      <c r="J649" s="157"/>
      <c r="K649" s="157"/>
      <c r="L649" s="157"/>
      <c r="M649" s="157"/>
      <c r="N649" s="157"/>
      <c r="O649" s="157"/>
    </row>
    <row r="650" spans="2:15" ht="15.75" customHeight="1" x14ac:dyDescent="0.45">
      <c r="B650" s="190"/>
      <c r="J650" s="157"/>
      <c r="K650" s="157"/>
      <c r="L650" s="157"/>
      <c r="M650" s="157"/>
      <c r="N650" s="157"/>
      <c r="O650" s="157"/>
    </row>
    <row r="651" spans="2:15" ht="15.75" customHeight="1" x14ac:dyDescent="0.45">
      <c r="B651" s="190"/>
      <c r="J651" s="157"/>
      <c r="K651" s="157"/>
      <c r="L651" s="157"/>
      <c r="M651" s="157"/>
      <c r="N651" s="157"/>
      <c r="O651" s="157"/>
    </row>
    <row r="652" spans="2:15" ht="15.75" customHeight="1" x14ac:dyDescent="0.45">
      <c r="B652" s="190"/>
      <c r="J652" s="157"/>
      <c r="K652" s="157"/>
      <c r="L652" s="157"/>
      <c r="M652" s="157"/>
      <c r="N652" s="157"/>
      <c r="O652" s="157"/>
    </row>
    <row r="653" spans="2:15" ht="15.75" customHeight="1" x14ac:dyDescent="0.45">
      <c r="B653" s="190"/>
      <c r="J653" s="157"/>
      <c r="K653" s="157"/>
      <c r="L653" s="157"/>
      <c r="M653" s="157"/>
      <c r="N653" s="157"/>
      <c r="O653" s="157"/>
    </row>
    <row r="654" spans="2:15" ht="15.75" customHeight="1" x14ac:dyDescent="0.45">
      <c r="B654" s="190"/>
      <c r="J654" s="157"/>
      <c r="K654" s="157"/>
      <c r="L654" s="157"/>
      <c r="M654" s="157"/>
      <c r="N654" s="157"/>
      <c r="O654" s="157"/>
    </row>
    <row r="655" spans="2:15" ht="15.75" customHeight="1" x14ac:dyDescent="0.45">
      <c r="B655" s="190"/>
      <c r="J655" s="157"/>
      <c r="K655" s="157"/>
      <c r="L655" s="157"/>
      <c r="M655" s="157"/>
      <c r="N655" s="157"/>
      <c r="O655" s="157"/>
    </row>
    <row r="656" spans="2:15" ht="15.75" customHeight="1" x14ac:dyDescent="0.45">
      <c r="B656" s="190"/>
      <c r="J656" s="157"/>
      <c r="K656" s="157"/>
      <c r="L656" s="157"/>
      <c r="M656" s="157"/>
      <c r="N656" s="157"/>
      <c r="O656" s="157"/>
    </row>
    <row r="657" spans="2:15" ht="15.75" customHeight="1" x14ac:dyDescent="0.45">
      <c r="B657" s="190"/>
      <c r="J657" s="157"/>
      <c r="K657" s="157"/>
      <c r="L657" s="157"/>
      <c r="M657" s="157"/>
      <c r="N657" s="157"/>
      <c r="O657" s="157"/>
    </row>
    <row r="658" spans="2:15" ht="15.75" customHeight="1" x14ac:dyDescent="0.45">
      <c r="B658" s="190"/>
      <c r="J658" s="157"/>
      <c r="K658" s="157"/>
      <c r="L658" s="157"/>
      <c r="M658" s="157"/>
      <c r="N658" s="157"/>
      <c r="O658" s="157"/>
    </row>
    <row r="659" spans="2:15" ht="15.75" customHeight="1" x14ac:dyDescent="0.45">
      <c r="B659" s="190"/>
      <c r="J659" s="157"/>
      <c r="K659" s="157"/>
      <c r="L659" s="157"/>
      <c r="M659" s="157"/>
      <c r="N659" s="157"/>
      <c r="O659" s="157"/>
    </row>
    <row r="660" spans="2:15" ht="15.75" customHeight="1" x14ac:dyDescent="0.45">
      <c r="B660" s="190"/>
      <c r="J660" s="157"/>
      <c r="K660" s="157"/>
      <c r="L660" s="157"/>
      <c r="M660" s="157"/>
      <c r="N660" s="157"/>
      <c r="O660" s="157"/>
    </row>
    <row r="661" spans="2:15" ht="15.75" customHeight="1" x14ac:dyDescent="0.45">
      <c r="B661" s="190"/>
      <c r="J661" s="157"/>
      <c r="K661" s="157"/>
      <c r="L661" s="157"/>
      <c r="M661" s="157"/>
      <c r="N661" s="157"/>
      <c r="O661" s="157"/>
    </row>
    <row r="662" spans="2:15" ht="15.75" customHeight="1" x14ac:dyDescent="0.45">
      <c r="B662" s="190"/>
      <c r="J662" s="157"/>
      <c r="K662" s="157"/>
      <c r="L662" s="157"/>
      <c r="M662" s="157"/>
      <c r="N662" s="157"/>
      <c r="O662" s="157"/>
    </row>
    <row r="663" spans="2:15" ht="15.75" customHeight="1" x14ac:dyDescent="0.45">
      <c r="B663" s="190"/>
      <c r="J663" s="157"/>
      <c r="K663" s="157"/>
      <c r="L663" s="157"/>
      <c r="M663" s="157"/>
      <c r="N663" s="157"/>
      <c r="O663" s="157"/>
    </row>
    <row r="664" spans="2:15" ht="15.75" customHeight="1" x14ac:dyDescent="0.45">
      <c r="B664" s="190"/>
      <c r="J664" s="157"/>
      <c r="K664" s="157"/>
      <c r="L664" s="157"/>
      <c r="M664" s="157"/>
      <c r="N664" s="157"/>
      <c r="O664" s="157"/>
    </row>
    <row r="665" spans="2:15" ht="15.75" customHeight="1" x14ac:dyDescent="0.45">
      <c r="B665" s="190"/>
      <c r="J665" s="157"/>
      <c r="K665" s="157"/>
      <c r="L665" s="157"/>
      <c r="M665" s="157"/>
      <c r="N665" s="157"/>
      <c r="O665" s="157"/>
    </row>
    <row r="666" spans="2:15" ht="15.75" customHeight="1" x14ac:dyDescent="0.45">
      <c r="B666" s="190"/>
      <c r="J666" s="157"/>
      <c r="K666" s="157"/>
      <c r="L666" s="157"/>
      <c r="M666" s="157"/>
      <c r="N666" s="157"/>
      <c r="O666" s="157"/>
    </row>
    <row r="667" spans="2:15" ht="15.75" customHeight="1" x14ac:dyDescent="0.45">
      <c r="B667" s="190"/>
      <c r="J667" s="157"/>
      <c r="K667" s="157"/>
      <c r="L667" s="157"/>
      <c r="M667" s="157"/>
      <c r="N667" s="157"/>
      <c r="O667" s="157"/>
    </row>
    <row r="668" spans="2:15" ht="15.75" customHeight="1" x14ac:dyDescent="0.45">
      <c r="B668" s="190"/>
      <c r="J668" s="157"/>
      <c r="K668" s="157"/>
      <c r="L668" s="157"/>
      <c r="M668" s="157"/>
      <c r="N668" s="157"/>
      <c r="O668" s="157"/>
    </row>
    <row r="669" spans="2:15" ht="15.75" customHeight="1" x14ac:dyDescent="0.45">
      <c r="B669" s="190"/>
      <c r="J669" s="157"/>
      <c r="K669" s="157"/>
      <c r="L669" s="157"/>
      <c r="M669" s="157"/>
      <c r="N669" s="157"/>
      <c r="O669" s="157"/>
    </row>
    <row r="670" spans="2:15" ht="15.75" customHeight="1" x14ac:dyDescent="0.45">
      <c r="B670" s="190"/>
      <c r="J670" s="157"/>
      <c r="K670" s="157"/>
      <c r="L670" s="157"/>
      <c r="M670" s="157"/>
      <c r="N670" s="157"/>
      <c r="O670" s="157"/>
    </row>
    <row r="671" spans="2:15" ht="15.75" customHeight="1" x14ac:dyDescent="0.45">
      <c r="B671" s="190"/>
      <c r="J671" s="157"/>
      <c r="K671" s="157"/>
      <c r="L671" s="157"/>
      <c r="M671" s="157"/>
      <c r="N671" s="157"/>
      <c r="O671" s="157"/>
    </row>
    <row r="672" spans="2:15" ht="15.75" customHeight="1" x14ac:dyDescent="0.45">
      <c r="B672" s="190"/>
      <c r="J672" s="157"/>
      <c r="K672" s="157"/>
      <c r="L672" s="157"/>
      <c r="M672" s="157"/>
      <c r="N672" s="157"/>
      <c r="O672" s="157"/>
    </row>
    <row r="673" spans="2:15" ht="15.75" customHeight="1" x14ac:dyDescent="0.45">
      <c r="B673" s="190"/>
      <c r="J673" s="157"/>
      <c r="K673" s="157"/>
      <c r="L673" s="157"/>
      <c r="M673" s="157"/>
      <c r="N673" s="157"/>
      <c r="O673" s="157"/>
    </row>
    <row r="674" spans="2:15" ht="15.75" customHeight="1" x14ac:dyDescent="0.45">
      <c r="B674" s="190"/>
      <c r="J674" s="157"/>
      <c r="K674" s="157"/>
      <c r="L674" s="157"/>
      <c r="M674" s="157"/>
      <c r="N674" s="157"/>
      <c r="O674" s="157"/>
    </row>
    <row r="675" spans="2:15" ht="15.75" customHeight="1" x14ac:dyDescent="0.45">
      <c r="B675" s="190"/>
      <c r="J675" s="157"/>
      <c r="K675" s="157"/>
      <c r="L675" s="157"/>
      <c r="M675" s="157"/>
      <c r="N675" s="157"/>
      <c r="O675" s="157"/>
    </row>
    <row r="676" spans="2:15" ht="15.75" customHeight="1" x14ac:dyDescent="0.45">
      <c r="B676" s="190"/>
      <c r="J676" s="157"/>
      <c r="K676" s="157"/>
      <c r="L676" s="157"/>
      <c r="M676" s="157"/>
      <c r="N676" s="157"/>
      <c r="O676" s="157"/>
    </row>
    <row r="677" spans="2:15" ht="15.75" customHeight="1" x14ac:dyDescent="0.45">
      <c r="B677" s="190"/>
      <c r="J677" s="157"/>
      <c r="K677" s="157"/>
      <c r="L677" s="157"/>
      <c r="M677" s="157"/>
      <c r="N677" s="157"/>
      <c r="O677" s="157"/>
    </row>
    <row r="678" spans="2:15" ht="15.75" customHeight="1" x14ac:dyDescent="0.45">
      <c r="B678" s="190"/>
      <c r="J678" s="157"/>
      <c r="K678" s="157"/>
      <c r="L678" s="157"/>
      <c r="M678" s="157"/>
      <c r="N678" s="157"/>
      <c r="O678" s="157"/>
    </row>
    <row r="679" spans="2:15" ht="15.75" customHeight="1" x14ac:dyDescent="0.45">
      <c r="B679" s="190"/>
      <c r="J679" s="157"/>
      <c r="K679" s="157"/>
      <c r="L679" s="157"/>
      <c r="M679" s="157"/>
      <c r="N679" s="157"/>
      <c r="O679" s="157"/>
    </row>
    <row r="680" spans="2:15" ht="15.75" customHeight="1" x14ac:dyDescent="0.45">
      <c r="B680" s="190"/>
      <c r="J680" s="157"/>
      <c r="K680" s="157"/>
      <c r="L680" s="157"/>
      <c r="M680" s="157"/>
      <c r="N680" s="157"/>
      <c r="O680" s="157"/>
    </row>
    <row r="681" spans="2:15" ht="15.75" customHeight="1" x14ac:dyDescent="0.45">
      <c r="B681" s="190"/>
      <c r="J681" s="157"/>
      <c r="K681" s="157"/>
      <c r="L681" s="157"/>
      <c r="M681" s="157"/>
      <c r="N681" s="157"/>
      <c r="O681" s="157"/>
    </row>
    <row r="682" spans="2:15" ht="15.75" customHeight="1" x14ac:dyDescent="0.45">
      <c r="B682" s="190"/>
      <c r="J682" s="157"/>
      <c r="K682" s="157"/>
      <c r="L682" s="157"/>
      <c r="M682" s="157"/>
      <c r="N682" s="157"/>
      <c r="O682" s="157"/>
    </row>
    <row r="683" spans="2:15" ht="15.75" customHeight="1" x14ac:dyDescent="0.45">
      <c r="B683" s="190"/>
      <c r="J683" s="157"/>
      <c r="K683" s="157"/>
      <c r="L683" s="157"/>
      <c r="M683" s="157"/>
      <c r="N683" s="157"/>
      <c r="O683" s="157"/>
    </row>
    <row r="684" spans="2:15" ht="15.75" customHeight="1" x14ac:dyDescent="0.45">
      <c r="B684" s="190"/>
      <c r="J684" s="157"/>
      <c r="K684" s="157"/>
      <c r="L684" s="157"/>
      <c r="M684" s="157"/>
      <c r="N684" s="157"/>
      <c r="O684" s="157"/>
    </row>
    <row r="685" spans="2:15" ht="15.75" customHeight="1" x14ac:dyDescent="0.45">
      <c r="B685" s="190"/>
      <c r="J685" s="157"/>
      <c r="K685" s="157"/>
      <c r="L685" s="157"/>
      <c r="M685" s="157"/>
      <c r="N685" s="157"/>
      <c r="O685" s="157"/>
    </row>
    <row r="686" spans="2:15" ht="15.75" customHeight="1" x14ac:dyDescent="0.45">
      <c r="B686" s="190"/>
      <c r="J686" s="157"/>
      <c r="K686" s="157"/>
      <c r="L686" s="157"/>
      <c r="M686" s="157"/>
      <c r="N686" s="157"/>
      <c r="O686" s="157"/>
    </row>
    <row r="687" spans="2:15" ht="15.75" customHeight="1" x14ac:dyDescent="0.45">
      <c r="B687" s="190"/>
      <c r="J687" s="157"/>
      <c r="K687" s="157"/>
      <c r="L687" s="157"/>
      <c r="M687" s="157"/>
      <c r="N687" s="157"/>
      <c r="O687" s="157"/>
    </row>
    <row r="688" spans="2:15" ht="15.75" customHeight="1" x14ac:dyDescent="0.45">
      <c r="B688" s="190"/>
      <c r="J688" s="157"/>
      <c r="K688" s="157"/>
      <c r="L688" s="157"/>
      <c r="M688" s="157"/>
      <c r="N688" s="157"/>
      <c r="O688" s="157"/>
    </row>
    <row r="689" spans="2:15" ht="15.75" customHeight="1" x14ac:dyDescent="0.45">
      <c r="B689" s="190"/>
      <c r="J689" s="157"/>
      <c r="K689" s="157"/>
      <c r="L689" s="157"/>
      <c r="M689" s="157"/>
      <c r="N689" s="157"/>
      <c r="O689" s="157"/>
    </row>
    <row r="690" spans="2:15" ht="15.75" customHeight="1" x14ac:dyDescent="0.45">
      <c r="B690" s="190"/>
      <c r="J690" s="157"/>
      <c r="K690" s="157"/>
      <c r="L690" s="157"/>
      <c r="M690" s="157"/>
      <c r="N690" s="157"/>
      <c r="O690" s="157"/>
    </row>
    <row r="691" spans="2:15" ht="15.75" customHeight="1" x14ac:dyDescent="0.45">
      <c r="B691" s="190"/>
      <c r="J691" s="157"/>
      <c r="K691" s="157"/>
      <c r="L691" s="157"/>
      <c r="M691" s="157"/>
      <c r="N691" s="157"/>
      <c r="O691" s="157"/>
    </row>
    <row r="692" spans="2:15" ht="15.75" customHeight="1" x14ac:dyDescent="0.45">
      <c r="B692" s="190"/>
      <c r="J692" s="157"/>
      <c r="K692" s="157"/>
      <c r="L692" s="157"/>
      <c r="M692" s="157"/>
      <c r="N692" s="157"/>
      <c r="O692" s="157"/>
    </row>
    <row r="693" spans="2:15" ht="15.75" customHeight="1" x14ac:dyDescent="0.45">
      <c r="B693" s="190"/>
      <c r="J693" s="157"/>
      <c r="K693" s="157"/>
      <c r="L693" s="157"/>
      <c r="M693" s="157"/>
      <c r="N693" s="157"/>
      <c r="O693" s="157"/>
    </row>
    <row r="694" spans="2:15" ht="15.75" customHeight="1" x14ac:dyDescent="0.45">
      <c r="B694" s="190"/>
      <c r="J694" s="157"/>
      <c r="K694" s="157"/>
      <c r="L694" s="157"/>
      <c r="M694" s="157"/>
      <c r="N694" s="157"/>
      <c r="O694" s="157"/>
    </row>
    <row r="695" spans="2:15" ht="15.75" customHeight="1" x14ac:dyDescent="0.45">
      <c r="B695" s="190"/>
      <c r="J695" s="157"/>
      <c r="K695" s="157"/>
      <c r="L695" s="157"/>
      <c r="M695" s="157"/>
      <c r="N695" s="157"/>
      <c r="O695" s="157"/>
    </row>
    <row r="696" spans="2:15" ht="15.75" customHeight="1" x14ac:dyDescent="0.45">
      <c r="B696" s="190"/>
      <c r="J696" s="157"/>
      <c r="K696" s="157"/>
      <c r="L696" s="157"/>
      <c r="M696" s="157"/>
      <c r="N696" s="157"/>
      <c r="O696" s="157"/>
    </row>
    <row r="697" spans="2:15" ht="15.75" customHeight="1" x14ac:dyDescent="0.45">
      <c r="B697" s="190"/>
      <c r="J697" s="157"/>
      <c r="K697" s="157"/>
      <c r="L697" s="157"/>
      <c r="M697" s="157"/>
      <c r="N697" s="157"/>
      <c r="O697" s="157"/>
    </row>
    <row r="698" spans="2:15" ht="15.75" customHeight="1" x14ac:dyDescent="0.45">
      <c r="B698" s="190"/>
      <c r="J698" s="157"/>
      <c r="K698" s="157"/>
      <c r="L698" s="157"/>
      <c r="M698" s="157"/>
      <c r="N698" s="157"/>
      <c r="O698" s="157"/>
    </row>
    <row r="699" spans="2:15" ht="15.75" customHeight="1" x14ac:dyDescent="0.45">
      <c r="B699" s="190"/>
      <c r="J699" s="157"/>
      <c r="K699" s="157"/>
      <c r="L699" s="157"/>
      <c r="M699" s="157"/>
      <c r="N699" s="157"/>
      <c r="O699" s="157"/>
    </row>
    <row r="700" spans="2:15" ht="15.75" customHeight="1" x14ac:dyDescent="0.45">
      <c r="B700" s="190"/>
      <c r="J700" s="157"/>
      <c r="K700" s="157"/>
      <c r="L700" s="157"/>
      <c r="M700" s="157"/>
      <c r="N700" s="157"/>
      <c r="O700" s="157"/>
    </row>
    <row r="701" spans="2:15" ht="15.75" customHeight="1" x14ac:dyDescent="0.45">
      <c r="B701" s="190"/>
      <c r="J701" s="157"/>
      <c r="K701" s="157"/>
      <c r="L701" s="157"/>
      <c r="M701" s="157"/>
      <c r="N701" s="157"/>
      <c r="O701" s="157"/>
    </row>
    <row r="702" spans="2:15" ht="15.75" customHeight="1" x14ac:dyDescent="0.45">
      <c r="B702" s="190"/>
      <c r="J702" s="157"/>
      <c r="K702" s="157"/>
      <c r="L702" s="157"/>
      <c r="M702" s="157"/>
      <c r="N702" s="157"/>
      <c r="O702" s="157"/>
    </row>
    <row r="703" spans="2:15" ht="15.75" customHeight="1" x14ac:dyDescent="0.45">
      <c r="B703" s="190"/>
      <c r="J703" s="157"/>
      <c r="K703" s="157"/>
      <c r="L703" s="157"/>
      <c r="M703" s="157"/>
      <c r="N703" s="157"/>
      <c r="O703" s="157"/>
    </row>
    <row r="704" spans="2:15" ht="15.75" customHeight="1" x14ac:dyDescent="0.45">
      <c r="B704" s="190"/>
      <c r="J704" s="157"/>
      <c r="K704" s="157"/>
      <c r="L704" s="157"/>
      <c r="M704" s="157"/>
      <c r="N704" s="157"/>
      <c r="O704" s="157"/>
    </row>
    <row r="705" spans="2:15" ht="15.75" customHeight="1" x14ac:dyDescent="0.45">
      <c r="B705" s="190"/>
      <c r="J705" s="157"/>
      <c r="K705" s="157"/>
      <c r="L705" s="157"/>
      <c r="M705" s="157"/>
      <c r="N705" s="157"/>
      <c r="O705" s="157"/>
    </row>
    <row r="706" spans="2:15" ht="15.75" customHeight="1" x14ac:dyDescent="0.45">
      <c r="B706" s="190"/>
      <c r="J706" s="157"/>
      <c r="K706" s="157"/>
      <c r="L706" s="157"/>
      <c r="M706" s="157"/>
      <c r="N706" s="157"/>
      <c r="O706" s="157"/>
    </row>
    <row r="707" spans="2:15" ht="15.75" customHeight="1" x14ac:dyDescent="0.45">
      <c r="B707" s="190"/>
      <c r="J707" s="157"/>
      <c r="K707" s="157"/>
      <c r="L707" s="157"/>
      <c r="M707" s="157"/>
      <c r="N707" s="157"/>
      <c r="O707" s="157"/>
    </row>
    <row r="708" spans="2:15" ht="15.75" customHeight="1" x14ac:dyDescent="0.45">
      <c r="B708" s="190"/>
      <c r="J708" s="157"/>
      <c r="K708" s="157"/>
      <c r="L708" s="157"/>
      <c r="M708" s="157"/>
      <c r="N708" s="157"/>
      <c r="O708" s="157"/>
    </row>
    <row r="709" spans="2:15" ht="15.75" customHeight="1" x14ac:dyDescent="0.45">
      <c r="B709" s="190"/>
      <c r="J709" s="157"/>
      <c r="K709" s="157"/>
      <c r="L709" s="157"/>
      <c r="M709" s="157"/>
      <c r="N709" s="157"/>
      <c r="O709" s="157"/>
    </row>
    <row r="710" spans="2:15" ht="15.75" customHeight="1" x14ac:dyDescent="0.45">
      <c r="B710" s="190"/>
      <c r="J710" s="157"/>
      <c r="K710" s="157"/>
      <c r="L710" s="157"/>
      <c r="M710" s="157"/>
      <c r="N710" s="157"/>
      <c r="O710" s="157"/>
    </row>
    <row r="711" spans="2:15" ht="15.75" customHeight="1" x14ac:dyDescent="0.45">
      <c r="B711" s="190"/>
      <c r="J711" s="157"/>
      <c r="K711" s="157"/>
      <c r="L711" s="157"/>
      <c r="M711" s="157"/>
      <c r="N711" s="157"/>
      <c r="O711" s="157"/>
    </row>
    <row r="712" spans="2:15" ht="15.75" customHeight="1" x14ac:dyDescent="0.45">
      <c r="B712" s="190"/>
      <c r="J712" s="157"/>
      <c r="K712" s="157"/>
      <c r="L712" s="157"/>
      <c r="M712" s="157"/>
      <c r="N712" s="157"/>
      <c r="O712" s="157"/>
    </row>
    <row r="713" spans="2:15" ht="15.75" customHeight="1" x14ac:dyDescent="0.45">
      <c r="B713" s="190"/>
      <c r="J713" s="157"/>
      <c r="K713" s="157"/>
      <c r="L713" s="157"/>
      <c r="M713" s="157"/>
      <c r="N713" s="157"/>
      <c r="O713" s="157"/>
    </row>
    <row r="714" spans="2:15" ht="15.75" customHeight="1" x14ac:dyDescent="0.45">
      <c r="B714" s="190"/>
      <c r="J714" s="157"/>
      <c r="K714" s="157"/>
      <c r="L714" s="157"/>
      <c r="M714" s="157"/>
      <c r="N714" s="157"/>
      <c r="O714" s="157"/>
    </row>
    <row r="715" spans="2:15" ht="15.75" customHeight="1" x14ac:dyDescent="0.45">
      <c r="B715" s="190"/>
      <c r="J715" s="157"/>
      <c r="K715" s="157"/>
      <c r="L715" s="157"/>
      <c r="M715" s="157"/>
      <c r="N715" s="157"/>
      <c r="O715" s="157"/>
    </row>
    <row r="716" spans="2:15" ht="15.75" customHeight="1" x14ac:dyDescent="0.45">
      <c r="B716" s="190"/>
      <c r="J716" s="157"/>
      <c r="K716" s="157"/>
      <c r="L716" s="157"/>
      <c r="M716" s="157"/>
      <c r="N716" s="157"/>
      <c r="O716" s="157"/>
    </row>
    <row r="717" spans="2:15" ht="15.75" customHeight="1" x14ac:dyDescent="0.45">
      <c r="B717" s="190"/>
      <c r="J717" s="157"/>
      <c r="K717" s="157"/>
      <c r="L717" s="157"/>
      <c r="M717" s="157"/>
      <c r="N717" s="157"/>
      <c r="O717" s="157"/>
    </row>
    <row r="718" spans="2:15" ht="15.75" customHeight="1" x14ac:dyDescent="0.45">
      <c r="B718" s="190"/>
      <c r="J718" s="157"/>
      <c r="K718" s="157"/>
      <c r="L718" s="157"/>
      <c r="M718" s="157"/>
      <c r="N718" s="157"/>
      <c r="O718" s="157"/>
    </row>
    <row r="719" spans="2:15" ht="15.75" customHeight="1" x14ac:dyDescent="0.45">
      <c r="B719" s="190"/>
      <c r="J719" s="157"/>
      <c r="K719" s="157"/>
      <c r="L719" s="157"/>
      <c r="M719" s="157"/>
      <c r="N719" s="157"/>
      <c r="O719" s="157"/>
    </row>
    <row r="720" spans="2:15" ht="15.75" customHeight="1" x14ac:dyDescent="0.45">
      <c r="B720" s="190"/>
      <c r="J720" s="157"/>
      <c r="K720" s="157"/>
      <c r="L720" s="157"/>
      <c r="M720" s="157"/>
      <c r="N720" s="157"/>
      <c r="O720" s="157"/>
    </row>
    <row r="721" spans="2:15" ht="15.75" customHeight="1" x14ac:dyDescent="0.45">
      <c r="B721" s="190"/>
      <c r="J721" s="157"/>
      <c r="K721" s="157"/>
      <c r="L721" s="157"/>
      <c r="M721" s="157"/>
      <c r="N721" s="157"/>
      <c r="O721" s="157"/>
    </row>
    <row r="722" spans="2:15" ht="15.75" customHeight="1" x14ac:dyDescent="0.45">
      <c r="B722" s="190"/>
      <c r="J722" s="157"/>
      <c r="K722" s="157"/>
      <c r="L722" s="157"/>
      <c r="M722" s="157"/>
      <c r="N722" s="157"/>
      <c r="O722" s="157"/>
    </row>
    <row r="723" spans="2:15" ht="15.75" customHeight="1" x14ac:dyDescent="0.45">
      <c r="B723" s="190"/>
      <c r="J723" s="157"/>
      <c r="K723" s="157"/>
      <c r="L723" s="157"/>
      <c r="M723" s="157"/>
      <c r="N723" s="157"/>
      <c r="O723" s="157"/>
    </row>
    <row r="724" spans="2:15" ht="15.75" customHeight="1" x14ac:dyDescent="0.45">
      <c r="B724" s="190"/>
      <c r="J724" s="157"/>
      <c r="K724" s="157"/>
      <c r="L724" s="157"/>
      <c r="M724" s="157"/>
      <c r="N724" s="157"/>
      <c r="O724" s="157"/>
    </row>
    <row r="725" spans="2:15" ht="15.75" customHeight="1" x14ac:dyDescent="0.45">
      <c r="B725" s="190"/>
      <c r="J725" s="157"/>
      <c r="K725" s="157"/>
      <c r="L725" s="157"/>
      <c r="M725" s="157"/>
      <c r="N725" s="157"/>
      <c r="O725" s="157"/>
    </row>
    <row r="726" spans="2:15" ht="15.75" customHeight="1" x14ac:dyDescent="0.45">
      <c r="B726" s="190"/>
      <c r="J726" s="157"/>
      <c r="K726" s="157"/>
      <c r="L726" s="157"/>
      <c r="M726" s="157"/>
      <c r="N726" s="157"/>
      <c r="O726" s="157"/>
    </row>
    <row r="727" spans="2:15" ht="15.75" customHeight="1" x14ac:dyDescent="0.45">
      <c r="B727" s="190"/>
      <c r="J727" s="157"/>
      <c r="K727" s="157"/>
      <c r="L727" s="157"/>
      <c r="M727" s="157"/>
      <c r="N727" s="157"/>
      <c r="O727" s="157"/>
    </row>
    <row r="728" spans="2:15" ht="15.75" customHeight="1" x14ac:dyDescent="0.45">
      <c r="B728" s="190"/>
      <c r="J728" s="157"/>
      <c r="K728" s="157"/>
      <c r="L728" s="157"/>
      <c r="M728" s="157"/>
      <c r="N728" s="157"/>
      <c r="O728" s="157"/>
    </row>
    <row r="729" spans="2:15" ht="15.75" customHeight="1" x14ac:dyDescent="0.45">
      <c r="B729" s="190"/>
      <c r="J729" s="157"/>
      <c r="K729" s="157"/>
      <c r="L729" s="157"/>
      <c r="M729" s="157"/>
      <c r="N729" s="157"/>
      <c r="O729" s="157"/>
    </row>
    <row r="730" spans="2:15" ht="15.75" customHeight="1" x14ac:dyDescent="0.45">
      <c r="B730" s="190"/>
      <c r="J730" s="157"/>
      <c r="K730" s="157"/>
      <c r="L730" s="157"/>
      <c r="M730" s="157"/>
      <c r="N730" s="157"/>
      <c r="O730" s="157"/>
    </row>
    <row r="731" spans="2:15" ht="15.75" customHeight="1" x14ac:dyDescent="0.45">
      <c r="B731" s="190"/>
      <c r="J731" s="157"/>
      <c r="K731" s="157"/>
      <c r="L731" s="157"/>
      <c r="M731" s="157"/>
      <c r="N731" s="157"/>
      <c r="O731" s="157"/>
    </row>
    <row r="732" spans="2:15" ht="15.75" customHeight="1" x14ac:dyDescent="0.45">
      <c r="B732" s="190"/>
      <c r="J732" s="157"/>
      <c r="K732" s="157"/>
      <c r="L732" s="157"/>
      <c r="M732" s="157"/>
      <c r="N732" s="157"/>
      <c r="O732" s="157"/>
    </row>
    <row r="733" spans="2:15" ht="15.75" customHeight="1" x14ac:dyDescent="0.45">
      <c r="B733" s="190"/>
      <c r="J733" s="157"/>
      <c r="K733" s="157"/>
      <c r="L733" s="157"/>
      <c r="M733" s="157"/>
      <c r="N733" s="157"/>
      <c r="O733" s="157"/>
    </row>
    <row r="734" spans="2:15" ht="15.75" customHeight="1" x14ac:dyDescent="0.45">
      <c r="B734" s="190"/>
      <c r="J734" s="157"/>
      <c r="K734" s="157"/>
      <c r="L734" s="157"/>
      <c r="M734" s="157"/>
      <c r="N734" s="157"/>
      <c r="O734" s="157"/>
    </row>
    <row r="735" spans="2:15" ht="15.75" customHeight="1" x14ac:dyDescent="0.45">
      <c r="B735" s="190"/>
      <c r="J735" s="157"/>
      <c r="K735" s="157"/>
      <c r="L735" s="157"/>
      <c r="M735" s="157"/>
      <c r="N735" s="157"/>
      <c r="O735" s="157"/>
    </row>
    <row r="736" spans="2:15" ht="15.75" customHeight="1" x14ac:dyDescent="0.45">
      <c r="B736" s="190"/>
      <c r="J736" s="157"/>
      <c r="K736" s="157"/>
      <c r="L736" s="157"/>
      <c r="M736" s="157"/>
      <c r="N736" s="157"/>
      <c r="O736" s="157"/>
    </row>
    <row r="737" spans="2:15" ht="15.75" customHeight="1" x14ac:dyDescent="0.45">
      <c r="B737" s="190"/>
      <c r="J737" s="157"/>
      <c r="K737" s="157"/>
      <c r="L737" s="157"/>
      <c r="M737" s="157"/>
      <c r="N737" s="157"/>
      <c r="O737" s="157"/>
    </row>
    <row r="738" spans="2:15" ht="15.75" customHeight="1" x14ac:dyDescent="0.45">
      <c r="B738" s="190"/>
      <c r="J738" s="157"/>
      <c r="K738" s="157"/>
      <c r="L738" s="157"/>
      <c r="M738" s="157"/>
      <c r="N738" s="157"/>
      <c r="O738" s="157"/>
    </row>
    <row r="739" spans="2:15" ht="15.75" customHeight="1" x14ac:dyDescent="0.45">
      <c r="B739" s="190"/>
      <c r="J739" s="157"/>
      <c r="K739" s="157"/>
      <c r="L739" s="157"/>
      <c r="M739" s="157"/>
      <c r="N739" s="157"/>
      <c r="O739" s="157"/>
    </row>
    <row r="740" spans="2:15" ht="15.75" customHeight="1" x14ac:dyDescent="0.45">
      <c r="B740" s="190"/>
      <c r="J740" s="157"/>
      <c r="K740" s="157"/>
      <c r="L740" s="157"/>
      <c r="M740" s="157"/>
      <c r="N740" s="157"/>
      <c r="O740" s="157"/>
    </row>
    <row r="741" spans="2:15" ht="15.75" customHeight="1" x14ac:dyDescent="0.45">
      <c r="B741" s="190"/>
      <c r="J741" s="157"/>
      <c r="K741" s="157"/>
      <c r="L741" s="157"/>
      <c r="M741" s="157"/>
      <c r="N741" s="157"/>
      <c r="O741" s="157"/>
    </row>
    <row r="742" spans="2:15" ht="15.75" customHeight="1" x14ac:dyDescent="0.45">
      <c r="B742" s="190"/>
      <c r="J742" s="157"/>
      <c r="K742" s="157"/>
      <c r="L742" s="157"/>
      <c r="M742" s="157"/>
      <c r="N742" s="157"/>
      <c r="O742" s="157"/>
    </row>
    <row r="743" spans="2:15" ht="15.75" customHeight="1" x14ac:dyDescent="0.45">
      <c r="B743" s="190"/>
      <c r="J743" s="157"/>
      <c r="K743" s="157"/>
      <c r="L743" s="157"/>
      <c r="M743" s="157"/>
      <c r="N743" s="157"/>
      <c r="O743" s="157"/>
    </row>
    <row r="744" spans="2:15" ht="15.75" customHeight="1" x14ac:dyDescent="0.45">
      <c r="B744" s="190"/>
      <c r="J744" s="157"/>
      <c r="K744" s="157"/>
      <c r="L744" s="157"/>
      <c r="M744" s="157"/>
      <c r="N744" s="157"/>
      <c r="O744" s="157"/>
    </row>
    <row r="745" spans="2:15" ht="15.75" customHeight="1" x14ac:dyDescent="0.45">
      <c r="B745" s="190"/>
      <c r="J745" s="157"/>
      <c r="K745" s="157"/>
      <c r="L745" s="157"/>
      <c r="M745" s="157"/>
      <c r="N745" s="157"/>
      <c r="O745" s="157"/>
    </row>
    <row r="746" spans="2:15" ht="15.75" customHeight="1" x14ac:dyDescent="0.45">
      <c r="B746" s="190"/>
      <c r="J746" s="157"/>
      <c r="K746" s="157"/>
      <c r="L746" s="157"/>
      <c r="M746" s="157"/>
      <c r="N746" s="157"/>
      <c r="O746" s="157"/>
    </row>
    <row r="747" spans="2:15" ht="15.75" customHeight="1" x14ac:dyDescent="0.45">
      <c r="B747" s="190"/>
      <c r="J747" s="157"/>
      <c r="K747" s="157"/>
      <c r="L747" s="157"/>
      <c r="M747" s="157"/>
      <c r="N747" s="157"/>
      <c r="O747" s="157"/>
    </row>
    <row r="748" spans="2:15" ht="15.75" customHeight="1" x14ac:dyDescent="0.45">
      <c r="B748" s="190"/>
      <c r="J748" s="157"/>
      <c r="K748" s="157"/>
      <c r="L748" s="157"/>
      <c r="M748" s="157"/>
      <c r="N748" s="157"/>
      <c r="O748" s="157"/>
    </row>
    <row r="749" spans="2:15" ht="15.75" customHeight="1" x14ac:dyDescent="0.45">
      <c r="B749" s="190"/>
      <c r="J749" s="157"/>
      <c r="K749" s="157"/>
      <c r="L749" s="157"/>
      <c r="M749" s="157"/>
      <c r="N749" s="157"/>
      <c r="O749" s="157"/>
    </row>
    <row r="750" spans="2:15" ht="15.75" customHeight="1" x14ac:dyDescent="0.45">
      <c r="B750" s="190"/>
      <c r="J750" s="157"/>
      <c r="K750" s="157"/>
      <c r="L750" s="157"/>
      <c r="M750" s="157"/>
      <c r="N750" s="157"/>
      <c r="O750" s="157"/>
    </row>
    <row r="751" spans="2:15" ht="15.75" customHeight="1" x14ac:dyDescent="0.45">
      <c r="B751" s="190"/>
      <c r="J751" s="157"/>
      <c r="K751" s="157"/>
      <c r="L751" s="157"/>
      <c r="M751" s="157"/>
      <c r="N751" s="157"/>
      <c r="O751" s="157"/>
    </row>
    <row r="752" spans="2:15" ht="15.75" customHeight="1" x14ac:dyDescent="0.45">
      <c r="B752" s="190"/>
      <c r="J752" s="157"/>
      <c r="K752" s="157"/>
      <c r="L752" s="157"/>
      <c r="M752" s="157"/>
      <c r="N752" s="157"/>
      <c r="O752" s="157"/>
    </row>
    <row r="753" spans="2:15" ht="15.75" customHeight="1" x14ac:dyDescent="0.45">
      <c r="B753" s="190"/>
      <c r="J753" s="157"/>
      <c r="K753" s="157"/>
      <c r="L753" s="157"/>
      <c r="M753" s="157"/>
      <c r="N753" s="157"/>
      <c r="O753" s="157"/>
    </row>
    <row r="754" spans="2:15" ht="15.75" customHeight="1" x14ac:dyDescent="0.45">
      <c r="B754" s="190"/>
      <c r="J754" s="157"/>
      <c r="K754" s="157"/>
      <c r="L754" s="157"/>
      <c r="M754" s="157"/>
      <c r="N754" s="157"/>
      <c r="O754" s="157"/>
    </row>
    <row r="755" spans="2:15" ht="15.75" customHeight="1" x14ac:dyDescent="0.45">
      <c r="B755" s="190"/>
      <c r="J755" s="157"/>
      <c r="K755" s="157"/>
      <c r="L755" s="157"/>
      <c r="M755" s="157"/>
      <c r="N755" s="157"/>
      <c r="O755" s="157"/>
    </row>
    <row r="756" spans="2:15" ht="15.75" customHeight="1" x14ac:dyDescent="0.45">
      <c r="B756" s="190"/>
      <c r="J756" s="157"/>
      <c r="K756" s="157"/>
      <c r="L756" s="157"/>
      <c r="M756" s="157"/>
      <c r="N756" s="157"/>
      <c r="O756" s="157"/>
    </row>
    <row r="757" spans="2:15" ht="15.75" customHeight="1" x14ac:dyDescent="0.45">
      <c r="B757" s="190"/>
      <c r="J757" s="157"/>
      <c r="K757" s="157"/>
      <c r="L757" s="157"/>
      <c r="M757" s="157"/>
      <c r="N757" s="157"/>
      <c r="O757" s="157"/>
    </row>
    <row r="758" spans="2:15" ht="15.75" customHeight="1" x14ac:dyDescent="0.45">
      <c r="B758" s="190"/>
      <c r="J758" s="157"/>
      <c r="K758" s="157"/>
      <c r="L758" s="157"/>
      <c r="M758" s="157"/>
      <c r="N758" s="157"/>
      <c r="O758" s="157"/>
    </row>
    <row r="759" spans="2:15" ht="15.75" customHeight="1" x14ac:dyDescent="0.45">
      <c r="B759" s="190"/>
      <c r="J759" s="157"/>
      <c r="K759" s="157"/>
      <c r="L759" s="157"/>
      <c r="M759" s="157"/>
      <c r="N759" s="157"/>
      <c r="O759" s="157"/>
    </row>
    <row r="760" spans="2:15" ht="15.75" customHeight="1" x14ac:dyDescent="0.45">
      <c r="B760" s="190"/>
      <c r="J760" s="157"/>
      <c r="K760" s="157"/>
      <c r="L760" s="157"/>
      <c r="M760" s="157"/>
      <c r="N760" s="157"/>
      <c r="O760" s="157"/>
    </row>
    <row r="761" spans="2:15" ht="15.75" customHeight="1" x14ac:dyDescent="0.45">
      <c r="B761" s="190"/>
      <c r="J761" s="157"/>
      <c r="K761" s="157"/>
      <c r="L761" s="157"/>
      <c r="M761" s="157"/>
      <c r="N761" s="157"/>
      <c r="O761" s="157"/>
    </row>
    <row r="762" spans="2:15" ht="15.75" customHeight="1" x14ac:dyDescent="0.45">
      <c r="B762" s="190"/>
      <c r="J762" s="157"/>
      <c r="K762" s="157"/>
      <c r="L762" s="157"/>
      <c r="M762" s="157"/>
      <c r="N762" s="157"/>
      <c r="O762" s="157"/>
    </row>
    <row r="763" spans="2:15" ht="15.75" customHeight="1" x14ac:dyDescent="0.45">
      <c r="B763" s="190"/>
      <c r="J763" s="157"/>
      <c r="K763" s="157"/>
      <c r="L763" s="157"/>
      <c r="M763" s="157"/>
      <c r="N763" s="157"/>
      <c r="O763" s="157"/>
    </row>
    <row r="764" spans="2:15" ht="15.75" customHeight="1" x14ac:dyDescent="0.45">
      <c r="B764" s="190"/>
      <c r="J764" s="157"/>
      <c r="K764" s="157"/>
      <c r="L764" s="157"/>
      <c r="M764" s="157"/>
      <c r="N764" s="157"/>
      <c r="O764" s="157"/>
    </row>
    <row r="765" spans="2:15" ht="15.75" customHeight="1" x14ac:dyDescent="0.45">
      <c r="B765" s="190"/>
      <c r="J765" s="157"/>
      <c r="K765" s="157"/>
      <c r="L765" s="157"/>
      <c r="M765" s="157"/>
      <c r="N765" s="157"/>
      <c r="O765" s="157"/>
    </row>
    <row r="766" spans="2:15" ht="15.75" customHeight="1" x14ac:dyDescent="0.45">
      <c r="B766" s="190"/>
      <c r="J766" s="157"/>
      <c r="K766" s="157"/>
      <c r="L766" s="157"/>
      <c r="M766" s="157"/>
      <c r="N766" s="157"/>
      <c r="O766" s="157"/>
    </row>
    <row r="767" spans="2:15" ht="15.75" customHeight="1" x14ac:dyDescent="0.45">
      <c r="B767" s="190"/>
      <c r="J767" s="157"/>
      <c r="K767" s="157"/>
      <c r="L767" s="157"/>
      <c r="M767" s="157"/>
      <c r="N767" s="157"/>
      <c r="O767" s="157"/>
    </row>
    <row r="768" spans="2:15" ht="15.75" customHeight="1" x14ac:dyDescent="0.45">
      <c r="B768" s="190"/>
      <c r="J768" s="157"/>
      <c r="K768" s="157"/>
      <c r="L768" s="157"/>
      <c r="M768" s="157"/>
      <c r="N768" s="157"/>
      <c r="O768" s="157"/>
    </row>
    <row r="769" spans="2:15" ht="15.75" customHeight="1" x14ac:dyDescent="0.45">
      <c r="B769" s="190"/>
      <c r="J769" s="157"/>
      <c r="K769" s="157"/>
      <c r="L769" s="157"/>
      <c r="M769" s="157"/>
      <c r="N769" s="157"/>
      <c r="O769" s="157"/>
    </row>
    <row r="770" spans="2:15" ht="15.75" customHeight="1" x14ac:dyDescent="0.45">
      <c r="B770" s="190"/>
      <c r="J770" s="157"/>
      <c r="K770" s="157"/>
      <c r="L770" s="157"/>
      <c r="M770" s="157"/>
      <c r="N770" s="157"/>
      <c r="O770" s="157"/>
    </row>
    <row r="771" spans="2:15" ht="15.75" customHeight="1" x14ac:dyDescent="0.45">
      <c r="B771" s="190"/>
      <c r="J771" s="157"/>
      <c r="K771" s="157"/>
      <c r="L771" s="157"/>
      <c r="M771" s="157"/>
      <c r="N771" s="157"/>
      <c r="O771" s="157"/>
    </row>
    <row r="772" spans="2:15" ht="15.75" customHeight="1" x14ac:dyDescent="0.45">
      <c r="B772" s="190"/>
      <c r="J772" s="157"/>
      <c r="K772" s="157"/>
      <c r="L772" s="157"/>
      <c r="M772" s="157"/>
      <c r="N772" s="157"/>
      <c r="O772" s="157"/>
    </row>
    <row r="773" spans="2:15" ht="15.75" customHeight="1" x14ac:dyDescent="0.45">
      <c r="B773" s="190"/>
      <c r="J773" s="157"/>
      <c r="K773" s="157"/>
      <c r="L773" s="157"/>
      <c r="M773" s="157"/>
      <c r="N773" s="157"/>
      <c r="O773" s="157"/>
    </row>
    <row r="774" spans="2:15" ht="15.75" customHeight="1" x14ac:dyDescent="0.45">
      <c r="B774" s="190"/>
      <c r="J774" s="157"/>
      <c r="K774" s="157"/>
      <c r="L774" s="157"/>
      <c r="M774" s="157"/>
      <c r="N774" s="157"/>
      <c r="O774" s="157"/>
    </row>
    <row r="775" spans="2:15" ht="15.75" customHeight="1" x14ac:dyDescent="0.45">
      <c r="B775" s="190"/>
      <c r="J775" s="157"/>
      <c r="K775" s="157"/>
      <c r="L775" s="157"/>
      <c r="M775" s="157"/>
      <c r="N775" s="157"/>
      <c r="O775" s="157"/>
    </row>
    <row r="776" spans="2:15" ht="15.75" customHeight="1" x14ac:dyDescent="0.45">
      <c r="B776" s="190"/>
      <c r="J776" s="157"/>
      <c r="K776" s="157"/>
      <c r="L776" s="157"/>
      <c r="M776" s="157"/>
      <c r="N776" s="157"/>
      <c r="O776" s="157"/>
    </row>
    <row r="777" spans="2:15" ht="15.75" customHeight="1" x14ac:dyDescent="0.45">
      <c r="B777" s="190"/>
      <c r="J777" s="157"/>
      <c r="K777" s="157"/>
      <c r="L777" s="157"/>
      <c r="M777" s="157"/>
      <c r="N777" s="157"/>
      <c r="O777" s="157"/>
    </row>
    <row r="778" spans="2:15" ht="15.75" customHeight="1" x14ac:dyDescent="0.45">
      <c r="B778" s="190"/>
      <c r="J778" s="157"/>
      <c r="K778" s="157"/>
      <c r="L778" s="157"/>
      <c r="M778" s="157"/>
      <c r="N778" s="157"/>
      <c r="O778" s="157"/>
    </row>
    <row r="779" spans="2:15" ht="15.75" customHeight="1" x14ac:dyDescent="0.45">
      <c r="B779" s="190"/>
      <c r="J779" s="157"/>
      <c r="K779" s="157"/>
      <c r="L779" s="157"/>
      <c r="M779" s="157"/>
      <c r="N779" s="157"/>
      <c r="O779" s="157"/>
    </row>
    <row r="780" spans="2:15" ht="15.75" customHeight="1" x14ac:dyDescent="0.45">
      <c r="B780" s="190"/>
      <c r="J780" s="157"/>
      <c r="K780" s="157"/>
      <c r="L780" s="157"/>
      <c r="M780" s="157"/>
      <c r="N780" s="157"/>
      <c r="O780" s="157"/>
    </row>
    <row r="781" spans="2:15" ht="15.75" customHeight="1" x14ac:dyDescent="0.45">
      <c r="B781" s="190"/>
      <c r="J781" s="157"/>
      <c r="K781" s="157"/>
      <c r="L781" s="157"/>
      <c r="M781" s="157"/>
      <c r="N781" s="157"/>
      <c r="O781" s="157"/>
    </row>
    <row r="782" spans="2:15" ht="15.75" customHeight="1" x14ac:dyDescent="0.45">
      <c r="B782" s="190"/>
      <c r="J782" s="157"/>
      <c r="K782" s="157"/>
      <c r="L782" s="157"/>
      <c r="M782" s="157"/>
      <c r="N782" s="157"/>
      <c r="O782" s="157"/>
    </row>
    <row r="783" spans="2:15" ht="15.75" customHeight="1" x14ac:dyDescent="0.45">
      <c r="B783" s="190"/>
      <c r="J783" s="157"/>
      <c r="K783" s="157"/>
      <c r="L783" s="157"/>
      <c r="M783" s="157"/>
      <c r="N783" s="157"/>
      <c r="O783" s="157"/>
    </row>
    <row r="784" spans="2:15" ht="15.75" customHeight="1" x14ac:dyDescent="0.45">
      <c r="B784" s="190"/>
      <c r="J784" s="157"/>
      <c r="K784" s="157"/>
      <c r="L784" s="157"/>
      <c r="M784" s="157"/>
      <c r="N784" s="157"/>
      <c r="O784" s="157"/>
    </row>
    <row r="785" spans="2:15" ht="15.75" customHeight="1" x14ac:dyDescent="0.45">
      <c r="B785" s="190"/>
      <c r="J785" s="157"/>
      <c r="K785" s="157"/>
      <c r="L785" s="157"/>
      <c r="M785" s="157"/>
      <c r="N785" s="157"/>
      <c r="O785" s="157"/>
    </row>
    <row r="786" spans="2:15" ht="15.75" customHeight="1" x14ac:dyDescent="0.45">
      <c r="B786" s="190"/>
      <c r="J786" s="157"/>
      <c r="K786" s="157"/>
      <c r="L786" s="157"/>
      <c r="M786" s="157"/>
      <c r="N786" s="157"/>
      <c r="O786" s="157"/>
    </row>
    <row r="787" spans="2:15" ht="15.75" customHeight="1" x14ac:dyDescent="0.45">
      <c r="B787" s="190"/>
      <c r="J787" s="157"/>
      <c r="K787" s="157"/>
      <c r="L787" s="157"/>
      <c r="M787" s="157"/>
      <c r="N787" s="157"/>
      <c r="O787" s="157"/>
    </row>
    <row r="788" spans="2:15" ht="15.75" customHeight="1" x14ac:dyDescent="0.45">
      <c r="B788" s="190"/>
      <c r="J788" s="157"/>
      <c r="K788" s="157"/>
      <c r="L788" s="157"/>
      <c r="M788" s="157"/>
      <c r="N788" s="157"/>
      <c r="O788" s="157"/>
    </row>
    <row r="789" spans="2:15" ht="15.75" customHeight="1" x14ac:dyDescent="0.45">
      <c r="B789" s="190"/>
      <c r="J789" s="157"/>
      <c r="K789" s="157"/>
      <c r="L789" s="157"/>
      <c r="M789" s="157"/>
      <c r="N789" s="157"/>
      <c r="O789" s="157"/>
    </row>
    <row r="790" spans="2:15" ht="15.75" customHeight="1" x14ac:dyDescent="0.45">
      <c r="B790" s="190"/>
      <c r="J790" s="157"/>
      <c r="K790" s="157"/>
      <c r="L790" s="157"/>
      <c r="M790" s="157"/>
      <c r="N790" s="157"/>
      <c r="O790" s="157"/>
    </row>
    <row r="791" spans="2:15" ht="15.75" customHeight="1" x14ac:dyDescent="0.45">
      <c r="B791" s="190"/>
      <c r="J791" s="157"/>
      <c r="K791" s="157"/>
      <c r="L791" s="157"/>
      <c r="M791" s="157"/>
      <c r="N791" s="157"/>
      <c r="O791" s="157"/>
    </row>
    <row r="792" spans="2:15" ht="15.75" customHeight="1" x14ac:dyDescent="0.45">
      <c r="B792" s="190"/>
      <c r="J792" s="157"/>
      <c r="K792" s="157"/>
      <c r="L792" s="157"/>
      <c r="M792" s="157"/>
      <c r="N792" s="157"/>
      <c r="O792" s="157"/>
    </row>
    <row r="793" spans="2:15" ht="15.75" customHeight="1" x14ac:dyDescent="0.45">
      <c r="B793" s="190"/>
      <c r="J793" s="157"/>
      <c r="K793" s="157"/>
      <c r="L793" s="157"/>
      <c r="M793" s="157"/>
      <c r="N793" s="157"/>
      <c r="O793" s="157"/>
    </row>
    <row r="794" spans="2:15" ht="15.75" customHeight="1" x14ac:dyDescent="0.45">
      <c r="B794" s="190"/>
      <c r="J794" s="157"/>
      <c r="K794" s="157"/>
      <c r="L794" s="157"/>
      <c r="M794" s="157"/>
      <c r="N794" s="157"/>
      <c r="O794" s="157"/>
    </row>
    <row r="795" spans="2:15" ht="15.75" customHeight="1" x14ac:dyDescent="0.45">
      <c r="B795" s="190"/>
      <c r="J795" s="157"/>
      <c r="K795" s="157"/>
      <c r="L795" s="157"/>
      <c r="M795" s="157"/>
      <c r="N795" s="157"/>
      <c r="O795" s="157"/>
    </row>
    <row r="796" spans="2:15" ht="15.75" customHeight="1" x14ac:dyDescent="0.45">
      <c r="B796" s="190"/>
      <c r="J796" s="157"/>
      <c r="K796" s="157"/>
      <c r="L796" s="157"/>
      <c r="M796" s="157"/>
      <c r="N796" s="157"/>
      <c r="O796" s="157"/>
    </row>
    <row r="797" spans="2:15" ht="15.75" customHeight="1" x14ac:dyDescent="0.45">
      <c r="B797" s="190"/>
      <c r="J797" s="157"/>
      <c r="K797" s="157"/>
      <c r="L797" s="157"/>
      <c r="M797" s="157"/>
      <c r="N797" s="157"/>
      <c r="O797" s="157"/>
    </row>
    <row r="798" spans="2:15" ht="15.75" customHeight="1" x14ac:dyDescent="0.45">
      <c r="B798" s="190"/>
      <c r="J798" s="157"/>
      <c r="K798" s="157"/>
      <c r="L798" s="157"/>
      <c r="M798" s="157"/>
      <c r="N798" s="157"/>
      <c r="O798" s="157"/>
    </row>
    <row r="799" spans="2:15" ht="15.75" customHeight="1" x14ac:dyDescent="0.45">
      <c r="B799" s="190"/>
      <c r="J799" s="157"/>
      <c r="K799" s="157"/>
      <c r="L799" s="157"/>
      <c r="M799" s="157"/>
      <c r="N799" s="157"/>
      <c r="O799" s="157"/>
    </row>
    <row r="800" spans="2:15" ht="15.75" customHeight="1" x14ac:dyDescent="0.45">
      <c r="B800" s="190"/>
      <c r="J800" s="157"/>
      <c r="K800" s="157"/>
      <c r="L800" s="157"/>
      <c r="M800" s="157"/>
      <c r="N800" s="157"/>
      <c r="O800" s="157"/>
    </row>
    <row r="801" spans="2:15" ht="15.75" customHeight="1" x14ac:dyDescent="0.45">
      <c r="B801" s="190"/>
      <c r="J801" s="157"/>
      <c r="K801" s="157"/>
      <c r="L801" s="157"/>
      <c r="M801" s="157"/>
      <c r="N801" s="157"/>
      <c r="O801" s="157"/>
    </row>
    <row r="802" spans="2:15" ht="15.75" customHeight="1" x14ac:dyDescent="0.45">
      <c r="B802" s="190"/>
      <c r="J802" s="157"/>
      <c r="K802" s="157"/>
      <c r="L802" s="157"/>
      <c r="M802" s="157"/>
      <c r="N802" s="157"/>
      <c r="O802" s="157"/>
    </row>
    <row r="803" spans="2:15" ht="15.75" customHeight="1" x14ac:dyDescent="0.45">
      <c r="B803" s="190"/>
      <c r="J803" s="157"/>
      <c r="K803" s="157"/>
      <c r="L803" s="157"/>
      <c r="M803" s="157"/>
      <c r="N803" s="157"/>
      <c r="O803" s="157"/>
    </row>
    <row r="804" spans="2:15" ht="15.75" customHeight="1" x14ac:dyDescent="0.45">
      <c r="B804" s="190"/>
      <c r="J804" s="157"/>
      <c r="K804" s="157"/>
      <c r="L804" s="157"/>
      <c r="M804" s="157"/>
      <c r="N804" s="157"/>
      <c r="O804" s="157"/>
    </row>
    <row r="805" spans="2:15" ht="15.75" customHeight="1" x14ac:dyDescent="0.45">
      <c r="B805" s="190"/>
      <c r="J805" s="157"/>
      <c r="K805" s="157"/>
      <c r="L805" s="157"/>
      <c r="M805" s="157"/>
      <c r="N805" s="157"/>
      <c r="O805" s="157"/>
    </row>
    <row r="806" spans="2:15" ht="15.75" customHeight="1" x14ac:dyDescent="0.45">
      <c r="B806" s="190"/>
      <c r="J806" s="157"/>
      <c r="K806" s="157"/>
      <c r="L806" s="157"/>
      <c r="M806" s="157"/>
      <c r="N806" s="157"/>
      <c r="O806" s="157"/>
    </row>
    <row r="807" spans="2:15" ht="15.75" customHeight="1" x14ac:dyDescent="0.45">
      <c r="B807" s="190"/>
      <c r="J807" s="157"/>
      <c r="K807" s="157"/>
      <c r="L807" s="157"/>
      <c r="M807" s="157"/>
      <c r="N807" s="157"/>
      <c r="O807" s="157"/>
    </row>
    <row r="808" spans="2:15" ht="15.75" customHeight="1" x14ac:dyDescent="0.45">
      <c r="B808" s="190"/>
      <c r="J808" s="157"/>
      <c r="K808" s="157"/>
      <c r="L808" s="157"/>
      <c r="M808" s="157"/>
      <c r="N808" s="157"/>
      <c r="O808" s="157"/>
    </row>
    <row r="809" spans="2:15" ht="15.75" customHeight="1" x14ac:dyDescent="0.45">
      <c r="B809" s="190"/>
      <c r="J809" s="157"/>
      <c r="K809" s="157"/>
      <c r="L809" s="157"/>
      <c r="M809" s="157"/>
      <c r="N809" s="157"/>
      <c r="O809" s="157"/>
    </row>
    <row r="810" spans="2:15" ht="15.75" customHeight="1" x14ac:dyDescent="0.45">
      <c r="B810" s="190"/>
      <c r="J810" s="157"/>
      <c r="K810" s="157"/>
      <c r="L810" s="157"/>
      <c r="M810" s="157"/>
      <c r="N810" s="157"/>
      <c r="O810" s="157"/>
    </row>
    <row r="811" spans="2:15" ht="15.75" customHeight="1" x14ac:dyDescent="0.45">
      <c r="B811" s="190"/>
      <c r="J811" s="157"/>
      <c r="K811" s="157"/>
      <c r="L811" s="157"/>
      <c r="M811" s="157"/>
      <c r="N811" s="157"/>
      <c r="O811" s="157"/>
    </row>
    <row r="812" spans="2:15" ht="15.75" customHeight="1" x14ac:dyDescent="0.45">
      <c r="B812" s="190"/>
      <c r="J812" s="157"/>
      <c r="K812" s="157"/>
      <c r="L812" s="157"/>
      <c r="M812" s="157"/>
      <c r="N812" s="157"/>
      <c r="O812" s="157"/>
    </row>
    <row r="813" spans="2:15" ht="15.75" customHeight="1" x14ac:dyDescent="0.45">
      <c r="B813" s="190"/>
      <c r="J813" s="157"/>
      <c r="K813" s="157"/>
      <c r="L813" s="157"/>
      <c r="M813" s="157"/>
      <c r="N813" s="157"/>
      <c r="O813" s="157"/>
    </row>
    <row r="814" spans="2:15" ht="15.75" customHeight="1" x14ac:dyDescent="0.45">
      <c r="B814" s="190"/>
      <c r="J814" s="157"/>
      <c r="K814" s="157"/>
      <c r="L814" s="157"/>
      <c r="M814" s="157"/>
      <c r="N814" s="157"/>
      <c r="O814" s="157"/>
    </row>
    <row r="815" spans="2:15" ht="15.75" customHeight="1" x14ac:dyDescent="0.45">
      <c r="B815" s="190"/>
      <c r="J815" s="157"/>
      <c r="K815" s="157"/>
      <c r="L815" s="157"/>
      <c r="M815" s="157"/>
      <c r="N815" s="157"/>
      <c r="O815" s="157"/>
    </row>
    <row r="816" spans="2:15" ht="15.75" customHeight="1" x14ac:dyDescent="0.45">
      <c r="B816" s="190"/>
      <c r="J816" s="157"/>
      <c r="K816" s="157"/>
      <c r="L816" s="157"/>
      <c r="M816" s="157"/>
      <c r="N816" s="157"/>
      <c r="O816" s="157"/>
    </row>
    <row r="817" spans="2:15" ht="15.75" customHeight="1" x14ac:dyDescent="0.45">
      <c r="B817" s="190"/>
      <c r="J817" s="157"/>
      <c r="K817" s="157"/>
      <c r="L817" s="157"/>
      <c r="M817" s="157"/>
      <c r="N817" s="157"/>
      <c r="O817" s="157"/>
    </row>
    <row r="818" spans="2:15" ht="15.75" customHeight="1" x14ac:dyDescent="0.45">
      <c r="B818" s="190"/>
      <c r="J818" s="157"/>
      <c r="K818" s="157"/>
      <c r="L818" s="157"/>
      <c r="M818" s="157"/>
      <c r="N818" s="157"/>
      <c r="O818" s="157"/>
    </row>
    <row r="819" spans="2:15" ht="15.75" customHeight="1" x14ac:dyDescent="0.45">
      <c r="B819" s="190"/>
      <c r="J819" s="157"/>
      <c r="K819" s="157"/>
      <c r="L819" s="157"/>
      <c r="M819" s="157"/>
      <c r="N819" s="157"/>
      <c r="O819" s="157"/>
    </row>
    <row r="820" spans="2:15" ht="15.75" customHeight="1" x14ac:dyDescent="0.45">
      <c r="B820" s="190"/>
      <c r="J820" s="157"/>
      <c r="K820" s="157"/>
      <c r="L820" s="157"/>
      <c r="M820" s="157"/>
      <c r="N820" s="157"/>
      <c r="O820" s="157"/>
    </row>
    <row r="821" spans="2:15" ht="15.75" customHeight="1" x14ac:dyDescent="0.45">
      <c r="B821" s="190"/>
      <c r="J821" s="157"/>
      <c r="K821" s="157"/>
      <c r="L821" s="157"/>
      <c r="M821" s="157"/>
      <c r="N821" s="157"/>
      <c r="O821" s="157"/>
    </row>
    <row r="822" spans="2:15" ht="15.75" customHeight="1" x14ac:dyDescent="0.45">
      <c r="B822" s="190"/>
      <c r="J822" s="157"/>
      <c r="K822" s="157"/>
      <c r="L822" s="157"/>
      <c r="M822" s="157"/>
      <c r="N822" s="157"/>
      <c r="O822" s="157"/>
    </row>
    <row r="823" spans="2:15" ht="15.75" customHeight="1" x14ac:dyDescent="0.45">
      <c r="B823" s="190"/>
      <c r="J823" s="157"/>
      <c r="K823" s="157"/>
      <c r="L823" s="157"/>
      <c r="M823" s="157"/>
      <c r="N823" s="157"/>
      <c r="O823" s="157"/>
    </row>
    <row r="824" spans="2:15" ht="15.75" customHeight="1" x14ac:dyDescent="0.45">
      <c r="B824" s="190"/>
      <c r="J824" s="157"/>
      <c r="K824" s="157"/>
      <c r="L824" s="157"/>
      <c r="M824" s="157"/>
      <c r="N824" s="157"/>
      <c r="O824" s="157"/>
    </row>
    <row r="825" spans="2:15" ht="15.75" customHeight="1" x14ac:dyDescent="0.45">
      <c r="B825" s="190"/>
      <c r="J825" s="157"/>
      <c r="K825" s="157"/>
      <c r="L825" s="157"/>
      <c r="M825" s="157"/>
      <c r="N825" s="157"/>
      <c r="O825" s="157"/>
    </row>
    <row r="826" spans="2:15" ht="15.75" customHeight="1" x14ac:dyDescent="0.45">
      <c r="B826" s="190"/>
      <c r="J826" s="157"/>
      <c r="K826" s="157"/>
      <c r="L826" s="157"/>
      <c r="M826" s="157"/>
      <c r="N826" s="157"/>
      <c r="O826" s="157"/>
    </row>
    <row r="827" spans="2:15" ht="15.75" customHeight="1" x14ac:dyDescent="0.45">
      <c r="B827" s="190"/>
      <c r="J827" s="157"/>
      <c r="K827" s="157"/>
      <c r="L827" s="157"/>
      <c r="M827" s="157"/>
      <c r="N827" s="157"/>
      <c r="O827" s="157"/>
    </row>
    <row r="828" spans="2:15" ht="15.75" customHeight="1" x14ac:dyDescent="0.45">
      <c r="B828" s="190"/>
      <c r="J828" s="157"/>
      <c r="K828" s="157"/>
      <c r="L828" s="157"/>
      <c r="M828" s="157"/>
      <c r="N828" s="157"/>
      <c r="O828" s="157"/>
    </row>
    <row r="829" spans="2:15" ht="15.75" customHeight="1" x14ac:dyDescent="0.45">
      <c r="B829" s="190"/>
      <c r="J829" s="157"/>
      <c r="K829" s="157"/>
      <c r="L829" s="157"/>
      <c r="M829" s="157"/>
      <c r="N829" s="157"/>
      <c r="O829" s="157"/>
    </row>
    <row r="830" spans="2:15" ht="15.75" customHeight="1" x14ac:dyDescent="0.45">
      <c r="B830" s="190"/>
      <c r="J830" s="157"/>
      <c r="K830" s="157"/>
      <c r="L830" s="157"/>
      <c r="M830" s="157"/>
      <c r="N830" s="157"/>
      <c r="O830" s="157"/>
    </row>
    <row r="831" spans="2:15" ht="15.75" customHeight="1" x14ac:dyDescent="0.45">
      <c r="B831" s="190"/>
      <c r="J831" s="157"/>
      <c r="K831" s="157"/>
      <c r="L831" s="157"/>
      <c r="M831" s="157"/>
      <c r="N831" s="157"/>
      <c r="O831" s="157"/>
    </row>
    <row r="832" spans="2:15" ht="15.75" customHeight="1" x14ac:dyDescent="0.45">
      <c r="B832" s="190"/>
      <c r="J832" s="157"/>
      <c r="K832" s="157"/>
      <c r="L832" s="157"/>
      <c r="M832" s="157"/>
      <c r="N832" s="157"/>
      <c r="O832" s="157"/>
    </row>
    <row r="833" spans="2:15" ht="15.75" customHeight="1" x14ac:dyDescent="0.45">
      <c r="B833" s="190"/>
      <c r="J833" s="157"/>
      <c r="K833" s="157"/>
      <c r="L833" s="157"/>
      <c r="M833" s="157"/>
      <c r="N833" s="157"/>
      <c r="O833" s="157"/>
    </row>
    <row r="834" spans="2:15" ht="15.75" customHeight="1" x14ac:dyDescent="0.45">
      <c r="B834" s="190"/>
      <c r="J834" s="157"/>
      <c r="K834" s="157"/>
      <c r="L834" s="157"/>
      <c r="M834" s="157"/>
      <c r="N834" s="157"/>
      <c r="O834" s="157"/>
    </row>
    <row r="835" spans="2:15" ht="15.75" customHeight="1" x14ac:dyDescent="0.45">
      <c r="B835" s="190"/>
      <c r="J835" s="157"/>
      <c r="K835" s="157"/>
      <c r="L835" s="157"/>
      <c r="M835" s="157"/>
      <c r="N835" s="157"/>
      <c r="O835" s="157"/>
    </row>
    <row r="836" spans="2:15" ht="15.75" customHeight="1" x14ac:dyDescent="0.45">
      <c r="B836" s="190"/>
      <c r="J836" s="157"/>
      <c r="K836" s="157"/>
      <c r="L836" s="157"/>
      <c r="M836" s="157"/>
      <c r="N836" s="157"/>
      <c r="O836" s="157"/>
    </row>
    <row r="837" spans="2:15" ht="15.75" customHeight="1" x14ac:dyDescent="0.45">
      <c r="B837" s="190"/>
      <c r="J837" s="157"/>
      <c r="K837" s="157"/>
      <c r="L837" s="157"/>
      <c r="M837" s="157"/>
      <c r="N837" s="157"/>
      <c r="O837" s="157"/>
    </row>
    <row r="838" spans="2:15" ht="15.75" customHeight="1" x14ac:dyDescent="0.45">
      <c r="B838" s="190"/>
      <c r="J838" s="157"/>
      <c r="K838" s="157"/>
      <c r="L838" s="157"/>
      <c r="M838" s="157"/>
      <c r="N838" s="157"/>
      <c r="O838" s="157"/>
    </row>
    <row r="839" spans="2:15" ht="15.75" customHeight="1" x14ac:dyDescent="0.45">
      <c r="B839" s="190"/>
      <c r="J839" s="157"/>
      <c r="K839" s="157"/>
      <c r="L839" s="157"/>
      <c r="M839" s="157"/>
      <c r="N839" s="157"/>
      <c r="O839" s="157"/>
    </row>
    <row r="840" spans="2:15" ht="15.75" customHeight="1" x14ac:dyDescent="0.45">
      <c r="B840" s="190"/>
      <c r="J840" s="157"/>
      <c r="K840" s="157"/>
      <c r="L840" s="157"/>
      <c r="M840" s="157"/>
      <c r="N840" s="157"/>
      <c r="O840" s="157"/>
    </row>
    <row r="841" spans="2:15" ht="15.75" customHeight="1" x14ac:dyDescent="0.45">
      <c r="B841" s="190"/>
      <c r="J841" s="157"/>
      <c r="K841" s="157"/>
      <c r="L841" s="157"/>
      <c r="M841" s="157"/>
      <c r="N841" s="157"/>
      <c r="O841" s="157"/>
    </row>
    <row r="842" spans="2:15" ht="15.75" customHeight="1" x14ac:dyDescent="0.45">
      <c r="B842" s="190"/>
      <c r="J842" s="157"/>
      <c r="K842" s="157"/>
      <c r="L842" s="157"/>
      <c r="M842" s="157"/>
      <c r="N842" s="157"/>
      <c r="O842" s="157"/>
    </row>
    <row r="843" spans="2:15" ht="15.75" customHeight="1" x14ac:dyDescent="0.45">
      <c r="B843" s="190"/>
      <c r="J843" s="157"/>
      <c r="K843" s="157"/>
      <c r="L843" s="157"/>
      <c r="M843" s="157"/>
      <c r="N843" s="157"/>
      <c r="O843" s="157"/>
    </row>
    <row r="844" spans="2:15" ht="15.75" customHeight="1" x14ac:dyDescent="0.45">
      <c r="B844" s="190"/>
      <c r="J844" s="157"/>
      <c r="K844" s="157"/>
      <c r="L844" s="157"/>
      <c r="M844" s="157"/>
      <c r="N844" s="157"/>
      <c r="O844" s="157"/>
    </row>
    <row r="845" spans="2:15" ht="15.75" customHeight="1" x14ac:dyDescent="0.45">
      <c r="B845" s="190"/>
      <c r="J845" s="157"/>
      <c r="K845" s="157"/>
      <c r="L845" s="157"/>
      <c r="M845" s="157"/>
      <c r="N845" s="157"/>
      <c r="O845" s="157"/>
    </row>
    <row r="846" spans="2:15" ht="15.75" customHeight="1" x14ac:dyDescent="0.45">
      <c r="B846" s="190"/>
      <c r="J846" s="157"/>
      <c r="K846" s="157"/>
      <c r="L846" s="157"/>
      <c r="M846" s="157"/>
      <c r="N846" s="157"/>
      <c r="O846" s="157"/>
    </row>
    <row r="847" spans="2:15" ht="15.75" customHeight="1" x14ac:dyDescent="0.45">
      <c r="B847" s="190"/>
      <c r="J847" s="157"/>
      <c r="K847" s="157"/>
      <c r="L847" s="157"/>
      <c r="M847" s="157"/>
      <c r="N847" s="157"/>
      <c r="O847" s="157"/>
    </row>
    <row r="848" spans="2:15" ht="15.75" customHeight="1" x14ac:dyDescent="0.45">
      <c r="B848" s="190"/>
      <c r="J848" s="157"/>
      <c r="K848" s="157"/>
      <c r="L848" s="157"/>
      <c r="M848" s="157"/>
      <c r="N848" s="157"/>
      <c r="O848" s="157"/>
    </row>
    <row r="849" spans="2:15" ht="15.75" customHeight="1" x14ac:dyDescent="0.45">
      <c r="B849" s="190"/>
      <c r="J849" s="157"/>
      <c r="K849" s="157"/>
      <c r="L849" s="157"/>
      <c r="M849" s="157"/>
      <c r="N849" s="157"/>
      <c r="O849" s="157"/>
    </row>
    <row r="850" spans="2:15" ht="15.75" customHeight="1" x14ac:dyDescent="0.45">
      <c r="B850" s="190"/>
      <c r="J850" s="157"/>
      <c r="K850" s="157"/>
      <c r="L850" s="157"/>
      <c r="M850" s="157"/>
      <c r="N850" s="157"/>
      <c r="O850" s="157"/>
    </row>
    <row r="851" spans="2:15" ht="15.75" customHeight="1" x14ac:dyDescent="0.45">
      <c r="B851" s="190"/>
      <c r="J851" s="157"/>
      <c r="K851" s="157"/>
      <c r="L851" s="157"/>
      <c r="M851" s="157"/>
      <c r="N851" s="157"/>
      <c r="O851" s="157"/>
    </row>
    <row r="852" spans="2:15" ht="15.75" customHeight="1" x14ac:dyDescent="0.45">
      <c r="B852" s="190"/>
      <c r="J852" s="157"/>
      <c r="K852" s="157"/>
      <c r="L852" s="157"/>
      <c r="M852" s="157"/>
      <c r="N852" s="157"/>
      <c r="O852" s="157"/>
    </row>
    <row r="853" spans="2:15" ht="15.75" customHeight="1" x14ac:dyDescent="0.45">
      <c r="B853" s="190"/>
      <c r="J853" s="157"/>
      <c r="K853" s="157"/>
      <c r="L853" s="157"/>
      <c r="M853" s="157"/>
      <c r="N853" s="157"/>
      <c r="O853" s="157"/>
    </row>
    <row r="854" spans="2:15" ht="15.75" customHeight="1" x14ac:dyDescent="0.45">
      <c r="B854" s="190"/>
      <c r="J854" s="157"/>
      <c r="K854" s="157"/>
      <c r="L854" s="157"/>
      <c r="M854" s="157"/>
      <c r="N854" s="157"/>
      <c r="O854" s="157"/>
    </row>
    <row r="855" spans="2:15" ht="15.75" customHeight="1" x14ac:dyDescent="0.45">
      <c r="B855" s="190"/>
      <c r="J855" s="157"/>
      <c r="K855" s="157"/>
      <c r="L855" s="157"/>
      <c r="M855" s="157"/>
      <c r="N855" s="157"/>
      <c r="O855" s="157"/>
    </row>
    <row r="856" spans="2:15" ht="15.75" customHeight="1" x14ac:dyDescent="0.45">
      <c r="B856" s="190"/>
      <c r="J856" s="157"/>
      <c r="K856" s="157"/>
      <c r="L856" s="157"/>
      <c r="M856" s="157"/>
      <c r="N856" s="157"/>
      <c r="O856" s="157"/>
    </row>
    <row r="857" spans="2:15" ht="15.75" customHeight="1" x14ac:dyDescent="0.45">
      <c r="B857" s="190"/>
      <c r="J857" s="157"/>
      <c r="K857" s="157"/>
      <c r="L857" s="157"/>
      <c r="M857" s="157"/>
      <c r="N857" s="157"/>
      <c r="O857" s="157"/>
    </row>
    <row r="858" spans="2:15" ht="15.75" customHeight="1" x14ac:dyDescent="0.45">
      <c r="B858" s="190"/>
      <c r="J858" s="157"/>
      <c r="K858" s="157"/>
      <c r="L858" s="157"/>
      <c r="M858" s="157"/>
      <c r="N858" s="157"/>
      <c r="O858" s="157"/>
    </row>
    <row r="859" spans="2:15" ht="15.75" customHeight="1" x14ac:dyDescent="0.45">
      <c r="B859" s="190"/>
      <c r="J859" s="157"/>
      <c r="K859" s="157"/>
      <c r="L859" s="157"/>
      <c r="M859" s="157"/>
      <c r="N859" s="157"/>
      <c r="O859" s="157"/>
    </row>
    <row r="860" spans="2:15" ht="15.75" customHeight="1" x14ac:dyDescent="0.45">
      <c r="B860" s="190"/>
      <c r="J860" s="157"/>
      <c r="K860" s="157"/>
      <c r="L860" s="157"/>
      <c r="M860" s="157"/>
      <c r="N860" s="157"/>
      <c r="O860" s="157"/>
    </row>
    <row r="861" spans="2:15" ht="15.75" customHeight="1" x14ac:dyDescent="0.45">
      <c r="B861" s="190"/>
      <c r="J861" s="157"/>
      <c r="K861" s="157"/>
      <c r="L861" s="157"/>
      <c r="M861" s="157"/>
      <c r="N861" s="157"/>
      <c r="O861" s="157"/>
    </row>
    <row r="862" spans="2:15" ht="15.75" customHeight="1" x14ac:dyDescent="0.45">
      <c r="B862" s="190"/>
      <c r="J862" s="157"/>
      <c r="K862" s="157"/>
      <c r="L862" s="157"/>
      <c r="M862" s="157"/>
      <c r="N862" s="157"/>
      <c r="O862" s="157"/>
    </row>
    <row r="863" spans="2:15" ht="15.75" customHeight="1" x14ac:dyDescent="0.45">
      <c r="B863" s="190"/>
      <c r="J863" s="157"/>
      <c r="K863" s="157"/>
      <c r="L863" s="157"/>
      <c r="M863" s="157"/>
      <c r="N863" s="157"/>
      <c r="O863" s="157"/>
    </row>
    <row r="864" spans="2:15" ht="15.75" customHeight="1" x14ac:dyDescent="0.45">
      <c r="B864" s="190"/>
      <c r="J864" s="157"/>
      <c r="K864" s="157"/>
      <c r="L864" s="157"/>
      <c r="M864" s="157"/>
      <c r="N864" s="157"/>
      <c r="O864" s="157"/>
    </row>
    <row r="865" spans="2:15" ht="15.75" customHeight="1" x14ac:dyDescent="0.45">
      <c r="B865" s="190"/>
      <c r="J865" s="157"/>
      <c r="K865" s="157"/>
      <c r="L865" s="157"/>
      <c r="M865" s="157"/>
      <c r="N865" s="157"/>
      <c r="O865" s="157"/>
    </row>
    <row r="866" spans="2:15" ht="15.75" customHeight="1" x14ac:dyDescent="0.45">
      <c r="B866" s="190"/>
      <c r="J866" s="157"/>
      <c r="K866" s="157"/>
      <c r="L866" s="157"/>
      <c r="M866" s="157"/>
      <c r="N866" s="157"/>
      <c r="O866" s="157"/>
    </row>
    <row r="867" spans="2:15" ht="15.75" customHeight="1" x14ac:dyDescent="0.45">
      <c r="B867" s="190"/>
      <c r="J867" s="157"/>
      <c r="K867" s="157"/>
      <c r="L867" s="157"/>
      <c r="M867" s="157"/>
      <c r="N867" s="157"/>
      <c r="O867" s="157"/>
    </row>
    <row r="868" spans="2:15" ht="15.75" customHeight="1" x14ac:dyDescent="0.45">
      <c r="B868" s="190"/>
      <c r="J868" s="157"/>
      <c r="K868" s="157"/>
      <c r="L868" s="157"/>
      <c r="M868" s="157"/>
      <c r="N868" s="157"/>
      <c r="O868" s="157"/>
    </row>
    <row r="869" spans="2:15" ht="15.75" customHeight="1" x14ac:dyDescent="0.45">
      <c r="B869" s="190"/>
      <c r="J869" s="157"/>
      <c r="K869" s="157"/>
      <c r="L869" s="157"/>
      <c r="M869" s="157"/>
      <c r="N869" s="157"/>
      <c r="O869" s="157"/>
    </row>
    <row r="870" spans="2:15" ht="15.75" customHeight="1" x14ac:dyDescent="0.45">
      <c r="B870" s="190"/>
      <c r="J870" s="157"/>
      <c r="K870" s="157"/>
      <c r="L870" s="157"/>
      <c r="M870" s="157"/>
      <c r="N870" s="157"/>
      <c r="O870" s="157"/>
    </row>
    <row r="871" spans="2:15" ht="15.75" customHeight="1" x14ac:dyDescent="0.45">
      <c r="B871" s="190"/>
      <c r="J871" s="157"/>
      <c r="K871" s="157"/>
      <c r="L871" s="157"/>
      <c r="M871" s="157"/>
      <c r="N871" s="157"/>
      <c r="O871" s="157"/>
    </row>
    <row r="872" spans="2:15" ht="15.75" customHeight="1" x14ac:dyDescent="0.45">
      <c r="B872" s="190"/>
      <c r="J872" s="157"/>
      <c r="K872" s="157"/>
      <c r="L872" s="157"/>
      <c r="M872" s="157"/>
      <c r="N872" s="157"/>
      <c r="O872" s="157"/>
    </row>
    <row r="873" spans="2:15" ht="15.75" customHeight="1" x14ac:dyDescent="0.45">
      <c r="B873" s="190"/>
      <c r="J873" s="157"/>
      <c r="K873" s="157"/>
      <c r="L873" s="157"/>
      <c r="M873" s="157"/>
      <c r="N873" s="157"/>
      <c r="O873" s="157"/>
    </row>
    <row r="874" spans="2:15" ht="15.75" customHeight="1" x14ac:dyDescent="0.45">
      <c r="B874" s="190"/>
      <c r="J874" s="157"/>
      <c r="K874" s="157"/>
      <c r="L874" s="157"/>
      <c r="M874" s="157"/>
      <c r="N874" s="157"/>
      <c r="O874" s="157"/>
    </row>
    <row r="875" spans="2:15" ht="15.75" customHeight="1" x14ac:dyDescent="0.45">
      <c r="B875" s="190"/>
      <c r="J875" s="157"/>
      <c r="K875" s="157"/>
      <c r="L875" s="157"/>
      <c r="M875" s="157"/>
      <c r="N875" s="157"/>
      <c r="O875" s="157"/>
    </row>
    <row r="876" spans="2:15" ht="15.75" customHeight="1" x14ac:dyDescent="0.45">
      <c r="B876" s="190"/>
      <c r="J876" s="157"/>
      <c r="K876" s="157"/>
      <c r="L876" s="157"/>
      <c r="M876" s="157"/>
      <c r="N876" s="157"/>
      <c r="O876" s="157"/>
    </row>
    <row r="877" spans="2:15" ht="15.75" customHeight="1" x14ac:dyDescent="0.45">
      <c r="B877" s="190"/>
      <c r="J877" s="157"/>
      <c r="K877" s="157"/>
      <c r="L877" s="157"/>
      <c r="M877" s="157"/>
      <c r="N877" s="157"/>
      <c r="O877" s="157"/>
    </row>
    <row r="878" spans="2:15" ht="15.75" customHeight="1" x14ac:dyDescent="0.45">
      <c r="B878" s="190"/>
      <c r="J878" s="157"/>
      <c r="K878" s="157"/>
      <c r="L878" s="157"/>
      <c r="M878" s="157"/>
      <c r="N878" s="157"/>
      <c r="O878" s="157"/>
    </row>
    <row r="879" spans="2:15" ht="15.75" customHeight="1" x14ac:dyDescent="0.45">
      <c r="B879" s="190"/>
      <c r="J879" s="157"/>
      <c r="K879" s="157"/>
      <c r="L879" s="157"/>
      <c r="M879" s="157"/>
      <c r="N879" s="157"/>
      <c r="O879" s="157"/>
    </row>
    <row r="880" spans="2:15" ht="15.75" customHeight="1" x14ac:dyDescent="0.45">
      <c r="B880" s="190"/>
      <c r="J880" s="157"/>
      <c r="K880" s="157"/>
      <c r="L880" s="157"/>
      <c r="M880" s="157"/>
      <c r="N880" s="157"/>
      <c r="O880" s="157"/>
    </row>
    <row r="881" spans="2:15" ht="15.75" customHeight="1" x14ac:dyDescent="0.45">
      <c r="B881" s="190"/>
      <c r="J881" s="157"/>
      <c r="K881" s="157"/>
      <c r="L881" s="157"/>
      <c r="M881" s="157"/>
      <c r="N881" s="157"/>
      <c r="O881" s="157"/>
    </row>
    <row r="882" spans="2:15" ht="15.75" customHeight="1" x14ac:dyDescent="0.45">
      <c r="B882" s="190"/>
      <c r="J882" s="157"/>
      <c r="K882" s="157"/>
      <c r="L882" s="157"/>
      <c r="M882" s="157"/>
      <c r="N882" s="157"/>
      <c r="O882" s="157"/>
    </row>
    <row r="883" spans="2:15" ht="15.75" customHeight="1" x14ac:dyDescent="0.45">
      <c r="B883" s="190"/>
      <c r="J883" s="157"/>
      <c r="K883" s="157"/>
      <c r="L883" s="157"/>
      <c r="M883" s="157"/>
      <c r="N883" s="157"/>
      <c r="O883" s="157"/>
    </row>
    <row r="884" spans="2:15" ht="15.75" customHeight="1" x14ac:dyDescent="0.45">
      <c r="B884" s="190"/>
      <c r="J884" s="157"/>
      <c r="K884" s="157"/>
      <c r="L884" s="157"/>
      <c r="M884" s="157"/>
      <c r="N884" s="157"/>
      <c r="O884" s="157"/>
    </row>
    <row r="885" spans="2:15" ht="15.75" customHeight="1" x14ac:dyDescent="0.45">
      <c r="B885" s="190"/>
      <c r="J885" s="157"/>
      <c r="K885" s="157"/>
      <c r="L885" s="157"/>
      <c r="M885" s="157"/>
      <c r="N885" s="157"/>
      <c r="O885" s="157"/>
    </row>
    <row r="886" spans="2:15" ht="15.75" customHeight="1" x14ac:dyDescent="0.45">
      <c r="B886" s="190"/>
      <c r="J886" s="157"/>
      <c r="K886" s="157"/>
      <c r="L886" s="157"/>
      <c r="M886" s="157"/>
      <c r="N886" s="157"/>
      <c r="O886" s="157"/>
    </row>
    <row r="887" spans="2:15" ht="15.75" customHeight="1" x14ac:dyDescent="0.45">
      <c r="B887" s="190"/>
      <c r="J887" s="157"/>
      <c r="K887" s="157"/>
      <c r="L887" s="157"/>
      <c r="M887" s="157"/>
      <c r="N887" s="157"/>
      <c r="O887" s="157"/>
    </row>
    <row r="888" spans="2:15" ht="15.75" customHeight="1" x14ac:dyDescent="0.45">
      <c r="B888" s="190"/>
      <c r="J888" s="157"/>
      <c r="K888" s="157"/>
      <c r="L888" s="157"/>
      <c r="M888" s="157"/>
      <c r="N888" s="157"/>
      <c r="O888" s="157"/>
    </row>
    <row r="889" spans="2:15" ht="15.75" customHeight="1" x14ac:dyDescent="0.45">
      <c r="B889" s="190"/>
      <c r="J889" s="157"/>
      <c r="K889" s="157"/>
      <c r="L889" s="157"/>
      <c r="M889" s="157"/>
      <c r="N889" s="157"/>
      <c r="O889" s="157"/>
    </row>
    <row r="890" spans="2:15" ht="15.75" customHeight="1" x14ac:dyDescent="0.45">
      <c r="B890" s="190"/>
      <c r="J890" s="157"/>
      <c r="K890" s="157"/>
      <c r="L890" s="157"/>
      <c r="M890" s="157"/>
      <c r="N890" s="157"/>
      <c r="O890" s="157"/>
    </row>
    <row r="891" spans="2:15" ht="15.75" customHeight="1" x14ac:dyDescent="0.45">
      <c r="B891" s="190"/>
      <c r="J891" s="157"/>
      <c r="K891" s="157"/>
      <c r="L891" s="157"/>
      <c r="M891" s="157"/>
      <c r="N891" s="157"/>
      <c r="O891" s="157"/>
    </row>
    <row r="892" spans="2:15" ht="15.75" customHeight="1" x14ac:dyDescent="0.45">
      <c r="B892" s="190"/>
      <c r="J892" s="157"/>
      <c r="K892" s="157"/>
      <c r="L892" s="157"/>
      <c r="M892" s="157"/>
      <c r="N892" s="157"/>
      <c r="O892" s="157"/>
    </row>
    <row r="893" spans="2:15" ht="15.75" customHeight="1" x14ac:dyDescent="0.45">
      <c r="B893" s="190"/>
      <c r="J893" s="157"/>
      <c r="K893" s="157"/>
      <c r="L893" s="157"/>
      <c r="M893" s="157"/>
      <c r="N893" s="157"/>
      <c r="O893" s="157"/>
    </row>
    <row r="894" spans="2:15" ht="15.75" customHeight="1" x14ac:dyDescent="0.45">
      <c r="B894" s="190"/>
      <c r="J894" s="157"/>
      <c r="K894" s="157"/>
      <c r="L894" s="157"/>
      <c r="M894" s="157"/>
      <c r="N894" s="157"/>
      <c r="O894" s="157"/>
    </row>
    <row r="895" spans="2:15" ht="15.75" customHeight="1" x14ac:dyDescent="0.45">
      <c r="B895" s="190"/>
      <c r="J895" s="157"/>
      <c r="K895" s="157"/>
      <c r="L895" s="157"/>
      <c r="M895" s="157"/>
      <c r="N895" s="157"/>
      <c r="O895" s="157"/>
    </row>
    <row r="896" spans="2:15" ht="15.75" customHeight="1" x14ac:dyDescent="0.45">
      <c r="B896" s="190"/>
      <c r="J896" s="157"/>
      <c r="K896" s="157"/>
      <c r="L896" s="157"/>
      <c r="M896" s="157"/>
      <c r="N896" s="157"/>
      <c r="O896" s="157"/>
    </row>
    <row r="897" spans="2:15" ht="15.75" customHeight="1" x14ac:dyDescent="0.45">
      <c r="B897" s="190"/>
      <c r="J897" s="157"/>
      <c r="K897" s="157"/>
      <c r="L897" s="157"/>
      <c r="M897" s="157"/>
      <c r="N897" s="157"/>
      <c r="O897" s="157"/>
    </row>
    <row r="898" spans="2:15" ht="15.75" customHeight="1" x14ac:dyDescent="0.45">
      <c r="B898" s="190"/>
      <c r="J898" s="157"/>
      <c r="K898" s="157"/>
      <c r="L898" s="157"/>
      <c r="M898" s="157"/>
      <c r="N898" s="157"/>
      <c r="O898" s="157"/>
    </row>
    <row r="899" spans="2:15" ht="15.75" customHeight="1" x14ac:dyDescent="0.45">
      <c r="B899" s="190"/>
      <c r="J899" s="157"/>
      <c r="K899" s="157"/>
      <c r="L899" s="157"/>
      <c r="M899" s="157"/>
      <c r="N899" s="157"/>
      <c r="O899" s="157"/>
    </row>
    <row r="900" spans="2:15" ht="15.75" customHeight="1" x14ac:dyDescent="0.45">
      <c r="B900" s="190"/>
      <c r="J900" s="157"/>
      <c r="K900" s="157"/>
      <c r="L900" s="157"/>
      <c r="M900" s="157"/>
      <c r="N900" s="157"/>
      <c r="O900" s="157"/>
    </row>
    <row r="901" spans="2:15" ht="15.75" customHeight="1" x14ac:dyDescent="0.45">
      <c r="B901" s="190"/>
      <c r="J901" s="157"/>
      <c r="K901" s="157"/>
      <c r="L901" s="157"/>
      <c r="M901" s="157"/>
      <c r="N901" s="157"/>
      <c r="O901" s="157"/>
    </row>
    <row r="902" spans="2:15" ht="15.75" customHeight="1" x14ac:dyDescent="0.45">
      <c r="B902" s="190"/>
      <c r="J902" s="157"/>
      <c r="K902" s="157"/>
      <c r="L902" s="157"/>
      <c r="M902" s="157"/>
      <c r="N902" s="157"/>
      <c r="O902" s="157"/>
    </row>
    <row r="903" spans="2:15" ht="15.75" customHeight="1" x14ac:dyDescent="0.45">
      <c r="B903" s="190"/>
      <c r="J903" s="157"/>
      <c r="K903" s="157"/>
      <c r="L903" s="157"/>
      <c r="M903" s="157"/>
      <c r="N903" s="157"/>
      <c r="O903" s="157"/>
    </row>
    <row r="904" spans="2:15" ht="15.75" customHeight="1" x14ac:dyDescent="0.45">
      <c r="B904" s="190"/>
      <c r="J904" s="157"/>
      <c r="K904" s="157"/>
      <c r="L904" s="157"/>
      <c r="M904" s="157"/>
      <c r="N904" s="157"/>
      <c r="O904" s="157"/>
    </row>
    <row r="905" spans="2:15" ht="15.75" customHeight="1" x14ac:dyDescent="0.45">
      <c r="B905" s="190"/>
      <c r="J905" s="157"/>
      <c r="K905" s="157"/>
      <c r="L905" s="157"/>
      <c r="M905" s="157"/>
      <c r="N905" s="157"/>
      <c r="O905" s="157"/>
    </row>
    <row r="906" spans="2:15" ht="15.75" customHeight="1" x14ac:dyDescent="0.45">
      <c r="B906" s="190"/>
      <c r="J906" s="157"/>
      <c r="K906" s="157"/>
      <c r="L906" s="157"/>
      <c r="M906" s="157"/>
      <c r="N906" s="157"/>
      <c r="O906" s="157"/>
    </row>
    <row r="907" spans="2:15" ht="15.75" customHeight="1" x14ac:dyDescent="0.45">
      <c r="B907" s="190"/>
      <c r="J907" s="157"/>
      <c r="K907" s="157"/>
      <c r="L907" s="157"/>
      <c r="M907" s="157"/>
      <c r="N907" s="157"/>
      <c r="O907" s="157"/>
    </row>
    <row r="908" spans="2:15" ht="15.75" customHeight="1" x14ac:dyDescent="0.45">
      <c r="B908" s="190"/>
      <c r="J908" s="157"/>
      <c r="K908" s="157"/>
      <c r="L908" s="157"/>
      <c r="M908" s="157"/>
      <c r="N908" s="157"/>
      <c r="O908" s="157"/>
    </row>
    <row r="909" spans="2:15" ht="15.75" customHeight="1" x14ac:dyDescent="0.45">
      <c r="B909" s="190"/>
      <c r="J909" s="157"/>
      <c r="K909" s="157"/>
      <c r="L909" s="157"/>
      <c r="M909" s="157"/>
      <c r="N909" s="157"/>
      <c r="O909" s="157"/>
    </row>
    <row r="910" spans="2:15" ht="15.75" customHeight="1" x14ac:dyDescent="0.45">
      <c r="B910" s="190"/>
      <c r="J910" s="157"/>
      <c r="K910" s="157"/>
      <c r="L910" s="157"/>
      <c r="M910" s="157"/>
      <c r="N910" s="157"/>
      <c r="O910" s="157"/>
    </row>
    <row r="911" spans="2:15" ht="15.75" customHeight="1" x14ac:dyDescent="0.45">
      <c r="B911" s="190"/>
      <c r="J911" s="157"/>
      <c r="K911" s="157"/>
      <c r="L911" s="157"/>
      <c r="M911" s="157"/>
      <c r="N911" s="157"/>
      <c r="O911" s="157"/>
    </row>
    <row r="912" spans="2:15" ht="15.75" customHeight="1" x14ac:dyDescent="0.45">
      <c r="B912" s="190"/>
      <c r="J912" s="157"/>
      <c r="K912" s="157"/>
      <c r="L912" s="157"/>
      <c r="M912" s="157"/>
      <c r="N912" s="157"/>
      <c r="O912" s="157"/>
    </row>
    <row r="913" spans="2:15" ht="15.75" customHeight="1" x14ac:dyDescent="0.45">
      <c r="B913" s="190"/>
      <c r="J913" s="157"/>
      <c r="K913" s="157"/>
      <c r="L913" s="157"/>
      <c r="M913" s="157"/>
      <c r="N913" s="157"/>
      <c r="O913" s="157"/>
    </row>
    <row r="914" spans="2:15" ht="15.75" customHeight="1" x14ac:dyDescent="0.45">
      <c r="B914" s="190"/>
      <c r="J914" s="157"/>
      <c r="K914" s="157"/>
      <c r="L914" s="157"/>
      <c r="M914" s="157"/>
      <c r="N914" s="157"/>
      <c r="O914" s="157"/>
    </row>
    <row r="915" spans="2:15" ht="15.75" customHeight="1" x14ac:dyDescent="0.45">
      <c r="B915" s="190"/>
      <c r="J915" s="157"/>
      <c r="K915" s="157"/>
      <c r="L915" s="157"/>
      <c r="M915" s="157"/>
      <c r="N915" s="157"/>
      <c r="O915" s="157"/>
    </row>
    <row r="916" spans="2:15" ht="15.75" customHeight="1" x14ac:dyDescent="0.45">
      <c r="B916" s="190"/>
      <c r="J916" s="157"/>
      <c r="K916" s="157"/>
      <c r="L916" s="157"/>
      <c r="M916" s="157"/>
      <c r="N916" s="157"/>
      <c r="O916" s="157"/>
    </row>
    <row r="917" spans="2:15" ht="15.75" customHeight="1" x14ac:dyDescent="0.45">
      <c r="B917" s="190"/>
      <c r="J917" s="157"/>
      <c r="K917" s="157"/>
      <c r="L917" s="157"/>
      <c r="M917" s="157"/>
      <c r="N917" s="157"/>
      <c r="O917" s="157"/>
    </row>
    <row r="918" spans="2:15" ht="15.75" customHeight="1" x14ac:dyDescent="0.45">
      <c r="B918" s="190"/>
      <c r="J918" s="157"/>
      <c r="K918" s="157"/>
      <c r="L918" s="157"/>
      <c r="M918" s="157"/>
      <c r="N918" s="157"/>
      <c r="O918" s="157"/>
    </row>
    <row r="919" spans="2:15" ht="15.75" customHeight="1" x14ac:dyDescent="0.45">
      <c r="B919" s="190"/>
      <c r="J919" s="157"/>
      <c r="K919" s="157"/>
      <c r="L919" s="157"/>
      <c r="M919" s="157"/>
      <c r="N919" s="157"/>
      <c r="O919" s="157"/>
    </row>
    <row r="920" spans="2:15" ht="15.75" customHeight="1" x14ac:dyDescent="0.45">
      <c r="B920" s="190"/>
      <c r="J920" s="157"/>
      <c r="K920" s="157"/>
      <c r="L920" s="157"/>
      <c r="M920" s="157"/>
      <c r="N920" s="157"/>
      <c r="O920" s="157"/>
    </row>
    <row r="921" spans="2:15" ht="15.75" customHeight="1" x14ac:dyDescent="0.45">
      <c r="B921" s="190"/>
      <c r="J921" s="157"/>
      <c r="K921" s="157"/>
      <c r="L921" s="157"/>
      <c r="M921" s="157"/>
      <c r="N921" s="157"/>
      <c r="O921" s="157"/>
    </row>
    <row r="922" spans="2:15" ht="15.75" customHeight="1" x14ac:dyDescent="0.45">
      <c r="B922" s="190"/>
      <c r="J922" s="157"/>
      <c r="K922" s="157"/>
      <c r="L922" s="157"/>
      <c r="M922" s="157"/>
      <c r="N922" s="157"/>
      <c r="O922" s="157"/>
    </row>
    <row r="923" spans="2:15" ht="15.75" customHeight="1" x14ac:dyDescent="0.45">
      <c r="B923" s="190"/>
      <c r="J923" s="157"/>
      <c r="K923" s="157"/>
      <c r="L923" s="157"/>
      <c r="M923" s="157"/>
      <c r="N923" s="157"/>
      <c r="O923" s="157"/>
    </row>
    <row r="924" spans="2:15" ht="15.75" customHeight="1" x14ac:dyDescent="0.45">
      <c r="B924" s="190"/>
      <c r="J924" s="157"/>
      <c r="K924" s="157"/>
      <c r="L924" s="157"/>
      <c r="M924" s="157"/>
      <c r="N924" s="157"/>
      <c r="O924" s="157"/>
    </row>
    <row r="925" spans="2:15" ht="15.75" customHeight="1" x14ac:dyDescent="0.45">
      <c r="B925" s="190"/>
      <c r="J925" s="157"/>
      <c r="K925" s="157"/>
      <c r="L925" s="157"/>
      <c r="M925" s="157"/>
      <c r="N925" s="157"/>
      <c r="O925" s="157"/>
    </row>
    <row r="926" spans="2:15" ht="15.75" customHeight="1" x14ac:dyDescent="0.45">
      <c r="B926" s="190"/>
      <c r="J926" s="157"/>
      <c r="K926" s="157"/>
      <c r="L926" s="157"/>
      <c r="M926" s="157"/>
      <c r="N926" s="157"/>
      <c r="O926" s="157"/>
    </row>
    <row r="927" spans="2:15" ht="15.75" customHeight="1" x14ac:dyDescent="0.45">
      <c r="B927" s="190"/>
      <c r="J927" s="157"/>
      <c r="K927" s="157"/>
      <c r="L927" s="157"/>
      <c r="M927" s="157"/>
      <c r="N927" s="157"/>
      <c r="O927" s="157"/>
    </row>
    <row r="928" spans="2:15" ht="15.75" customHeight="1" x14ac:dyDescent="0.45">
      <c r="B928" s="190"/>
      <c r="J928" s="157"/>
      <c r="K928" s="157"/>
      <c r="L928" s="157"/>
      <c r="M928" s="157"/>
      <c r="N928" s="157"/>
      <c r="O928" s="157"/>
    </row>
    <row r="929" spans="2:15" ht="15.75" customHeight="1" x14ac:dyDescent="0.45">
      <c r="B929" s="190"/>
      <c r="J929" s="157"/>
      <c r="K929" s="157"/>
      <c r="L929" s="157"/>
      <c r="M929" s="157"/>
      <c r="N929" s="157"/>
      <c r="O929" s="157"/>
    </row>
    <row r="930" spans="2:15" ht="15.75" customHeight="1" x14ac:dyDescent="0.45">
      <c r="B930" s="190"/>
      <c r="J930" s="157"/>
      <c r="K930" s="157"/>
      <c r="L930" s="157"/>
      <c r="M930" s="157"/>
      <c r="N930" s="157"/>
      <c r="O930" s="157"/>
    </row>
    <row r="931" spans="2:15" ht="15.75" customHeight="1" x14ac:dyDescent="0.45">
      <c r="B931" s="190"/>
      <c r="J931" s="157"/>
      <c r="K931" s="157"/>
      <c r="L931" s="157"/>
      <c r="M931" s="157"/>
      <c r="N931" s="157"/>
      <c r="O931" s="157"/>
    </row>
    <row r="932" spans="2:15" ht="15.75" customHeight="1" x14ac:dyDescent="0.45">
      <c r="B932" s="190"/>
      <c r="J932" s="157"/>
      <c r="K932" s="157"/>
      <c r="L932" s="157"/>
      <c r="M932" s="157"/>
      <c r="N932" s="157"/>
      <c r="O932" s="157"/>
    </row>
    <row r="933" spans="2:15" ht="15.75" customHeight="1" x14ac:dyDescent="0.45">
      <c r="B933" s="190"/>
      <c r="J933" s="157"/>
      <c r="K933" s="157"/>
      <c r="L933" s="157"/>
      <c r="M933" s="157"/>
      <c r="N933" s="157"/>
      <c r="O933" s="157"/>
    </row>
    <row r="934" spans="2:15" ht="15.75" customHeight="1" x14ac:dyDescent="0.45">
      <c r="B934" s="190"/>
      <c r="J934" s="157"/>
      <c r="K934" s="157"/>
      <c r="L934" s="157"/>
      <c r="M934" s="157"/>
      <c r="N934" s="157"/>
      <c r="O934" s="157"/>
    </row>
    <row r="935" spans="2:15" ht="15.75" customHeight="1" x14ac:dyDescent="0.45">
      <c r="B935" s="190"/>
      <c r="J935" s="157"/>
      <c r="K935" s="157"/>
      <c r="L935" s="157"/>
      <c r="M935" s="157"/>
      <c r="N935" s="157"/>
      <c r="O935" s="157"/>
    </row>
    <row r="936" spans="2:15" ht="15.75" customHeight="1" x14ac:dyDescent="0.45">
      <c r="B936" s="190"/>
      <c r="J936" s="157"/>
      <c r="K936" s="157"/>
      <c r="L936" s="157"/>
      <c r="M936" s="157"/>
      <c r="N936" s="157"/>
      <c r="O936" s="157"/>
    </row>
    <row r="937" spans="2:15" ht="15.75" customHeight="1" x14ac:dyDescent="0.45">
      <c r="B937" s="190"/>
      <c r="J937" s="157"/>
      <c r="K937" s="157"/>
      <c r="L937" s="157"/>
      <c r="M937" s="157"/>
      <c r="N937" s="157"/>
      <c r="O937" s="157"/>
    </row>
    <row r="938" spans="2:15" ht="15.75" customHeight="1" x14ac:dyDescent="0.45">
      <c r="B938" s="190"/>
      <c r="J938" s="157"/>
      <c r="K938" s="157"/>
      <c r="L938" s="157"/>
      <c r="M938" s="157"/>
      <c r="N938" s="157"/>
      <c r="O938" s="157"/>
    </row>
    <row r="939" spans="2:15" ht="15.75" customHeight="1" x14ac:dyDescent="0.45">
      <c r="B939" s="190"/>
      <c r="J939" s="157"/>
      <c r="K939" s="157"/>
      <c r="L939" s="157"/>
      <c r="M939" s="157"/>
      <c r="N939" s="157"/>
      <c r="O939" s="157"/>
    </row>
    <row r="940" spans="2:15" ht="15.75" customHeight="1" x14ac:dyDescent="0.45">
      <c r="B940" s="190"/>
      <c r="J940" s="157"/>
      <c r="K940" s="157"/>
      <c r="L940" s="157"/>
      <c r="M940" s="157"/>
      <c r="N940" s="157"/>
      <c r="O940" s="157"/>
    </row>
    <row r="941" spans="2:15" ht="15.75" customHeight="1" x14ac:dyDescent="0.45">
      <c r="B941" s="190"/>
      <c r="J941" s="157"/>
      <c r="K941" s="157"/>
      <c r="L941" s="157"/>
      <c r="M941" s="157"/>
      <c r="N941" s="157"/>
      <c r="O941" s="157"/>
    </row>
    <row r="942" spans="2:15" ht="15.75" customHeight="1" x14ac:dyDescent="0.45">
      <c r="B942" s="190"/>
      <c r="J942" s="157"/>
      <c r="K942" s="157"/>
      <c r="L942" s="157"/>
      <c r="M942" s="157"/>
      <c r="N942" s="157"/>
      <c r="O942" s="157"/>
    </row>
    <row r="943" spans="2:15" ht="15.75" customHeight="1" x14ac:dyDescent="0.45">
      <c r="B943" s="190"/>
      <c r="J943" s="157"/>
      <c r="K943" s="157"/>
      <c r="L943" s="157"/>
      <c r="M943" s="157"/>
      <c r="N943" s="157"/>
      <c r="O943" s="157"/>
    </row>
    <row r="944" spans="2:15" ht="15.75" customHeight="1" x14ac:dyDescent="0.45">
      <c r="B944" s="190"/>
      <c r="J944" s="157"/>
      <c r="K944" s="157"/>
      <c r="L944" s="157"/>
      <c r="M944" s="157"/>
      <c r="N944" s="157"/>
      <c r="O944" s="157"/>
    </row>
    <row r="945" spans="2:15" ht="15.75" customHeight="1" x14ac:dyDescent="0.45">
      <c r="B945" s="190"/>
      <c r="J945" s="157"/>
      <c r="K945" s="157"/>
      <c r="L945" s="157"/>
      <c r="M945" s="157"/>
      <c r="N945" s="157"/>
      <c r="O945" s="157"/>
    </row>
    <row r="946" spans="2:15" ht="15.75" customHeight="1" x14ac:dyDescent="0.45">
      <c r="B946" s="190"/>
      <c r="J946" s="157"/>
      <c r="K946" s="157"/>
      <c r="L946" s="157"/>
      <c r="M946" s="157"/>
      <c r="N946" s="157"/>
      <c r="O946" s="157"/>
    </row>
    <row r="947" spans="2:15" ht="15.75" customHeight="1" x14ac:dyDescent="0.45">
      <c r="B947" s="190"/>
      <c r="J947" s="157"/>
      <c r="K947" s="157"/>
      <c r="L947" s="157"/>
      <c r="M947" s="157"/>
      <c r="N947" s="157"/>
      <c r="O947" s="157"/>
    </row>
    <row r="948" spans="2:15" ht="15.75" customHeight="1" x14ac:dyDescent="0.45">
      <c r="B948" s="190"/>
      <c r="J948" s="157"/>
      <c r="K948" s="157"/>
      <c r="L948" s="157"/>
      <c r="M948" s="157"/>
      <c r="N948" s="157"/>
      <c r="O948" s="157"/>
    </row>
    <row r="949" spans="2:15" ht="15.75" customHeight="1" x14ac:dyDescent="0.45">
      <c r="B949" s="190"/>
      <c r="J949" s="157"/>
      <c r="K949" s="157"/>
      <c r="L949" s="157"/>
      <c r="M949" s="157"/>
      <c r="N949" s="157"/>
      <c r="O949" s="157"/>
    </row>
    <row r="950" spans="2:15" ht="15.75" customHeight="1" x14ac:dyDescent="0.45">
      <c r="B950" s="190"/>
      <c r="J950" s="157"/>
      <c r="K950" s="157"/>
      <c r="L950" s="157"/>
      <c r="M950" s="157"/>
      <c r="N950" s="157"/>
      <c r="O950" s="157"/>
    </row>
    <row r="951" spans="2:15" ht="15.75" customHeight="1" x14ac:dyDescent="0.45">
      <c r="B951" s="190"/>
      <c r="J951" s="157"/>
      <c r="K951" s="157"/>
      <c r="L951" s="157"/>
      <c r="M951" s="157"/>
      <c r="N951" s="157"/>
      <c r="O951" s="157"/>
    </row>
    <row r="952" spans="2:15" ht="15.75" customHeight="1" x14ac:dyDescent="0.45">
      <c r="B952" s="190"/>
      <c r="J952" s="157"/>
      <c r="K952" s="157"/>
      <c r="L952" s="157"/>
      <c r="M952" s="157"/>
      <c r="N952" s="157"/>
      <c r="O952" s="157"/>
    </row>
    <row r="953" spans="2:15" ht="15.75" customHeight="1" x14ac:dyDescent="0.45">
      <c r="B953" s="190"/>
      <c r="J953" s="157"/>
      <c r="K953" s="157"/>
      <c r="L953" s="157"/>
      <c r="M953" s="157"/>
      <c r="N953" s="157"/>
      <c r="O953" s="157"/>
    </row>
    <row r="954" spans="2:15" ht="15.75" customHeight="1" x14ac:dyDescent="0.45">
      <c r="B954" s="190"/>
      <c r="J954" s="157"/>
      <c r="K954" s="157"/>
      <c r="L954" s="157"/>
      <c r="M954" s="157"/>
      <c r="N954" s="157"/>
      <c r="O954" s="157"/>
    </row>
    <row r="955" spans="2:15" ht="15.75" customHeight="1" x14ac:dyDescent="0.45">
      <c r="B955" s="190"/>
      <c r="J955" s="157"/>
      <c r="K955" s="157"/>
      <c r="L955" s="157"/>
      <c r="M955" s="157"/>
      <c r="N955" s="157"/>
      <c r="O955" s="157"/>
    </row>
    <row r="956" spans="2:15" ht="15.75" customHeight="1" x14ac:dyDescent="0.45">
      <c r="B956" s="190"/>
      <c r="J956" s="157"/>
      <c r="K956" s="157"/>
      <c r="L956" s="157"/>
      <c r="M956" s="157"/>
      <c r="N956" s="157"/>
      <c r="O956" s="157"/>
    </row>
    <row r="957" spans="2:15" ht="15.75" customHeight="1" x14ac:dyDescent="0.45">
      <c r="B957" s="190"/>
      <c r="J957" s="157"/>
      <c r="K957" s="157"/>
      <c r="L957" s="157"/>
      <c r="M957" s="157"/>
      <c r="N957" s="157"/>
      <c r="O957" s="157"/>
    </row>
    <row r="958" spans="2:15" ht="15.75" customHeight="1" x14ac:dyDescent="0.45">
      <c r="B958" s="190"/>
      <c r="J958" s="157"/>
      <c r="K958" s="157"/>
      <c r="L958" s="157"/>
      <c r="M958" s="157"/>
      <c r="N958" s="157"/>
      <c r="O958" s="157"/>
    </row>
    <row r="959" spans="2:15" ht="15.75" customHeight="1" x14ac:dyDescent="0.45">
      <c r="B959" s="190"/>
      <c r="J959" s="157"/>
      <c r="K959" s="157"/>
      <c r="L959" s="157"/>
      <c r="M959" s="157"/>
      <c r="N959" s="157"/>
      <c r="O959" s="157"/>
    </row>
    <row r="960" spans="2:15" ht="15.75" customHeight="1" x14ac:dyDescent="0.45">
      <c r="B960" s="190"/>
      <c r="J960" s="157"/>
      <c r="K960" s="157"/>
      <c r="L960" s="157"/>
      <c r="M960" s="157"/>
      <c r="N960" s="157"/>
      <c r="O960" s="157"/>
    </row>
    <row r="961" spans="2:15" ht="15.75" customHeight="1" x14ac:dyDescent="0.45">
      <c r="B961" s="190"/>
      <c r="J961" s="157"/>
      <c r="K961" s="157"/>
      <c r="L961" s="157"/>
      <c r="M961" s="157"/>
      <c r="N961" s="157"/>
      <c r="O961" s="157"/>
    </row>
    <row r="962" spans="2:15" ht="15.75" customHeight="1" x14ac:dyDescent="0.45">
      <c r="B962" s="190"/>
      <c r="J962" s="157"/>
      <c r="K962" s="157"/>
      <c r="L962" s="157"/>
      <c r="M962" s="157"/>
      <c r="N962" s="157"/>
      <c r="O962" s="157"/>
    </row>
    <row r="963" spans="2:15" ht="15.75" customHeight="1" x14ac:dyDescent="0.45">
      <c r="B963" s="190"/>
      <c r="J963" s="157"/>
      <c r="K963" s="157"/>
      <c r="L963" s="157"/>
      <c r="M963" s="157"/>
      <c r="N963" s="157"/>
      <c r="O963" s="157"/>
    </row>
    <row r="964" spans="2:15" ht="15.75" customHeight="1" x14ac:dyDescent="0.45">
      <c r="B964" s="190"/>
      <c r="J964" s="157"/>
      <c r="K964" s="157"/>
      <c r="L964" s="157"/>
      <c r="M964" s="157"/>
      <c r="N964" s="157"/>
      <c r="O964" s="157"/>
    </row>
    <row r="965" spans="2:15" ht="15.75" customHeight="1" x14ac:dyDescent="0.45">
      <c r="B965" s="190"/>
      <c r="J965" s="157"/>
      <c r="K965" s="157"/>
      <c r="L965" s="157"/>
      <c r="M965" s="157"/>
      <c r="N965" s="157"/>
      <c r="O965" s="157"/>
    </row>
    <row r="966" spans="2:15" ht="15.75" customHeight="1" x14ac:dyDescent="0.45">
      <c r="B966" s="190"/>
      <c r="J966" s="157"/>
      <c r="K966" s="157"/>
      <c r="L966" s="157"/>
      <c r="M966" s="157"/>
      <c r="N966" s="157"/>
      <c r="O966" s="157"/>
    </row>
    <row r="967" spans="2:15" ht="15.75" customHeight="1" x14ac:dyDescent="0.45">
      <c r="B967" s="190"/>
      <c r="J967" s="157"/>
      <c r="K967" s="157"/>
      <c r="L967" s="157"/>
      <c r="M967" s="157"/>
      <c r="N967" s="157"/>
      <c r="O967" s="157"/>
    </row>
    <row r="968" spans="2:15" ht="15.75" customHeight="1" x14ac:dyDescent="0.45">
      <c r="B968" s="190"/>
      <c r="J968" s="157"/>
      <c r="K968" s="157"/>
      <c r="L968" s="157"/>
      <c r="M968" s="157"/>
      <c r="N968" s="157"/>
      <c r="O968" s="157"/>
    </row>
    <row r="969" spans="2:15" ht="15.75" customHeight="1" x14ac:dyDescent="0.45">
      <c r="B969" s="190"/>
      <c r="J969" s="157"/>
      <c r="K969" s="157"/>
      <c r="L969" s="157"/>
      <c r="M969" s="157"/>
      <c r="N969" s="157"/>
      <c r="O969" s="157"/>
    </row>
    <row r="970" spans="2:15" ht="15.75" customHeight="1" x14ac:dyDescent="0.45">
      <c r="B970" s="190"/>
      <c r="J970" s="157"/>
      <c r="K970" s="157"/>
      <c r="L970" s="157"/>
      <c r="M970" s="157"/>
      <c r="N970" s="157"/>
      <c r="O970" s="157"/>
    </row>
    <row r="971" spans="2:15" ht="15.75" customHeight="1" x14ac:dyDescent="0.45">
      <c r="B971" s="190"/>
      <c r="J971" s="157"/>
      <c r="K971" s="157"/>
      <c r="L971" s="157"/>
      <c r="M971" s="157"/>
      <c r="N971" s="157"/>
      <c r="O971" s="157"/>
    </row>
    <row r="972" spans="2:15" ht="15.75" customHeight="1" x14ac:dyDescent="0.45">
      <c r="B972" s="190"/>
      <c r="J972" s="157"/>
      <c r="K972" s="157"/>
      <c r="L972" s="157"/>
      <c r="M972" s="157"/>
      <c r="N972" s="157"/>
      <c r="O972" s="157"/>
    </row>
    <row r="973" spans="2:15" ht="15.75" customHeight="1" x14ac:dyDescent="0.45">
      <c r="B973" s="190"/>
      <c r="J973" s="157"/>
      <c r="K973" s="157"/>
      <c r="L973" s="157"/>
      <c r="M973" s="157"/>
      <c r="N973" s="157"/>
      <c r="O973" s="157"/>
    </row>
    <row r="974" spans="2:15" ht="15.75" customHeight="1" x14ac:dyDescent="0.45">
      <c r="B974" s="190"/>
      <c r="J974" s="157"/>
      <c r="K974" s="157"/>
      <c r="L974" s="157"/>
      <c r="M974" s="157"/>
      <c r="N974" s="157"/>
      <c r="O974" s="157"/>
    </row>
    <row r="975" spans="2:15" ht="15.75" customHeight="1" x14ac:dyDescent="0.45">
      <c r="B975" s="190"/>
      <c r="J975" s="157"/>
      <c r="K975" s="157"/>
      <c r="L975" s="157"/>
      <c r="M975" s="157"/>
      <c r="N975" s="157"/>
      <c r="O975" s="157"/>
    </row>
    <row r="976" spans="2:15" ht="15.75" customHeight="1" x14ac:dyDescent="0.45">
      <c r="B976" s="190"/>
      <c r="J976" s="157"/>
      <c r="K976" s="157"/>
      <c r="L976" s="157"/>
      <c r="M976" s="157"/>
      <c r="N976" s="157"/>
      <c r="O976" s="157"/>
    </row>
    <row r="977" spans="2:15" ht="15.75" customHeight="1" x14ac:dyDescent="0.45">
      <c r="B977" s="190"/>
      <c r="J977" s="157"/>
      <c r="K977" s="157"/>
      <c r="L977" s="157"/>
      <c r="M977" s="157"/>
      <c r="N977" s="157"/>
      <c r="O977" s="157"/>
    </row>
    <row r="978" spans="2:15" ht="15.75" customHeight="1" x14ac:dyDescent="0.45">
      <c r="B978" s="190"/>
      <c r="J978" s="157"/>
      <c r="K978" s="157"/>
      <c r="L978" s="157"/>
      <c r="M978" s="157"/>
      <c r="N978" s="157"/>
      <c r="O978" s="157"/>
    </row>
    <row r="979" spans="2:15" ht="15.75" customHeight="1" x14ac:dyDescent="0.45">
      <c r="B979" s="190"/>
      <c r="J979" s="157"/>
      <c r="K979" s="157"/>
      <c r="L979" s="157"/>
      <c r="M979" s="157"/>
      <c r="N979" s="157"/>
      <c r="O979" s="157"/>
    </row>
    <row r="980" spans="2:15" ht="15.75" customHeight="1" x14ac:dyDescent="0.45">
      <c r="B980" s="190"/>
      <c r="J980" s="157"/>
      <c r="K980" s="157"/>
      <c r="L980" s="157"/>
      <c r="M980" s="157"/>
      <c r="N980" s="157"/>
      <c r="O980" s="157"/>
    </row>
    <row r="981" spans="2:15" ht="15.75" customHeight="1" x14ac:dyDescent="0.45">
      <c r="B981" s="190"/>
      <c r="J981" s="157"/>
      <c r="K981" s="157"/>
      <c r="L981" s="157"/>
      <c r="M981" s="157"/>
      <c r="N981" s="157"/>
      <c r="O981" s="157"/>
    </row>
    <row r="982" spans="2:15" ht="15.75" customHeight="1" x14ac:dyDescent="0.45">
      <c r="B982" s="190"/>
      <c r="J982" s="157"/>
      <c r="K982" s="157"/>
      <c r="L982" s="157"/>
      <c r="M982" s="157"/>
      <c r="N982" s="157"/>
      <c r="O982" s="157"/>
    </row>
    <row r="983" spans="2:15" ht="15.75" customHeight="1" x14ac:dyDescent="0.45">
      <c r="B983" s="190"/>
      <c r="J983" s="157"/>
      <c r="K983" s="157"/>
      <c r="L983" s="157"/>
      <c r="M983" s="157"/>
      <c r="N983" s="157"/>
      <c r="O983" s="157"/>
    </row>
    <row r="984" spans="2:15" ht="15.75" customHeight="1" x14ac:dyDescent="0.45">
      <c r="B984" s="190"/>
      <c r="J984" s="157"/>
      <c r="K984" s="157"/>
      <c r="L984" s="157"/>
      <c r="M984" s="157"/>
      <c r="N984" s="157"/>
      <c r="O984" s="157"/>
    </row>
    <row r="985" spans="2:15" ht="15.75" customHeight="1" x14ac:dyDescent="0.45">
      <c r="B985" s="190"/>
      <c r="J985" s="157"/>
      <c r="K985" s="157"/>
      <c r="L985" s="157"/>
      <c r="M985" s="157"/>
      <c r="N985" s="157"/>
      <c r="O985" s="157"/>
    </row>
    <row r="986" spans="2:15" ht="15.75" customHeight="1" x14ac:dyDescent="0.45">
      <c r="B986" s="190"/>
      <c r="J986" s="157"/>
      <c r="K986" s="157"/>
      <c r="L986" s="157"/>
      <c r="M986" s="157"/>
      <c r="N986" s="157"/>
      <c r="O986" s="157"/>
    </row>
    <row r="987" spans="2:15" ht="15.75" customHeight="1" x14ac:dyDescent="0.45">
      <c r="B987" s="190"/>
      <c r="J987" s="157"/>
      <c r="K987" s="157"/>
      <c r="L987" s="157"/>
      <c r="M987" s="157"/>
      <c r="N987" s="157"/>
      <c r="O987" s="157"/>
    </row>
    <row r="988" spans="2:15" ht="15.75" customHeight="1" x14ac:dyDescent="0.45">
      <c r="B988" s="190"/>
      <c r="J988" s="157"/>
      <c r="K988" s="157"/>
      <c r="L988" s="157"/>
      <c r="M988" s="157"/>
      <c r="N988" s="157"/>
      <c r="O988" s="157"/>
    </row>
    <row r="989" spans="2:15" ht="15.75" customHeight="1" x14ac:dyDescent="0.45">
      <c r="B989" s="190"/>
      <c r="J989" s="157"/>
      <c r="K989" s="157"/>
      <c r="L989" s="157"/>
      <c r="M989" s="157"/>
      <c r="N989" s="157"/>
      <c r="O989" s="157"/>
    </row>
    <row r="990" spans="2:15" ht="15.75" customHeight="1" x14ac:dyDescent="0.45">
      <c r="B990" s="190"/>
      <c r="J990" s="157"/>
      <c r="K990" s="157"/>
      <c r="L990" s="157"/>
      <c r="M990" s="157"/>
      <c r="N990" s="157"/>
      <c r="O990" s="157"/>
    </row>
    <row r="991" spans="2:15" ht="15.75" customHeight="1" x14ac:dyDescent="0.45">
      <c r="B991" s="190"/>
      <c r="J991" s="157"/>
      <c r="K991" s="157"/>
      <c r="L991" s="157"/>
      <c r="M991" s="157"/>
      <c r="N991" s="157"/>
      <c r="O991" s="157"/>
    </row>
    <row r="992" spans="2:15" ht="15.75" customHeight="1" x14ac:dyDescent="0.45">
      <c r="B992" s="190"/>
      <c r="J992" s="157"/>
      <c r="K992" s="157"/>
      <c r="L992" s="157"/>
      <c r="M992" s="157"/>
      <c r="N992" s="157"/>
      <c r="O992" s="157"/>
    </row>
    <row r="993" spans="2:15" ht="15.75" customHeight="1" x14ac:dyDescent="0.45">
      <c r="B993" s="190"/>
      <c r="J993" s="157"/>
      <c r="K993" s="157"/>
      <c r="L993" s="157"/>
      <c r="M993" s="157"/>
      <c r="N993" s="157"/>
      <c r="O993" s="157"/>
    </row>
    <row r="994" spans="2:15" ht="15.75" customHeight="1" x14ac:dyDescent="0.45">
      <c r="B994" s="190"/>
      <c r="J994" s="157"/>
      <c r="K994" s="157"/>
      <c r="L994" s="157"/>
      <c r="M994" s="157"/>
      <c r="N994" s="157"/>
      <c r="O994" s="157"/>
    </row>
    <row r="995" spans="2:15" ht="15.75" customHeight="1" x14ac:dyDescent="0.45">
      <c r="B995" s="190"/>
      <c r="J995" s="157"/>
      <c r="K995" s="157"/>
      <c r="L995" s="157"/>
      <c r="M995" s="157"/>
      <c r="N995" s="157"/>
      <c r="O995" s="157"/>
    </row>
    <row r="996" spans="2:15" ht="15.75" customHeight="1" x14ac:dyDescent="0.45">
      <c r="B996" s="190"/>
      <c r="J996" s="157"/>
      <c r="K996" s="157"/>
      <c r="L996" s="157"/>
      <c r="M996" s="157"/>
      <c r="N996" s="157"/>
      <c r="O996" s="157"/>
    </row>
    <row r="997" spans="2:15" ht="15.75" customHeight="1" x14ac:dyDescent="0.45">
      <c r="B997" s="190"/>
      <c r="J997" s="157"/>
      <c r="K997" s="157"/>
      <c r="L997" s="157"/>
      <c r="M997" s="157"/>
      <c r="N997" s="157"/>
      <c r="O997" s="157"/>
    </row>
    <row r="998" spans="2:15" ht="15.75" customHeight="1" x14ac:dyDescent="0.45">
      <c r="B998" s="190"/>
      <c r="J998" s="157"/>
      <c r="K998" s="157"/>
      <c r="L998" s="157"/>
      <c r="M998" s="157"/>
      <c r="N998" s="157"/>
      <c r="O998" s="157"/>
    </row>
    <row r="999" spans="2:15" ht="15.75" customHeight="1" x14ac:dyDescent="0.45">
      <c r="B999" s="190"/>
      <c r="J999" s="157"/>
      <c r="K999" s="157"/>
      <c r="L999" s="157"/>
      <c r="M999" s="157"/>
      <c r="N999" s="157"/>
      <c r="O999" s="157"/>
    </row>
    <row r="1000" spans="2:15" ht="15.75" customHeight="1" x14ac:dyDescent="0.45">
      <c r="B1000" s="190"/>
      <c r="J1000" s="157"/>
      <c r="K1000" s="157"/>
      <c r="L1000" s="157"/>
      <c r="M1000" s="157"/>
      <c r="N1000" s="157"/>
      <c r="O1000" s="157"/>
    </row>
  </sheetData>
  <conditionalFormatting sqref="F2:F31">
    <cfRule type="cellIs" dxfId="142" priority="1" operator="greaterThan">
      <formula>100</formula>
    </cfRule>
  </conditionalFormatting>
  <conditionalFormatting sqref="F2:F31">
    <cfRule type="cellIs" dxfId="141" priority="2" operator="lessThan">
      <formula>100</formula>
    </cfRule>
  </conditionalFormatting>
  <pageMargins left="0.7" right="0.7" top="0.75" bottom="0.75" header="0" footer="0"/>
  <pageSetup orientation="landscape"/>
  <headerFooter>
    <oddHeader>&amp;LSAGE LIBRARY SYSTEM Survey results - Member Fee % Weight Jan 2020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3" width="14.1328125" customWidth="1"/>
    <col min="44" max="44" width="5.265625" hidden="1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10.2656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f>Summary!Y12</f>
        <v>0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438.56336616389217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0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0</v>
      </c>
      <c r="W4" s="77"/>
      <c r="X4" s="75">
        <v>1988</v>
      </c>
      <c r="Y4" s="77">
        <f t="shared" ref="Y4:Y7" si="9">SUM(X4*$Y$62)</f>
        <v>0</v>
      </c>
      <c r="Z4" s="77"/>
      <c r="AA4" s="65"/>
      <c r="AB4" s="65"/>
      <c r="AC4" s="77">
        <f t="shared" ref="AC4:AC57" si="10">SUM($AC$61/$BA$61)</f>
        <v>0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0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0</v>
      </c>
      <c r="AQ4" s="77">
        <f t="shared" ref="AQ4:AQ57" si="17">SUM(F4+V4+AC4+M4+AH4+Y4+AP4)</f>
        <v>438.56336616389217</v>
      </c>
      <c r="AR4" s="144">
        <f t="shared" ref="AR4:AR57" si="18">SUM(AQ4/$K$4)</f>
        <v>1.7334520401734868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501.41045290388911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0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0</v>
      </c>
      <c r="W5" s="77"/>
      <c r="X5" s="75">
        <v>3549</v>
      </c>
      <c r="Y5" s="77">
        <f t="shared" si="9"/>
        <v>0</v>
      </c>
      <c r="Z5" s="77"/>
      <c r="AA5" s="65"/>
      <c r="AB5" s="65"/>
      <c r="AC5" s="77">
        <f t="shared" si="10"/>
        <v>0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0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0</v>
      </c>
      <c r="AQ5" s="77">
        <f t="shared" si="17"/>
        <v>501.41045290388911</v>
      </c>
      <c r="AR5" s="144">
        <f t="shared" si="18"/>
        <v>1.9818594976438304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1370.3397391351521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0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0</v>
      </c>
      <c r="W6" s="77"/>
      <c r="X6" s="75">
        <v>7943</v>
      </c>
      <c r="Y6" s="77">
        <f t="shared" si="9"/>
        <v>0</v>
      </c>
      <c r="Z6" s="77"/>
      <c r="AA6" s="65"/>
      <c r="AB6" s="65"/>
      <c r="AC6" s="77">
        <f t="shared" si="10"/>
        <v>0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0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0</v>
      </c>
      <c r="AQ6" s="77">
        <f t="shared" si="17"/>
        <v>1370.3397391351521</v>
      </c>
      <c r="AR6" s="144">
        <f t="shared" si="18"/>
        <v>5.4163626052772811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13753.948308946736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0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0</v>
      </c>
      <c r="W7" s="77"/>
      <c r="X7" s="75">
        <v>91539</v>
      </c>
      <c r="Y7" s="77">
        <f t="shared" si="9"/>
        <v>0</v>
      </c>
      <c r="Z7" s="77"/>
      <c r="AA7" s="65"/>
      <c r="AB7" s="65"/>
      <c r="AC7" s="77">
        <f t="shared" si="10"/>
        <v>0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0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0</v>
      </c>
      <c r="AQ7" s="77">
        <f t="shared" si="17"/>
        <v>13753.948308946736</v>
      </c>
      <c r="AR7" s="144">
        <f t="shared" si="18"/>
        <v>54.363432051172872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2264.9543564688488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0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0</v>
      </c>
      <c r="W8" s="65"/>
      <c r="X8" s="75"/>
      <c r="Y8" s="76"/>
      <c r="Z8" s="65"/>
      <c r="AA8" s="65"/>
      <c r="AB8" s="65"/>
      <c r="AC8" s="77">
        <f t="shared" si="10"/>
        <v>0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0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0</v>
      </c>
      <c r="AQ8" s="77">
        <f t="shared" si="17"/>
        <v>2264.9543564688488</v>
      </c>
      <c r="AR8" s="144">
        <f t="shared" si="18"/>
        <v>8.9523887607464374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5944.7879091972818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0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0</v>
      </c>
      <c r="W9" s="65"/>
      <c r="X9" s="75"/>
      <c r="Y9" s="76"/>
      <c r="Z9" s="65"/>
      <c r="AA9" s="65"/>
      <c r="AB9" s="65"/>
      <c r="AC9" s="77">
        <f t="shared" si="10"/>
        <v>0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0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0</v>
      </c>
      <c r="AQ9" s="77">
        <f t="shared" si="17"/>
        <v>5944.7879091972818</v>
      </c>
      <c r="AR9" s="144">
        <f t="shared" si="18"/>
        <v>23.497185411846964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286.36411697181245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0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0</v>
      </c>
      <c r="W10" s="65"/>
      <c r="X10" s="75"/>
      <c r="Y10" s="76"/>
      <c r="Z10" s="65"/>
      <c r="AA10" s="65"/>
      <c r="AB10" s="65"/>
      <c r="AC10" s="77">
        <f t="shared" si="10"/>
        <v>0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0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</v>
      </c>
      <c r="AQ10" s="77">
        <f t="shared" si="17"/>
        <v>286.36411697181245</v>
      </c>
      <c r="AR10" s="144">
        <f t="shared" si="18"/>
        <v>1.1318739801257409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84.706942997387273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0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0</v>
      </c>
      <c r="W11" s="65"/>
      <c r="X11" s="75"/>
      <c r="Y11" s="76"/>
      <c r="Z11" s="65"/>
      <c r="AA11" s="65"/>
      <c r="AB11" s="65"/>
      <c r="AC11" s="77">
        <f t="shared" si="10"/>
        <v>0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0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0</v>
      </c>
      <c r="AQ11" s="77">
        <f t="shared" si="17"/>
        <v>84.706942997387273</v>
      </c>
      <c r="AR11" s="144">
        <f t="shared" si="18"/>
        <v>0.33481005137307224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828.48855215509093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0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0</v>
      </c>
      <c r="W12" s="77"/>
      <c r="X12" s="75">
        <v>7291</v>
      </c>
      <c r="Y12" s="77">
        <f>SUM(X12*$Y$62)</f>
        <v>0</v>
      </c>
      <c r="Z12" s="77"/>
      <c r="AA12" s="65"/>
      <c r="AB12" s="65"/>
      <c r="AC12" s="77">
        <f t="shared" si="10"/>
        <v>0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0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0</v>
      </c>
      <c r="AQ12" s="77">
        <f t="shared" si="17"/>
        <v>828.48855215509093</v>
      </c>
      <c r="AR12" s="144">
        <f t="shared" si="18"/>
        <v>3.2746583089134029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1.6394892193042698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0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0</v>
      </c>
      <c r="W13" s="65"/>
      <c r="X13" s="75"/>
      <c r="Y13" s="76"/>
      <c r="Z13" s="65"/>
      <c r="AA13" s="65"/>
      <c r="AB13" s="65"/>
      <c r="AC13" s="77">
        <f t="shared" si="10"/>
        <v>0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0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0</v>
      </c>
      <c r="AQ13" s="77">
        <f t="shared" si="17"/>
        <v>1.6394892193042698</v>
      </c>
      <c r="AR13" s="144">
        <f t="shared" si="18"/>
        <v>6.4801945427046242E-3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2227.7926008312852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0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0</v>
      </c>
      <c r="W14" s="77"/>
      <c r="X14" s="75">
        <v>6043</v>
      </c>
      <c r="Y14" s="77">
        <f t="shared" ref="Y14:Y18" si="77">SUM(X14*$Y$62)</f>
        <v>0</v>
      </c>
      <c r="Z14" s="77"/>
      <c r="AA14" s="65"/>
      <c r="AB14" s="65"/>
      <c r="AC14" s="77">
        <f t="shared" si="10"/>
        <v>0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0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0</v>
      </c>
      <c r="AQ14" s="77">
        <f t="shared" si="17"/>
        <v>2227.7926008312852</v>
      </c>
      <c r="AR14" s="144">
        <f t="shared" si="18"/>
        <v>8.8055043511118001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1627.1930501594877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0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0</v>
      </c>
      <c r="W15" s="77"/>
      <c r="X15" s="75">
        <v>12238</v>
      </c>
      <c r="Y15" s="77">
        <f t="shared" si="77"/>
        <v>0</v>
      </c>
      <c r="Z15" s="77"/>
      <c r="AA15" s="65"/>
      <c r="AB15" s="65"/>
      <c r="AC15" s="77">
        <f t="shared" si="10"/>
        <v>0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0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0</v>
      </c>
      <c r="AQ15" s="77">
        <f t="shared" si="17"/>
        <v>1627.1930501594877</v>
      </c>
      <c r="AR15" s="144">
        <f t="shared" si="18"/>
        <v>6.4315930836343389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389.37868958476406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0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0</v>
      </c>
      <c r="W16" s="77"/>
      <c r="X16" s="75">
        <v>3794</v>
      </c>
      <c r="Y16" s="77">
        <f t="shared" si="77"/>
        <v>0</v>
      </c>
      <c r="Z16" s="77"/>
      <c r="AA16" s="65"/>
      <c r="AB16" s="65"/>
      <c r="AC16" s="77">
        <f t="shared" si="10"/>
        <v>0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0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0</v>
      </c>
      <c r="AQ16" s="77">
        <f t="shared" si="17"/>
        <v>389.37868958476406</v>
      </c>
      <c r="AR16" s="144">
        <f t="shared" si="18"/>
        <v>1.539046203892348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1129.8813203038592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0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0</v>
      </c>
      <c r="W17" s="77"/>
      <c r="X17" s="75">
        <v>5205</v>
      </c>
      <c r="Y17" s="77">
        <f t="shared" si="77"/>
        <v>0</v>
      </c>
      <c r="Z17" s="77"/>
      <c r="AA17" s="65"/>
      <c r="AB17" s="65"/>
      <c r="AC17" s="77">
        <f t="shared" si="10"/>
        <v>0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0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0</v>
      </c>
      <c r="AQ17" s="77">
        <f t="shared" si="17"/>
        <v>1129.8813203038592</v>
      </c>
      <c r="AR17" s="144">
        <f t="shared" si="18"/>
        <v>4.4659340723472694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6059.2789063453638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0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0</v>
      </c>
      <c r="W18" s="77"/>
      <c r="X18" s="75">
        <v>14316</v>
      </c>
      <c r="Y18" s="77">
        <f t="shared" si="77"/>
        <v>0</v>
      </c>
      <c r="Z18" s="77"/>
      <c r="AA18" s="65"/>
      <c r="AB18" s="65"/>
      <c r="AC18" s="77">
        <f t="shared" si="10"/>
        <v>0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0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0</v>
      </c>
      <c r="AQ18" s="77">
        <f t="shared" si="17"/>
        <v>6059.2789063453638</v>
      </c>
      <c r="AR18" s="144">
        <f t="shared" si="18"/>
        <v>23.949718997412504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19.947118834868615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0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0</v>
      </c>
      <c r="W19" s="65"/>
      <c r="X19" s="75"/>
      <c r="Y19" s="76"/>
      <c r="Z19" s="65"/>
      <c r="AA19" s="65"/>
      <c r="AB19" s="65"/>
      <c r="AC19" s="77">
        <f t="shared" si="10"/>
        <v>0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0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0</v>
      </c>
      <c r="AQ19" s="77">
        <f t="shared" si="17"/>
        <v>19.947118834868615</v>
      </c>
      <c r="AR19" s="144">
        <f t="shared" si="18"/>
        <v>7.8842366936239583E-2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6038.7852911040609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0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0</v>
      </c>
      <c r="W20" s="65"/>
      <c r="X20" s="75">
        <v>22723</v>
      </c>
      <c r="Y20" s="77">
        <f t="shared" ref="Y20:Y21" si="102">SUM(X20*$Y$62)</f>
        <v>0</v>
      </c>
      <c r="Z20" s="65"/>
      <c r="AA20" s="65"/>
      <c r="AB20" s="65"/>
      <c r="AC20" s="77">
        <f t="shared" si="10"/>
        <v>0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0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0</v>
      </c>
      <c r="AQ20" s="77">
        <f t="shared" si="17"/>
        <v>6038.7852911040609</v>
      </c>
      <c r="AR20" s="144">
        <f t="shared" si="18"/>
        <v>23.868716565628699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228.16224968651085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0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0</v>
      </c>
      <c r="W21" s="77"/>
      <c r="X21" s="75">
        <v>2528</v>
      </c>
      <c r="Y21" s="77">
        <f t="shared" si="102"/>
        <v>0</v>
      </c>
      <c r="Z21" s="77"/>
      <c r="AA21" s="65"/>
      <c r="AB21" s="65"/>
      <c r="AC21" s="77">
        <f t="shared" si="10"/>
        <v>0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0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0</v>
      </c>
      <c r="AQ21" s="77">
        <f t="shared" si="17"/>
        <v>228.16224968651085</v>
      </c>
      <c r="AR21" s="144">
        <f t="shared" si="18"/>
        <v>0.90182707385972671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1.6394892193042698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0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0</v>
      </c>
      <c r="W22" s="65"/>
      <c r="X22" s="75"/>
      <c r="Y22" s="76"/>
      <c r="Z22" s="65"/>
      <c r="AA22" s="65"/>
      <c r="AB22" s="65"/>
      <c r="AC22" s="77">
        <f t="shared" si="10"/>
        <v>0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0</v>
      </c>
      <c r="AQ22" s="77">
        <f t="shared" si="17"/>
        <v>1.6394892193042698</v>
      </c>
      <c r="AR22" s="144">
        <f t="shared" si="18"/>
        <v>6.4801945427046242E-3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21288.221016259507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0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0</v>
      </c>
      <c r="W23" s="77"/>
      <c r="X23" s="75">
        <v>38682</v>
      </c>
      <c r="Y23" s="77">
        <f>SUM(X23*$Y$62)</f>
        <v>0</v>
      </c>
      <c r="Z23" s="77"/>
      <c r="AA23" s="65"/>
      <c r="AB23" s="65"/>
      <c r="AC23" s="77">
        <f t="shared" si="10"/>
        <v>0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0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0</v>
      </c>
      <c r="AQ23" s="77">
        <f t="shared" si="17"/>
        <v>21288.221016259507</v>
      </c>
      <c r="AR23" s="144">
        <f t="shared" si="18"/>
        <v>84.143166072171965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347.02521808607042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0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0</v>
      </c>
      <c r="W24" s="65"/>
      <c r="X24" s="75"/>
      <c r="Y24" s="76"/>
      <c r="Z24" s="65"/>
      <c r="AA24" s="65"/>
      <c r="AB24" s="65"/>
      <c r="AC24" s="77">
        <f t="shared" si="10"/>
        <v>0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0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0</v>
      </c>
      <c r="AQ24" s="77">
        <f t="shared" si="17"/>
        <v>347.02521808607042</v>
      </c>
      <c r="AR24" s="144">
        <f t="shared" si="18"/>
        <v>1.371641178205812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20749.102311311621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0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0</v>
      </c>
      <c r="W25" s="77"/>
      <c r="X25" s="75">
        <v>75861</v>
      </c>
      <c r="Y25" s="77">
        <f>SUM(X25*$Y$62)</f>
        <v>0</v>
      </c>
      <c r="Z25" s="77"/>
      <c r="AA25" s="65"/>
      <c r="AB25" s="65"/>
      <c r="AC25" s="77">
        <f t="shared" si="10"/>
        <v>0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0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0</v>
      </c>
      <c r="AQ25" s="77">
        <f t="shared" si="17"/>
        <v>20749.102311311621</v>
      </c>
      <c r="AR25" s="144">
        <f t="shared" si="18"/>
        <v>82.01226210004593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1875.8489150873022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0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0</v>
      </c>
      <c r="W26" s="65"/>
      <c r="X26" s="75"/>
      <c r="Y26" s="76"/>
      <c r="Z26" s="65"/>
      <c r="AA26" s="65"/>
      <c r="AB26" s="65"/>
      <c r="AC26" s="77">
        <f t="shared" si="10"/>
        <v>0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0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0</v>
      </c>
      <c r="AQ26" s="77">
        <f t="shared" si="17"/>
        <v>1875.8489150873022</v>
      </c>
      <c r="AR26" s="144">
        <f t="shared" si="18"/>
        <v>7.4144225892778746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105.20055823869065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0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0</v>
      </c>
      <c r="W27" s="65"/>
      <c r="X27" s="75"/>
      <c r="Y27" s="76"/>
      <c r="Z27" s="65"/>
      <c r="AA27" s="65"/>
      <c r="AB27" s="65"/>
      <c r="AC27" s="77">
        <f t="shared" si="10"/>
        <v>0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0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0</v>
      </c>
      <c r="AQ27" s="77">
        <f t="shared" si="17"/>
        <v>105.20055823869065</v>
      </c>
      <c r="AR27" s="144">
        <f t="shared" si="18"/>
        <v>0.41581248315688002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704.98036430083596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0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0</v>
      </c>
      <c r="W28" s="77"/>
      <c r="X28" s="75">
        <v>3629</v>
      </c>
      <c r="Y28" s="77">
        <f>SUM(X28*$Y$62)</f>
        <v>0</v>
      </c>
      <c r="Z28" s="77"/>
      <c r="AA28" s="65"/>
      <c r="AB28" s="65"/>
      <c r="AC28" s="77">
        <f t="shared" si="10"/>
        <v>0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0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0</v>
      </c>
      <c r="AQ28" s="77">
        <f t="shared" si="17"/>
        <v>704.98036430083596</v>
      </c>
      <c r="AR28" s="144">
        <f t="shared" si="18"/>
        <v>2.7864836533629882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1.6394892193042698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0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0</v>
      </c>
      <c r="W29" s="65"/>
      <c r="X29" s="75"/>
      <c r="Y29" s="76"/>
      <c r="Z29" s="65"/>
      <c r="AA29" s="65"/>
      <c r="AB29" s="65"/>
      <c r="AC29" s="77">
        <f t="shared" si="10"/>
        <v>0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0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0</v>
      </c>
      <c r="AQ29" s="77">
        <f t="shared" si="17"/>
        <v>1.6394892193042698</v>
      </c>
      <c r="AR29" s="144">
        <f t="shared" si="18"/>
        <v>6.4801945427046242E-3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918.11396281039106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0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0</v>
      </c>
      <c r="W30" s="77"/>
      <c r="X30" s="75">
        <v>9004</v>
      </c>
      <c r="Y30" s="77">
        <f>SUM(X30*$Y$62)</f>
        <v>0</v>
      </c>
      <c r="Z30" s="77"/>
      <c r="AA30" s="65"/>
      <c r="AB30" s="65"/>
      <c r="AC30" s="77">
        <f t="shared" si="10"/>
        <v>0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0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0</v>
      </c>
      <c r="AQ30" s="77">
        <f t="shared" si="17"/>
        <v>918.11396281039106</v>
      </c>
      <c r="AR30" s="144">
        <f t="shared" si="18"/>
        <v>3.6289089439145892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0.81974460965213491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0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0</v>
      </c>
      <c r="W31" s="65"/>
      <c r="X31" s="75"/>
      <c r="Y31" s="76"/>
      <c r="Z31" s="65"/>
      <c r="AA31" s="65"/>
      <c r="AB31" s="65"/>
      <c r="AC31" s="77">
        <f t="shared" si="10"/>
        <v>0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0.81974460965213491</v>
      </c>
      <c r="AR31" s="144">
        <f t="shared" si="18"/>
        <v>3.2400972713523121E-3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1205.0245761886383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0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0</v>
      </c>
      <c r="W32" s="65"/>
      <c r="X32" s="75"/>
      <c r="Y32" s="76"/>
      <c r="Z32" s="65"/>
      <c r="AA32" s="65"/>
      <c r="AB32" s="65"/>
      <c r="AC32" s="77">
        <f t="shared" si="10"/>
        <v>0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0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0</v>
      </c>
      <c r="AQ32" s="77">
        <f t="shared" si="17"/>
        <v>1205.0245761886383</v>
      </c>
      <c r="AR32" s="144">
        <f t="shared" si="18"/>
        <v>4.7629429888878985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17098.506316327446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0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0</v>
      </c>
      <c r="W33" s="77"/>
      <c r="X33" s="75">
        <v>56102</v>
      </c>
      <c r="Y33" s="77">
        <f t="shared" ref="Y33:Y38" si="176">SUM(X33*$Y$62)</f>
        <v>0</v>
      </c>
      <c r="Z33" s="77"/>
      <c r="AA33" s="65"/>
      <c r="AB33" s="65"/>
      <c r="AC33" s="77">
        <f t="shared" si="10"/>
        <v>0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0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0</v>
      </c>
      <c r="AQ33" s="77">
        <f t="shared" si="17"/>
        <v>17098.506316327446</v>
      </c>
      <c r="AR33" s="144">
        <f t="shared" si="18"/>
        <v>67.583028918290296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6644.0300612305527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0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0</v>
      </c>
      <c r="W34" s="77"/>
      <c r="X34" s="75">
        <v>24794</v>
      </c>
      <c r="Y34" s="77">
        <f t="shared" si="176"/>
        <v>0</v>
      </c>
      <c r="Z34" s="77"/>
      <c r="AA34" s="65"/>
      <c r="AB34" s="65"/>
      <c r="AC34" s="77">
        <f t="shared" si="10"/>
        <v>0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0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0</v>
      </c>
      <c r="AQ34" s="77">
        <f t="shared" si="17"/>
        <v>6644.0300612305527</v>
      </c>
      <c r="AR34" s="144">
        <f t="shared" si="18"/>
        <v>26.260988384310487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8312.4835900758662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0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0</v>
      </c>
      <c r="W35" s="77"/>
      <c r="X35" s="75">
        <v>18600</v>
      </c>
      <c r="Y35" s="77">
        <f t="shared" si="176"/>
        <v>0</v>
      </c>
      <c r="Z35" s="77"/>
      <c r="AA35" s="65"/>
      <c r="AB35" s="65"/>
      <c r="AC35" s="77">
        <f t="shared" si="10"/>
        <v>0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0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0</v>
      </c>
      <c r="AQ35" s="77">
        <f t="shared" si="17"/>
        <v>8312.4835900758662</v>
      </c>
      <c r="AR35" s="144">
        <f t="shared" si="18"/>
        <v>32.85566636393623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573.00148214684225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0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0</v>
      </c>
      <c r="W36" s="77"/>
      <c r="X36" s="75">
        <v>2772</v>
      </c>
      <c r="Y36" s="77">
        <f t="shared" si="176"/>
        <v>0</v>
      </c>
      <c r="Z36" s="77"/>
      <c r="AA36" s="65"/>
      <c r="AB36" s="65"/>
      <c r="AC36" s="77">
        <f t="shared" si="10"/>
        <v>0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0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0</v>
      </c>
      <c r="AQ36" s="77">
        <f t="shared" si="17"/>
        <v>573.00148214684225</v>
      </c>
      <c r="AR36" s="144">
        <f t="shared" si="18"/>
        <v>2.2648279926752659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2709.2559349003054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0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0</v>
      </c>
      <c r="W37" s="77"/>
      <c r="X37" s="75">
        <v>6100</v>
      </c>
      <c r="Y37" s="77">
        <f t="shared" si="176"/>
        <v>0</v>
      </c>
      <c r="Z37" s="77"/>
      <c r="AA37" s="65"/>
      <c r="AB37" s="65"/>
      <c r="AC37" s="77">
        <f t="shared" si="10"/>
        <v>0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0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0</v>
      </c>
      <c r="AQ37" s="77">
        <f t="shared" si="17"/>
        <v>2709.2559349003054</v>
      </c>
      <c r="AR37" s="144">
        <f t="shared" si="18"/>
        <v>10.708521481819389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21899.477246856783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0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0</v>
      </c>
      <c r="W38" s="77"/>
      <c r="X38" s="75">
        <v>39298</v>
      </c>
      <c r="Y38" s="77">
        <f t="shared" si="176"/>
        <v>0</v>
      </c>
      <c r="Z38" s="77"/>
      <c r="AA38" s="65"/>
      <c r="AB38" s="65"/>
      <c r="AC38" s="77">
        <f t="shared" si="10"/>
        <v>0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0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0</v>
      </c>
      <c r="AQ38" s="77">
        <f t="shared" si="17"/>
        <v>21899.477246856783</v>
      </c>
      <c r="AR38" s="144">
        <f t="shared" si="18"/>
        <v>86.559198604177013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749.51982142526867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0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0</v>
      </c>
      <c r="W39" s="65"/>
      <c r="X39" s="75"/>
      <c r="Y39" s="76"/>
      <c r="Z39" s="65"/>
      <c r="AA39" s="65"/>
      <c r="AB39" s="65"/>
      <c r="AC39" s="77">
        <f t="shared" si="10"/>
        <v>0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0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0</v>
      </c>
      <c r="AQ39" s="77">
        <f t="shared" si="17"/>
        <v>749.51982142526867</v>
      </c>
      <c r="AR39" s="144">
        <f t="shared" si="18"/>
        <v>2.9625289384397973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302.75900916485512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0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0</v>
      </c>
      <c r="W40" s="65"/>
      <c r="X40" s="75"/>
      <c r="Y40" s="76"/>
      <c r="Z40" s="65"/>
      <c r="AA40" s="65"/>
      <c r="AB40" s="65"/>
      <c r="AC40" s="77">
        <f t="shared" si="10"/>
        <v>0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0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0</v>
      </c>
      <c r="AQ40" s="77">
        <f t="shared" si="17"/>
        <v>302.75900916485512</v>
      </c>
      <c r="AR40" s="144">
        <f t="shared" si="18"/>
        <v>1.196675925552787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8487.635688338205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0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0</v>
      </c>
      <c r="W41" s="77"/>
      <c r="X41" s="75">
        <v>39298</v>
      </c>
      <c r="Y41" s="77">
        <f t="shared" ref="Y41:Y44" si="226">SUM(X41*$Y$62)</f>
        <v>0</v>
      </c>
      <c r="Z41" s="77"/>
      <c r="AA41" s="65"/>
      <c r="AB41" s="65"/>
      <c r="AC41" s="77">
        <f t="shared" si="10"/>
        <v>0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0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0</v>
      </c>
      <c r="AQ41" s="77">
        <f t="shared" si="17"/>
        <v>8487.635688338205</v>
      </c>
      <c r="AR41" s="144">
        <f t="shared" si="18"/>
        <v>33.547967147581836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19775.792211451317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0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0</v>
      </c>
      <c r="W42" s="77"/>
      <c r="X42" s="75">
        <v>40212</v>
      </c>
      <c r="Y42" s="77">
        <f t="shared" si="226"/>
        <v>0</v>
      </c>
      <c r="Z42" s="77"/>
      <c r="AA42" s="65"/>
      <c r="AB42" s="65"/>
      <c r="AC42" s="77">
        <f t="shared" si="10"/>
        <v>0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0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0</v>
      </c>
      <c r="AQ42" s="77">
        <f t="shared" si="17"/>
        <v>19775.792211451317</v>
      </c>
      <c r="AR42" s="144">
        <f t="shared" si="18"/>
        <v>78.165186606526945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1760.2649251263513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0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0</v>
      </c>
      <c r="W43" s="77"/>
      <c r="X43" s="75">
        <v>10782</v>
      </c>
      <c r="Y43" s="77">
        <f t="shared" si="226"/>
        <v>0</v>
      </c>
      <c r="Z43" s="77"/>
      <c r="AA43" s="65"/>
      <c r="AB43" s="65"/>
      <c r="AC43" s="77">
        <f t="shared" si="10"/>
        <v>0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0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0</v>
      </c>
      <c r="AQ43" s="77">
        <f t="shared" si="17"/>
        <v>1760.2649251263513</v>
      </c>
      <c r="AR43" s="144">
        <f t="shared" si="18"/>
        <v>6.9575688740171984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1463.2441282290606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0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0</v>
      </c>
      <c r="W44" s="77"/>
      <c r="X44" s="75">
        <v>13791</v>
      </c>
      <c r="Y44" s="77">
        <f t="shared" si="226"/>
        <v>0</v>
      </c>
      <c r="Z44" s="77"/>
      <c r="AA44" s="65"/>
      <c r="AB44" s="65"/>
      <c r="AC44" s="77">
        <f t="shared" si="10"/>
        <v>0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0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0</v>
      </c>
      <c r="AQ44" s="77">
        <f t="shared" si="17"/>
        <v>1463.2441282290606</v>
      </c>
      <c r="AR44" s="144">
        <f t="shared" si="18"/>
        <v>5.7835736293638762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401.67485872954609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0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0</v>
      </c>
      <c r="W45" s="65"/>
      <c r="X45" s="75"/>
      <c r="Y45" s="76"/>
      <c r="Z45" s="65"/>
      <c r="AA45" s="65"/>
      <c r="AB45" s="65"/>
      <c r="AC45" s="77">
        <f t="shared" si="10"/>
        <v>0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0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0</v>
      </c>
      <c r="AQ45" s="77">
        <f t="shared" si="17"/>
        <v>401.67485872954609</v>
      </c>
      <c r="AR45" s="144">
        <f t="shared" si="18"/>
        <v>1.5876476629626328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2563.3413943822256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0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0</v>
      </c>
      <c r="W46" s="77"/>
      <c r="X46" s="75">
        <v>4699</v>
      </c>
      <c r="Y46" s="77">
        <f>SUM(X46*$Y$62)</f>
        <v>0</v>
      </c>
      <c r="Z46" s="77"/>
      <c r="AA46" s="65"/>
      <c r="AB46" s="65"/>
      <c r="AC46" s="77">
        <f t="shared" si="10"/>
        <v>0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0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0</v>
      </c>
      <c r="AQ46" s="77">
        <f t="shared" si="17"/>
        <v>2563.3413943822256</v>
      </c>
      <c r="AR46" s="144">
        <f t="shared" si="18"/>
        <v>10.131784167518678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1.6394892193042698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0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0</v>
      </c>
      <c r="W47" s="65"/>
      <c r="X47" s="75"/>
      <c r="Y47" s="76"/>
      <c r="Z47" s="65"/>
      <c r="AA47" s="65"/>
      <c r="AB47" s="65"/>
      <c r="AC47" s="77">
        <f t="shared" si="10"/>
        <v>0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0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0</v>
      </c>
      <c r="AQ47" s="77">
        <f t="shared" si="17"/>
        <v>1.6394892193042698</v>
      </c>
      <c r="AR47" s="144">
        <f t="shared" si="18"/>
        <v>6.4801945427046242E-3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0.81974460965213491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0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0</v>
      </c>
      <c r="W48" s="65"/>
      <c r="X48" s="75"/>
      <c r="Y48" s="76"/>
      <c r="Z48" s="65"/>
      <c r="AA48" s="65"/>
      <c r="AB48" s="65"/>
      <c r="AC48" s="77">
        <f t="shared" si="10"/>
        <v>0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0.81974460965213491</v>
      </c>
      <c r="AR48" s="144">
        <f t="shared" si="18"/>
        <v>3.2400972713523121E-3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21373.474455663327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0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0</v>
      </c>
      <c r="W49" s="77"/>
      <c r="X49" s="75">
        <v>143207</v>
      </c>
      <c r="Y49" s="77">
        <f>SUM(X49*$Y$62)</f>
        <v>0</v>
      </c>
      <c r="Z49" s="77"/>
      <c r="AA49" s="65"/>
      <c r="AB49" s="65"/>
      <c r="AC49" s="77">
        <f t="shared" si="10"/>
        <v>0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0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0</v>
      </c>
      <c r="AQ49" s="77">
        <f t="shared" si="17"/>
        <v>21373.474455663327</v>
      </c>
      <c r="AR49" s="144">
        <f t="shared" si="18"/>
        <v>84.480136188392592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2038.7048442048595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0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0</v>
      </c>
      <c r="W50" s="65"/>
      <c r="X50" s="75"/>
      <c r="Y50" s="76"/>
      <c r="Z50" s="65"/>
      <c r="AA50" s="65"/>
      <c r="AB50" s="65"/>
      <c r="AC50" s="77">
        <f t="shared" si="10"/>
        <v>0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0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0</v>
      </c>
      <c r="AQ50" s="77">
        <f t="shared" si="17"/>
        <v>2038.7048442048595</v>
      </c>
      <c r="AR50" s="144">
        <f t="shared" si="18"/>
        <v>8.0581219138531992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280.8991529074649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0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0</v>
      </c>
      <c r="W51" s="77"/>
      <c r="X51" s="75">
        <v>16880</v>
      </c>
      <c r="Y51" s="77">
        <f t="shared" ref="Y51:Y54" si="288">SUM(X51*$Y$62)</f>
        <v>0</v>
      </c>
      <c r="Z51" s="77"/>
      <c r="AA51" s="65"/>
      <c r="AB51" s="65"/>
      <c r="AC51" s="77">
        <f t="shared" si="10"/>
        <v>0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0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0</v>
      </c>
      <c r="AQ51" s="77">
        <f t="shared" si="17"/>
        <v>280.8991529074649</v>
      </c>
      <c r="AR51" s="144">
        <f t="shared" si="18"/>
        <v>1.1102733316500588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8591.4700055608064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0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0</v>
      </c>
      <c r="W52" s="77"/>
      <c r="X52" s="75">
        <v>12327</v>
      </c>
      <c r="Y52" s="77">
        <f t="shared" si="288"/>
        <v>0</v>
      </c>
      <c r="Z52" s="77"/>
      <c r="AA52" s="65"/>
      <c r="AB52" s="65"/>
      <c r="AC52" s="77">
        <f t="shared" si="10"/>
        <v>0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0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0</v>
      </c>
      <c r="AQ52" s="77">
        <f t="shared" si="17"/>
        <v>8591.4700055608064</v>
      </c>
      <c r="AR52" s="144">
        <f t="shared" si="18"/>
        <v>33.958379468619789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2782.2132051593458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0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0</v>
      </c>
      <c r="W53" s="77"/>
      <c r="X53" s="75">
        <v>5000</v>
      </c>
      <c r="Y53" s="77">
        <f t="shared" si="288"/>
        <v>0</v>
      </c>
      <c r="Z53" s="77"/>
      <c r="AA53" s="65"/>
      <c r="AB53" s="65"/>
      <c r="AC53" s="77">
        <f t="shared" si="10"/>
        <v>0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0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0</v>
      </c>
      <c r="AQ53" s="77">
        <f t="shared" si="17"/>
        <v>2782.2132051593458</v>
      </c>
      <c r="AR53" s="144">
        <f t="shared" si="18"/>
        <v>10.996890138969746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1568.4446864677514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0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0</v>
      </c>
      <c r="W54" s="77"/>
      <c r="X54" s="75">
        <v>2112</v>
      </c>
      <c r="Y54" s="77">
        <f t="shared" si="288"/>
        <v>0</v>
      </c>
      <c r="Z54" s="77"/>
      <c r="AA54" s="65"/>
      <c r="AB54" s="65"/>
      <c r="AC54" s="77">
        <f t="shared" si="10"/>
        <v>0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0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0</v>
      </c>
      <c r="AQ54" s="77">
        <f t="shared" si="17"/>
        <v>1568.4446864677514</v>
      </c>
      <c r="AR54" s="144">
        <f t="shared" si="18"/>
        <v>6.1993861125207568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368.8850743434607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0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0</v>
      </c>
      <c r="W55" s="65"/>
      <c r="X55" s="75"/>
      <c r="Y55" s="76"/>
      <c r="Z55" s="65"/>
      <c r="AA55" s="65"/>
      <c r="AB55" s="65"/>
      <c r="AC55" s="77">
        <f t="shared" si="10"/>
        <v>0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0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0</v>
      </c>
      <c r="AQ55" s="77">
        <f t="shared" si="17"/>
        <v>368.8850743434607</v>
      </c>
      <c r="AR55" s="144">
        <f t="shared" si="18"/>
        <v>1.4580437721085404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669.45809788257679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0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0</v>
      </c>
      <c r="W56" s="77"/>
      <c r="X56" s="75">
        <v>5198</v>
      </c>
      <c r="Y56" s="77">
        <f t="shared" ref="Y56:Y57" si="317">SUM(X56*$Y$62)</f>
        <v>0</v>
      </c>
      <c r="Z56" s="77"/>
      <c r="AA56" s="65"/>
      <c r="AB56" s="65"/>
      <c r="AC56" s="77">
        <f t="shared" si="10"/>
        <v>0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0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0</v>
      </c>
      <c r="AQ56" s="77">
        <f t="shared" si="17"/>
        <v>669.45809788257679</v>
      </c>
      <c r="AR56" s="144">
        <f t="shared" si="18"/>
        <v>2.6460794382710544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803.07646925587471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0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0</v>
      </c>
      <c r="W57" s="77"/>
      <c r="X57" s="75">
        <v>3391</v>
      </c>
      <c r="Y57" s="77">
        <f t="shared" si="317"/>
        <v>0</v>
      </c>
      <c r="Z57" s="77"/>
      <c r="AA57" s="65"/>
      <c r="AB57" s="65"/>
      <c r="AC57" s="77">
        <f t="shared" si="10"/>
        <v>0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0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0</v>
      </c>
      <c r="AQ57" s="77">
        <f t="shared" si="17"/>
        <v>803.07646925587471</v>
      </c>
      <c r="AR57" s="144">
        <f t="shared" si="18"/>
        <v>3.1742152935014811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221613.30999999994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0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0</v>
      </c>
      <c r="W60" s="142"/>
      <c r="X60" s="142">
        <f t="shared" ref="X60:Y60" si="323">SUM(X4:X58)</f>
        <v>750896</v>
      </c>
      <c r="Y60" s="142">
        <f t="shared" si="323"/>
        <v>0</v>
      </c>
      <c r="Z60" s="142"/>
      <c r="AA60" s="137"/>
      <c r="AB60" s="137"/>
      <c r="AC60" s="142">
        <f>SUM(AC4:AC58)</f>
        <v>0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0</v>
      </c>
      <c r="AI60" s="137"/>
      <c r="AJ60" s="137"/>
      <c r="AK60" s="137">
        <f t="shared" ref="AK60:AL60" si="324">SUM(AK4:AK58)</f>
        <v>85934</v>
      </c>
      <c r="AL60" s="137">
        <f t="shared" si="324"/>
        <v>84283</v>
      </c>
      <c r="AM60" s="137"/>
      <c r="AN60" s="551"/>
      <c r="AO60" s="551"/>
      <c r="AP60" s="137">
        <f t="shared" ref="AP60:AQ60" si="325">SUM(AP4:AP58)</f>
        <v>0</v>
      </c>
      <c r="AQ60" s="137">
        <f t="shared" si="325"/>
        <v>221613.30999999994</v>
      </c>
      <c r="AR60" s="137"/>
      <c r="AS60" s="552"/>
      <c r="AT60" s="552">
        <f t="shared" ref="AT60:AV60" si="326">SUM(AT4:AT58)</f>
        <v>161270</v>
      </c>
      <c r="AU60" s="137">
        <f t="shared" si="326"/>
        <v>166225</v>
      </c>
      <c r="AV60" s="137">
        <f t="shared" si="326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7">SUM(BH4:BH58)</f>
        <v>207644.18423353491</v>
      </c>
      <c r="BI60" s="149">
        <f t="shared" si="327"/>
        <v>209969.10239617669</v>
      </c>
      <c r="BJ60" s="149">
        <f t="shared" si="327"/>
        <v>212985.092719874</v>
      </c>
      <c r="BK60" s="149">
        <f t="shared" si="327"/>
        <v>217413.39925939954</v>
      </c>
      <c r="BL60" s="149">
        <f t="shared" si="327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8">SUM(BQ4:BQ58)</f>
        <v>204593.10179735644</v>
      </c>
      <c r="BR60" s="149">
        <f t="shared" si="328"/>
        <v>207579.60034224126</v>
      </c>
      <c r="BS60" s="149">
        <f t="shared" si="328"/>
        <v>214544.32675014032</v>
      </c>
      <c r="BT60" s="149">
        <f t="shared" si="328"/>
        <v>220716.12419117073</v>
      </c>
      <c r="BU60" s="149">
        <f t="shared" si="328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9">SUM(BZ4:BZ58)</f>
        <v>217861.48042414323</v>
      </c>
      <c r="CA60" s="448">
        <f t="shared" si="329"/>
        <v>220908.26068876105</v>
      </c>
      <c r="CB60" s="448">
        <f t="shared" si="329"/>
        <v>226772.14908386499</v>
      </c>
      <c r="CC60" s="448">
        <f t="shared" si="329"/>
        <v>233115.69376651</v>
      </c>
      <c r="CD60" s="448">
        <f t="shared" si="329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221613.31</v>
      </c>
      <c r="G61" s="82"/>
      <c r="H61" s="83"/>
      <c r="I61" s="83"/>
      <c r="J61" s="83"/>
      <c r="K61" s="145"/>
      <c r="L61" s="144"/>
      <c r="M61" s="146">
        <f>SUM($AQ$61-$AP$60)*M62</f>
        <v>0</v>
      </c>
      <c r="N61" s="144"/>
      <c r="O61" s="145"/>
      <c r="P61" s="145"/>
      <c r="Q61" s="146">
        <f>SUM($AQ$61-$AP$60)*Q62</f>
        <v>0</v>
      </c>
      <c r="R61" s="145"/>
      <c r="S61" s="144"/>
      <c r="T61" s="145"/>
      <c r="U61" s="145"/>
      <c r="V61" s="146">
        <f>SUM($AQ$61-$AP$60)*V62</f>
        <v>0</v>
      </c>
      <c r="W61" s="146"/>
      <c r="X61" s="53"/>
      <c r="Y61" s="74"/>
      <c r="Z61" s="146"/>
      <c r="AA61" s="145"/>
      <c r="AB61" s="145"/>
      <c r="AC61" s="146">
        <f>SUM($AQ$61-$AP$60)*AC62</f>
        <v>0</v>
      </c>
      <c r="AD61" s="145"/>
      <c r="AE61" s="145"/>
      <c r="AF61" s="145"/>
      <c r="AG61" s="145"/>
      <c r="AH61" s="146">
        <f>SUM($AQ$61-$AP$60)*AH62</f>
        <v>0</v>
      </c>
      <c r="AI61" s="145"/>
      <c r="AJ61" s="145"/>
      <c r="AK61" s="145"/>
      <c r="AL61" s="145"/>
      <c r="AM61" s="145"/>
      <c r="AN61" s="145"/>
      <c r="AO61" s="145"/>
      <c r="AP61" s="74">
        <f>'FY20-21 budget'!AD64*AP62</f>
        <v>0</v>
      </c>
      <c r="AQ61" s="74">
        <f>SUM('FY20-21 budget'!AD84*(1+AQ64))</f>
        <v>221613.31</v>
      </c>
      <c r="AR61" s="74"/>
      <c r="AS61" s="22"/>
      <c r="AT61" s="22">
        <f t="shared" ref="AT61:AV61" si="330">COUNTIF(AT4:AT58,"&gt;1")</f>
        <v>47</v>
      </c>
      <c r="AU61" s="22">
        <f t="shared" si="330"/>
        <v>47</v>
      </c>
      <c r="AV61" s="22">
        <f t="shared" si="330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Summary!Y4</f>
        <v>1</v>
      </c>
      <c r="G62" s="85"/>
      <c r="H62" s="83"/>
      <c r="I62" s="83"/>
      <c r="J62" s="83"/>
      <c r="K62" s="145"/>
      <c r="L62" s="144"/>
      <c r="M62" s="50">
        <f>Summary!Y5</f>
        <v>0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Summary!Y6</f>
        <v>0</v>
      </c>
      <c r="W62" s="50"/>
      <c r="X62" s="53"/>
      <c r="Y62" s="153">
        <v>0</v>
      </c>
      <c r="Z62" s="50"/>
      <c r="AA62" s="145"/>
      <c r="AB62" s="145"/>
      <c r="AC62" s="50">
        <f>Summary!Y7</f>
        <v>0</v>
      </c>
      <c r="AD62" s="145"/>
      <c r="AE62" s="145"/>
      <c r="AF62" s="145"/>
      <c r="AG62" s="145"/>
      <c r="AH62" s="50">
        <f>Summary!Y8</f>
        <v>0</v>
      </c>
      <c r="AI62" s="145"/>
      <c r="AJ62" s="145"/>
      <c r="AK62" s="145"/>
      <c r="AL62" s="145"/>
      <c r="AM62" s="145"/>
      <c r="AN62" s="145"/>
      <c r="AO62" s="145"/>
      <c r="AP62" s="50">
        <f>Summary!Y11</f>
        <v>0</v>
      </c>
      <c r="AQ62" s="121">
        <f>SUM(F62+V62+AC62+M62+AH62+Y62)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1">SUM(BH63*(1+$BG$63))</f>
        <v>224274.39724999992</v>
      </c>
      <c r="BJ63" s="149">
        <f t="shared" si="331"/>
        <v>229881.25718124991</v>
      </c>
      <c r="BK63" s="149">
        <f t="shared" si="331"/>
        <v>235628.28861078114</v>
      </c>
      <c r="BL63" s="149">
        <f t="shared" si="331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2">SUM(AU60-AT60)/AT60</f>
        <v>3.0724871333788057E-2</v>
      </c>
      <c r="AV64" s="44">
        <f t="shared" si="332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145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44952.881655900543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0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0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0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0</v>
      </c>
      <c r="AI69" s="145"/>
      <c r="AJ69" s="145"/>
      <c r="AK69" s="145">
        <f t="shared" ref="AK69:AL69" si="333">SUM(AK4,AK6,AK12,AK21,AK35,AK42,AK43,AK46,AK52,AK57,AK51)</f>
        <v>17416</v>
      </c>
      <c r="AL69" s="145">
        <f t="shared" si="333"/>
        <v>16351</v>
      </c>
      <c r="AM69" s="145"/>
      <c r="AN69" s="145"/>
      <c r="AO69" s="145"/>
      <c r="AP69" s="145">
        <f t="shared" ref="AP69:AQ69" si="334">SUM(AP4,AP6,AP12,AP21,AP35,AP42,AP43,AP46,AP52,AP57,AP51)</f>
        <v>0</v>
      </c>
      <c r="AQ69" s="145">
        <f t="shared" si="334"/>
        <v>44952.881655900543</v>
      </c>
      <c r="AR69" s="145"/>
      <c r="AS69" s="523"/>
      <c r="AT69" s="149" t="e">
        <f t="shared" ref="AT69:AV69" si="335">SUM(AT12,AT21,AT22,AT32,#REF!,AT43,#REF!,#REF!,AT47,#REF!,AT48)</f>
        <v>#REF!</v>
      </c>
      <c r="AU69" s="149" t="e">
        <f t="shared" si="335"/>
        <v>#REF!</v>
      </c>
      <c r="AV69" s="149" t="e">
        <f t="shared" si="335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6">SUM(BE4,BE6,BE12,BE21,BE35,BE42,BE43,BE46,BE52,BE57,BE51)</f>
        <v>13373.236666666666</v>
      </c>
      <c r="BF69" s="145">
        <f t="shared" si="336"/>
        <v>-32716.71479450534</v>
      </c>
      <c r="BG69" s="45"/>
      <c r="BH69" s="145">
        <f t="shared" ref="BH69:BL69" si="337">SUM(BH4,BH6,BH12,BH21,BH35,BH42,BH43,BH46,BH52,BH57,BH51)</f>
        <v>43354.434897089741</v>
      </c>
      <c r="BI69" s="145">
        <f t="shared" si="337"/>
        <v>42531.049885703855</v>
      </c>
      <c r="BJ69" s="145">
        <f t="shared" si="337"/>
        <v>43042.739542431598</v>
      </c>
      <c r="BK69" s="145">
        <f t="shared" si="337"/>
        <v>44727.810447919219</v>
      </c>
      <c r="BL69" s="145">
        <f t="shared" si="337"/>
        <v>46310.700973832412</v>
      </c>
      <c r="BM69" s="158"/>
      <c r="BN69" s="145">
        <f t="shared" ref="BN69:BO69" si="338">SUM(BN4,BN6,BN12,BN21,BN35,BN42,BN43,BN46,BN52,BN57,BN51)</f>
        <v>22301.22</v>
      </c>
      <c r="BO69" s="145">
        <f t="shared" si="338"/>
        <v>-22219.986461172008</v>
      </c>
      <c r="BP69" s="45"/>
      <c r="BQ69" s="145">
        <f t="shared" ref="BQ69:BU69" si="339">SUM(BQ4,BQ6,BQ12,BQ21,BQ35,BQ42,BQ43,BQ46,BQ52,BQ57,BQ51)</f>
        <v>43703.470015966814</v>
      </c>
      <c r="BR69" s="145">
        <f t="shared" si="339"/>
        <v>43483.067017919719</v>
      </c>
      <c r="BS69" s="145">
        <f t="shared" si="339"/>
        <v>44370.947824993804</v>
      </c>
      <c r="BT69" s="145">
        <f t="shared" si="339"/>
        <v>45534.804971548758</v>
      </c>
      <c r="BU69" s="145">
        <f t="shared" si="339"/>
        <v>47019.442064336086</v>
      </c>
      <c r="BV69" s="559"/>
      <c r="BW69" s="145">
        <f t="shared" ref="BW69:BX69" si="340">SUM(BW4,BW6,BW12,BW21,BW35,BW42,BW43,BW46,BW52,BW57,BW51)</f>
        <v>30661.143641844363</v>
      </c>
      <c r="BX69" s="145">
        <f t="shared" si="340"/>
        <v>-13860.062819327644</v>
      </c>
      <c r="BY69" s="45"/>
      <c r="BZ69" s="145">
        <f t="shared" ref="BZ69:CD69" si="341">SUM(BZ4,BZ6,BZ12,BZ21,BZ35,BZ42,BZ43,BZ46,BZ52,BZ57,BZ51)</f>
        <v>43389.817680819608</v>
      </c>
      <c r="CA69" s="145">
        <f t="shared" si="341"/>
        <v>42567.550701884509</v>
      </c>
      <c r="CB69" s="145">
        <f t="shared" si="341"/>
        <v>44131.373699217329</v>
      </c>
      <c r="CC69" s="145">
        <f t="shared" si="341"/>
        <v>45712.206129896382</v>
      </c>
      <c r="CD69" s="145">
        <f t="shared" si="341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H12:BL15 BQ12:BS15">
    <cfRule type="notContainsBlanks" dxfId="140" priority="1">
      <formula>LEN(TRIM(BH12))&gt;0</formula>
    </cfRule>
  </conditionalFormatting>
  <conditionalFormatting sqref="BW1:BX4 BW7:BX9 BW17:BX19 BW24:BX26 BW29:BX30 BW36:BX39 BW61:BX68 BW70:BX1000 BW49:BX53 BW11:BX11 BP1:BP34 BY1:BY34 BG1:BG34 BP36:BP45 BY36:BY45 BG36:BG45 BW56:BX59 BP47:BP1000 BY47:BY1000 BG47:BG1000">
    <cfRule type="cellIs" dxfId="139" priority="2" operator="greaterThan">
      <formula>0.05</formula>
    </cfRule>
  </conditionalFormatting>
  <conditionalFormatting sqref="BZ5:CD6 BQ48:BT48 BH47:BL48 BI44:BI45 BQ58:BT58">
    <cfRule type="notContainsBlanks" dxfId="138" priority="3">
      <formula>LEN(TRIM(BZ5))&gt;0</formula>
    </cfRule>
  </conditionalFormatting>
  <conditionalFormatting sqref="BZ20:CA23 CB23 BH41 BZ41 BZ54:CD55 BZ47:CD48 BZ10:CD10 BZ43:CD43 BH43:BH45 BZ45:CD45">
    <cfRule type="notContainsBlanks" dxfId="137" priority="4">
      <formula>LEN(TRIM(BZ20))&gt;0</formula>
    </cfRule>
  </conditionalFormatting>
  <conditionalFormatting sqref="BZ32:CC34 BZ40 BZ16 BZ12:CD15 BQ40:BR43 BH43:BH45 BZ58">
    <cfRule type="notContainsBlanks" dxfId="136" priority="5">
      <formula>LEN(TRIM(BZ32))&gt;0</formula>
    </cfRule>
  </conditionalFormatting>
  <conditionalFormatting sqref="BZ27:CA28">
    <cfRule type="notContainsBlanks" dxfId="135" priority="6">
      <formula>LEN(TRIM(BZ27))&gt;0</formula>
    </cfRule>
  </conditionalFormatting>
  <conditionalFormatting sqref="BH5:BI6 BQ5:BR6">
    <cfRule type="notContainsBlanks" dxfId="134" priority="7">
      <formula>LEN(TRIM(BH5))&gt;0</formula>
    </cfRule>
  </conditionalFormatting>
  <conditionalFormatting sqref="BJ5:BL6 BH10:BL10 BQ10:BR10">
    <cfRule type="notContainsBlanks" dxfId="133" priority="8">
      <formula>LEN(TRIM(BJ5))&gt;0</formula>
    </cfRule>
  </conditionalFormatting>
  <conditionalFormatting sqref="BI27:BI28">
    <cfRule type="notContainsBlanks" dxfId="132" priority="9">
      <formula>LEN(TRIM(BI27))&gt;0</formula>
    </cfRule>
  </conditionalFormatting>
  <conditionalFormatting sqref="BH20:BI23 BJ20:BJ21 BQ20:BR23 BS20:BS21">
    <cfRule type="notContainsBlanks" dxfId="131" priority="10">
      <formula>LEN(TRIM(BH20))&gt;0</formula>
    </cfRule>
  </conditionalFormatting>
  <conditionalFormatting sqref="BH27:BH28 BQ27:BQ28">
    <cfRule type="notContainsBlanks" dxfId="130" priority="11">
      <formula>LEN(TRIM(BH27))&gt;0</formula>
    </cfRule>
  </conditionalFormatting>
  <conditionalFormatting sqref="BH32:BJ34 BK32:BK33 BQ32:BU34 BL33 BH40:BH41 BS40:BU40 BS42:BU42">
    <cfRule type="notContainsBlanks" dxfId="129" priority="12">
      <formula>LEN(TRIM(BH32))&gt;0</formula>
    </cfRule>
  </conditionalFormatting>
  <conditionalFormatting sqref="BQ45:BS45">
    <cfRule type="notContainsBlanks" dxfId="128" priority="13">
      <formula>LEN(TRIM(BQ45))&gt;0</formula>
    </cfRule>
  </conditionalFormatting>
  <conditionalFormatting sqref="BQ47:BS47">
    <cfRule type="notContainsBlanks" dxfId="127" priority="14">
      <formula>LEN(TRIM(BQ47))&gt;0</formula>
    </cfRule>
  </conditionalFormatting>
  <conditionalFormatting sqref="BQ54">
    <cfRule type="notContainsBlanks" dxfId="126" priority="15">
      <formula>LEN(TRIM(BQ54))&gt;0</formula>
    </cfRule>
  </conditionalFormatting>
  <conditionalFormatting sqref="BI41:BK41 BJ45:BL45">
    <cfRule type="notContainsBlanks" dxfId="125" priority="16">
      <formula>LEN(TRIM(BI41))&gt;0</formula>
    </cfRule>
  </conditionalFormatting>
  <conditionalFormatting sqref="BH54:BL55">
    <cfRule type="notContainsBlanks" dxfId="124" priority="17">
      <formula>LEN(TRIM(BH54))&gt;0</formula>
    </cfRule>
  </conditionalFormatting>
  <conditionalFormatting sqref="BQ55:BR55">
    <cfRule type="notContainsBlanks" dxfId="123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hidden="1" customWidth="1"/>
    <col min="55" max="55" width="5.53125" hidden="1" customWidth="1"/>
    <col min="56" max="56" width="4.86328125" customWidth="1"/>
    <col min="57" max="57" width="14.53125" customWidth="1"/>
    <col min="58" max="58" width="9.86328125" customWidth="1"/>
    <col min="59" max="59" width="9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3"/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0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409.28832898635363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0</v>
      </c>
      <c r="W4" s="77"/>
      <c r="X4" s="75">
        <v>1988</v>
      </c>
      <c r="Y4" s="77">
        <f t="shared" ref="Y4:Y7" si="9">SUM(X4*$Y$62)</f>
        <v>0</v>
      </c>
      <c r="Z4" s="77"/>
      <c r="AA4" s="65"/>
      <c r="AB4" s="65"/>
      <c r="AC4" s="77">
        <f t="shared" ref="AC4:AC57" si="10">SUM($AC$61/$BA$61)</f>
        <v>615.59252777777783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0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</f>
        <v>0</v>
      </c>
      <c r="AQ4" s="77">
        <f t="shared" ref="AQ4:AQ57" si="17">SUM(F4+V4+AC4+M4+AH4+Y4+AP4)</f>
        <v>1024.8808567641315</v>
      </c>
      <c r="AR4" s="144">
        <f t="shared" ref="AR4:AR57" si="18">SUM(AQ4/$K$4)</f>
        <v>4.0509124773285832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0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490.7145973354173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0</v>
      </c>
      <c r="W5" s="77"/>
      <c r="X5" s="75">
        <v>3549</v>
      </c>
      <c r="Y5" s="77">
        <f t="shared" si="9"/>
        <v>0</v>
      </c>
      <c r="Z5" s="77"/>
      <c r="AA5" s="65"/>
      <c r="AB5" s="65"/>
      <c r="AC5" s="77">
        <f t="shared" si="10"/>
        <v>615.59252777777783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0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0</v>
      </c>
      <c r="AQ5" s="77">
        <f t="shared" si="17"/>
        <v>1106.3071251131951</v>
      </c>
      <c r="AR5" s="144">
        <f t="shared" si="18"/>
        <v>4.3727554352300197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0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994.37111811704347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0</v>
      </c>
      <c r="W6" s="77"/>
      <c r="X6" s="75">
        <v>7943</v>
      </c>
      <c r="Y6" s="77">
        <f t="shared" si="9"/>
        <v>0</v>
      </c>
      <c r="Z6" s="77"/>
      <c r="AA6" s="65"/>
      <c r="AB6" s="65"/>
      <c r="AC6" s="77">
        <f t="shared" si="10"/>
        <v>615.59252777777783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0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0</v>
      </c>
      <c r="AQ6" s="77">
        <f t="shared" si="17"/>
        <v>1609.9636458948212</v>
      </c>
      <c r="AR6" s="144">
        <f t="shared" si="18"/>
        <v>6.3634926715210325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0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14598.489647323535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0</v>
      </c>
      <c r="W7" s="77"/>
      <c r="X7" s="75">
        <v>91539</v>
      </c>
      <c r="Y7" s="77">
        <f t="shared" si="9"/>
        <v>0</v>
      </c>
      <c r="Z7" s="77"/>
      <c r="AA7" s="65"/>
      <c r="AB7" s="65"/>
      <c r="AC7" s="77">
        <f t="shared" si="10"/>
        <v>615.59252777777783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0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0</v>
      </c>
      <c r="AQ7" s="77">
        <f t="shared" si="17"/>
        <v>15214.082175101314</v>
      </c>
      <c r="AR7" s="144">
        <f t="shared" si="18"/>
        <v>60.134712154550648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0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4469.816810234367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0</v>
      </c>
      <c r="W8" s="65"/>
      <c r="X8" s="75"/>
      <c r="Y8" s="76"/>
      <c r="Z8" s="65"/>
      <c r="AA8" s="65"/>
      <c r="AB8" s="65"/>
      <c r="AC8" s="77">
        <f t="shared" si="10"/>
        <v>615.59252777777783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0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0</v>
      </c>
      <c r="AQ8" s="77">
        <f t="shared" si="17"/>
        <v>5085.4093380121449</v>
      </c>
      <c r="AR8" s="144">
        <f t="shared" si="18"/>
        <v>20.10043216605591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0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11731.853603988284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0</v>
      </c>
      <c r="W9" s="65"/>
      <c r="X9" s="75"/>
      <c r="Y9" s="76"/>
      <c r="Z9" s="65"/>
      <c r="AA9" s="65"/>
      <c r="AB9" s="65"/>
      <c r="AC9" s="77">
        <f t="shared" si="10"/>
        <v>615.59252777777783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0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0</v>
      </c>
      <c r="AQ9" s="77">
        <f t="shared" si="17"/>
        <v>12347.446131766061</v>
      </c>
      <c r="AR9" s="144">
        <f t="shared" si="18"/>
        <v>48.804134908166247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0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565.13065715111804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0</v>
      </c>
      <c r="W10" s="65"/>
      <c r="X10" s="75"/>
      <c r="Y10" s="76"/>
      <c r="Z10" s="65"/>
      <c r="AA10" s="65"/>
      <c r="AB10" s="65"/>
      <c r="AC10" s="77">
        <f t="shared" si="10"/>
        <v>615.59252777777783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0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</v>
      </c>
      <c r="AQ10" s="77">
        <f t="shared" si="17"/>
        <v>1180.723184928896</v>
      </c>
      <c r="AR10" s="144">
        <f t="shared" si="18"/>
        <v>4.6668900590074944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0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167.16651118019712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0</v>
      </c>
      <c r="W11" s="65"/>
      <c r="X11" s="75"/>
      <c r="Y11" s="76"/>
      <c r="Z11" s="65"/>
      <c r="AA11" s="65"/>
      <c r="AB11" s="65"/>
      <c r="AC11" s="77">
        <f t="shared" si="10"/>
        <v>615.59252777777783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0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0</v>
      </c>
      <c r="AQ11" s="77">
        <f t="shared" si="17"/>
        <v>782.75903895797501</v>
      </c>
      <c r="AR11" s="144">
        <f t="shared" si="18"/>
        <v>3.0939092448931818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0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528.46187405352634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0</v>
      </c>
      <c r="W12" s="77"/>
      <c r="X12" s="75">
        <v>7291</v>
      </c>
      <c r="Y12" s="77">
        <f>SUM(X12*$Y$62)</f>
        <v>0</v>
      </c>
      <c r="Z12" s="77"/>
      <c r="AA12" s="65"/>
      <c r="AB12" s="65"/>
      <c r="AC12" s="77">
        <f t="shared" si="10"/>
        <v>615.59252777777783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0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0</v>
      </c>
      <c r="AQ12" s="77">
        <f t="shared" si="17"/>
        <v>1144.0544018313042</v>
      </c>
      <c r="AR12" s="144">
        <f t="shared" si="18"/>
        <v>4.5219541574359852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3.2354808615522024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0</v>
      </c>
      <c r="W13" s="65"/>
      <c r="X13" s="75"/>
      <c r="Y13" s="76"/>
      <c r="Z13" s="65"/>
      <c r="AA13" s="65"/>
      <c r="AB13" s="65"/>
      <c r="AC13" s="77">
        <f t="shared" si="10"/>
        <v>615.59252777777783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0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0</v>
      </c>
      <c r="AQ13" s="77">
        <f t="shared" si="17"/>
        <v>618.82800863933005</v>
      </c>
      <c r="AR13" s="144">
        <f t="shared" si="18"/>
        <v>2.4459605084558502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0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970.10501165540188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0</v>
      </c>
      <c r="W14" s="77"/>
      <c r="X14" s="75">
        <v>6043</v>
      </c>
      <c r="Y14" s="77">
        <f t="shared" ref="Y14:Y18" si="77">SUM(X14*$Y$62)</f>
        <v>0</v>
      </c>
      <c r="Z14" s="77"/>
      <c r="AA14" s="65"/>
      <c r="AB14" s="65"/>
      <c r="AC14" s="77">
        <f t="shared" si="10"/>
        <v>615.59252777777783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0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0</v>
      </c>
      <c r="AQ14" s="77">
        <f t="shared" si="17"/>
        <v>1585.6975394331798</v>
      </c>
      <c r="AR14" s="144">
        <f t="shared" si="18"/>
        <v>6.2675792072457703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0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2570.0502976929661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0</v>
      </c>
      <c r="W15" s="77"/>
      <c r="X15" s="75">
        <v>12238</v>
      </c>
      <c r="Y15" s="77">
        <f t="shared" si="77"/>
        <v>0</v>
      </c>
      <c r="Z15" s="77"/>
      <c r="AA15" s="65"/>
      <c r="AB15" s="65"/>
      <c r="AC15" s="77">
        <f t="shared" si="10"/>
        <v>615.59252777777783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0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0</v>
      </c>
      <c r="AQ15" s="77">
        <f t="shared" si="17"/>
        <v>3185.6428254707439</v>
      </c>
      <c r="AR15" s="144">
        <f t="shared" si="18"/>
        <v>12.591473618461439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0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383.40448209393594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0</v>
      </c>
      <c r="W16" s="77"/>
      <c r="X16" s="75">
        <v>3794</v>
      </c>
      <c r="Y16" s="77">
        <f t="shared" si="77"/>
        <v>0</v>
      </c>
      <c r="Z16" s="77"/>
      <c r="AA16" s="65"/>
      <c r="AB16" s="65"/>
      <c r="AC16" s="77">
        <f t="shared" si="10"/>
        <v>615.59252777777783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0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0</v>
      </c>
      <c r="AQ16" s="77">
        <f t="shared" si="17"/>
        <v>998.99700987171377</v>
      </c>
      <c r="AR16" s="144">
        <f t="shared" si="18"/>
        <v>3.9486047821016355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0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1274.240212641309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0</v>
      </c>
      <c r="W17" s="77"/>
      <c r="X17" s="75">
        <v>5205</v>
      </c>
      <c r="Y17" s="77">
        <f t="shared" si="77"/>
        <v>0</v>
      </c>
      <c r="Z17" s="77"/>
      <c r="AA17" s="65"/>
      <c r="AB17" s="65"/>
      <c r="AC17" s="77">
        <f t="shared" si="10"/>
        <v>615.59252777777783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0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0</v>
      </c>
      <c r="AQ17" s="77">
        <f t="shared" si="17"/>
        <v>1889.8327404190868</v>
      </c>
      <c r="AR17" s="144">
        <f t="shared" si="18"/>
        <v>7.4696946261623989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0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3570.8923775331145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0</v>
      </c>
      <c r="W18" s="77"/>
      <c r="X18" s="75">
        <v>14316</v>
      </c>
      <c r="Y18" s="77">
        <f t="shared" si="77"/>
        <v>0</v>
      </c>
      <c r="Z18" s="77"/>
      <c r="AA18" s="65"/>
      <c r="AB18" s="65"/>
      <c r="AC18" s="77">
        <f t="shared" si="10"/>
        <v>615.59252777777783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0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0</v>
      </c>
      <c r="AQ18" s="77">
        <f t="shared" si="17"/>
        <v>4186.4849053108919</v>
      </c>
      <c r="AR18" s="144">
        <f t="shared" si="18"/>
        <v>16.547371167236726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0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39.365017148885123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0</v>
      </c>
      <c r="W19" s="65"/>
      <c r="X19" s="75"/>
      <c r="Y19" s="76"/>
      <c r="Z19" s="65"/>
      <c r="AA19" s="65"/>
      <c r="AB19" s="65"/>
      <c r="AC19" s="77">
        <f t="shared" si="10"/>
        <v>615.59252777777783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0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0</v>
      </c>
      <c r="AQ19" s="77">
        <f t="shared" si="17"/>
        <v>654.95754492666299</v>
      </c>
      <c r="AR19" s="144">
        <f t="shared" si="18"/>
        <v>2.5887649997101305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0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5784.5005336450786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0</v>
      </c>
      <c r="W20" s="65"/>
      <c r="X20" s="75">
        <v>22723</v>
      </c>
      <c r="Y20" s="77">
        <f t="shared" ref="Y20:Y21" si="102">SUM(X20*$Y$62)</f>
        <v>0</v>
      </c>
      <c r="Z20" s="65"/>
      <c r="AA20" s="65"/>
      <c r="AB20" s="65"/>
      <c r="AC20" s="77">
        <f t="shared" si="10"/>
        <v>615.59252777777783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0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0</v>
      </c>
      <c r="AQ20" s="77">
        <f t="shared" si="17"/>
        <v>6400.0930614228564</v>
      </c>
      <c r="AR20" s="144">
        <f t="shared" si="18"/>
        <v>25.296810519457932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0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324.08733296547894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0</v>
      </c>
      <c r="W21" s="77"/>
      <c r="X21" s="75">
        <v>2528</v>
      </c>
      <c r="Y21" s="77">
        <f t="shared" si="102"/>
        <v>0</v>
      </c>
      <c r="Z21" s="77"/>
      <c r="AA21" s="65"/>
      <c r="AB21" s="65"/>
      <c r="AC21" s="77">
        <f t="shared" si="10"/>
        <v>615.59252777777783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0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0</v>
      </c>
      <c r="AQ21" s="77">
        <f t="shared" si="17"/>
        <v>939.67986074325677</v>
      </c>
      <c r="AR21" s="144">
        <f t="shared" si="18"/>
        <v>3.7141496472065483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3.2354808615522024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0</v>
      </c>
      <c r="W22" s="65"/>
      <c r="X22" s="75"/>
      <c r="Y22" s="76"/>
      <c r="Z22" s="65"/>
      <c r="AA22" s="65"/>
      <c r="AB22" s="65"/>
      <c r="AC22" s="77">
        <f t="shared" si="10"/>
        <v>615.59252777777783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0</v>
      </c>
      <c r="AQ22" s="77">
        <f t="shared" si="17"/>
        <v>618.82800863933005</v>
      </c>
      <c r="AR22" s="144">
        <f t="shared" si="18"/>
        <v>2.4459605084558502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0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12014.958179374104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0</v>
      </c>
      <c r="W23" s="77"/>
      <c r="X23" s="75">
        <v>38682</v>
      </c>
      <c r="Y23" s="77">
        <f>SUM(X23*$Y$62)</f>
        <v>0</v>
      </c>
      <c r="Z23" s="77"/>
      <c r="AA23" s="65"/>
      <c r="AB23" s="65"/>
      <c r="AC23" s="77">
        <f t="shared" si="10"/>
        <v>615.59252777777783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0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0</v>
      </c>
      <c r="AQ23" s="77">
        <f t="shared" si="17"/>
        <v>12630.55070715188</v>
      </c>
      <c r="AR23" s="144">
        <f t="shared" si="18"/>
        <v>49.923125324710988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0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684.84344902854946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0</v>
      </c>
      <c r="W24" s="65"/>
      <c r="X24" s="75"/>
      <c r="Y24" s="76"/>
      <c r="Z24" s="65"/>
      <c r="AA24" s="65"/>
      <c r="AB24" s="65"/>
      <c r="AC24" s="77">
        <f t="shared" si="10"/>
        <v>615.59252777777783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0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0</v>
      </c>
      <c r="AQ24" s="77">
        <f t="shared" si="17"/>
        <v>1300.4359768063273</v>
      </c>
      <c r="AR24" s="144">
        <f t="shared" si="18"/>
        <v>5.1400631494321241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0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17433.310128853525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0</v>
      </c>
      <c r="W25" s="77"/>
      <c r="X25" s="75">
        <v>75861</v>
      </c>
      <c r="Y25" s="77">
        <f>SUM(X25*$Y$62)</f>
        <v>0</v>
      </c>
      <c r="Z25" s="77"/>
      <c r="AA25" s="65"/>
      <c r="AB25" s="65"/>
      <c r="AC25" s="77">
        <f t="shared" si="10"/>
        <v>615.59252777777783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0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0</v>
      </c>
      <c r="AQ25" s="77">
        <f t="shared" si="17"/>
        <v>18048.902656631304</v>
      </c>
      <c r="AR25" s="144">
        <f t="shared" si="18"/>
        <v>71.339536192218588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0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3701.9293524259783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0</v>
      </c>
      <c r="W26" s="65"/>
      <c r="X26" s="75"/>
      <c r="Y26" s="76"/>
      <c r="Z26" s="65"/>
      <c r="AA26" s="65"/>
      <c r="AB26" s="65"/>
      <c r="AC26" s="77">
        <f t="shared" si="10"/>
        <v>615.59252777777783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0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0</v>
      </c>
      <c r="AQ26" s="77">
        <f t="shared" si="17"/>
        <v>4317.5218802037562</v>
      </c>
      <c r="AR26" s="144">
        <f t="shared" si="18"/>
        <v>17.065303874323146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0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207.61002194959966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0</v>
      </c>
      <c r="W27" s="65"/>
      <c r="X27" s="75"/>
      <c r="Y27" s="76"/>
      <c r="Z27" s="65"/>
      <c r="AA27" s="65"/>
      <c r="AB27" s="65"/>
      <c r="AC27" s="77">
        <f t="shared" si="10"/>
        <v>615.59252777777783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0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0</v>
      </c>
      <c r="AQ27" s="77">
        <f t="shared" si="17"/>
        <v>823.20254972737746</v>
      </c>
      <c r="AR27" s="144">
        <f t="shared" si="18"/>
        <v>3.2537650186852862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0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505.81350802266098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0</v>
      </c>
      <c r="W28" s="77"/>
      <c r="X28" s="75">
        <v>3629</v>
      </c>
      <c r="Y28" s="77">
        <f>SUM(X28*$Y$62)</f>
        <v>0</v>
      </c>
      <c r="Z28" s="77"/>
      <c r="AA28" s="65"/>
      <c r="AB28" s="65"/>
      <c r="AC28" s="77">
        <f t="shared" si="10"/>
        <v>615.59252777777783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0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0</v>
      </c>
      <c r="AQ28" s="77">
        <f t="shared" si="17"/>
        <v>1121.4060358004388</v>
      </c>
      <c r="AR28" s="144">
        <f t="shared" si="18"/>
        <v>4.4324349241124059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3.2354808615522024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0</v>
      </c>
      <c r="W29" s="65"/>
      <c r="X29" s="75"/>
      <c r="Y29" s="76"/>
      <c r="Z29" s="65"/>
      <c r="AA29" s="65"/>
      <c r="AB29" s="65"/>
      <c r="AC29" s="77">
        <f t="shared" si="10"/>
        <v>615.59252777777783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0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0</v>
      </c>
      <c r="AQ29" s="77">
        <f t="shared" si="17"/>
        <v>618.82800863933005</v>
      </c>
      <c r="AR29" s="144">
        <f t="shared" si="18"/>
        <v>2.4459605084558502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0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1029.9614075941176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0</v>
      </c>
      <c r="W30" s="77"/>
      <c r="X30" s="75">
        <v>9004</v>
      </c>
      <c r="Y30" s="77">
        <f>SUM(X30*$Y$62)</f>
        <v>0</v>
      </c>
      <c r="Z30" s="77"/>
      <c r="AA30" s="65"/>
      <c r="AB30" s="65"/>
      <c r="AC30" s="77">
        <f t="shared" si="10"/>
        <v>615.59252777777783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0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0</v>
      </c>
      <c r="AQ30" s="77">
        <f t="shared" si="17"/>
        <v>1645.5539353718955</v>
      </c>
      <c r="AR30" s="144">
        <f t="shared" si="18"/>
        <v>6.5041657524580847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1.6177404307761012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0</v>
      </c>
      <c r="W31" s="65"/>
      <c r="X31" s="75"/>
      <c r="Y31" s="76"/>
      <c r="Z31" s="65"/>
      <c r="AA31" s="65"/>
      <c r="AB31" s="65"/>
      <c r="AC31" s="77">
        <f t="shared" si="10"/>
        <v>615.59252777777783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617.21026820855388</v>
      </c>
      <c r="AR31" s="144">
        <f t="shared" si="18"/>
        <v>2.4395662775041655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0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2378.0784332408684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0</v>
      </c>
      <c r="W32" s="65"/>
      <c r="X32" s="75"/>
      <c r="Y32" s="76"/>
      <c r="Z32" s="65"/>
      <c r="AA32" s="65"/>
      <c r="AB32" s="65"/>
      <c r="AC32" s="77">
        <f t="shared" si="10"/>
        <v>615.59252777777783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0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0</v>
      </c>
      <c r="AQ32" s="77">
        <f t="shared" si="17"/>
        <v>2993.6709610186463</v>
      </c>
      <c r="AR32" s="144">
        <f t="shared" si="18"/>
        <v>11.832691545528245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0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17058.533595723726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0</v>
      </c>
      <c r="W33" s="77"/>
      <c r="X33" s="75">
        <v>56102</v>
      </c>
      <c r="Y33" s="77">
        <f t="shared" ref="Y33:Y38" si="176">SUM(X33*$Y$62)</f>
        <v>0</v>
      </c>
      <c r="Z33" s="77"/>
      <c r="AA33" s="65"/>
      <c r="AB33" s="65"/>
      <c r="AC33" s="77">
        <f t="shared" si="10"/>
        <v>615.59252777777783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0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0</v>
      </c>
      <c r="AQ33" s="77">
        <f t="shared" si="17"/>
        <v>17674.126123501504</v>
      </c>
      <c r="AR33" s="144">
        <f t="shared" si="18"/>
        <v>69.858206021745076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0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4888.2723349951184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0</v>
      </c>
      <c r="W34" s="77"/>
      <c r="X34" s="75">
        <v>24794</v>
      </c>
      <c r="Y34" s="77">
        <f t="shared" si="176"/>
        <v>0</v>
      </c>
      <c r="Z34" s="77"/>
      <c r="AA34" s="65"/>
      <c r="AB34" s="65"/>
      <c r="AC34" s="77">
        <f t="shared" si="10"/>
        <v>615.59252777777783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0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0</v>
      </c>
      <c r="AQ34" s="77">
        <f t="shared" si="17"/>
        <v>5503.8648627728962</v>
      </c>
      <c r="AR34" s="144">
        <f t="shared" si="18"/>
        <v>21.754406572224887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0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6535.6713403354488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0</v>
      </c>
      <c r="W35" s="77"/>
      <c r="X35" s="75">
        <v>18600</v>
      </c>
      <c r="Y35" s="77">
        <f t="shared" si="176"/>
        <v>0</v>
      </c>
      <c r="Z35" s="77"/>
      <c r="AA35" s="65"/>
      <c r="AB35" s="65"/>
      <c r="AC35" s="77">
        <f t="shared" si="10"/>
        <v>615.59252777777783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0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0</v>
      </c>
      <c r="AQ35" s="77">
        <f t="shared" si="17"/>
        <v>7151.2638681132266</v>
      </c>
      <c r="AR35" s="144">
        <f t="shared" si="18"/>
        <v>28.265865091356627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0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196.28583893416695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0</v>
      </c>
      <c r="W36" s="77"/>
      <c r="X36" s="75">
        <v>2772</v>
      </c>
      <c r="Y36" s="77">
        <f t="shared" si="176"/>
        <v>0</v>
      </c>
      <c r="Z36" s="77"/>
      <c r="AA36" s="65"/>
      <c r="AB36" s="65"/>
      <c r="AC36" s="77">
        <f t="shared" si="10"/>
        <v>615.59252777777783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0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0</v>
      </c>
      <c r="AQ36" s="77">
        <f t="shared" si="17"/>
        <v>811.87836671194475</v>
      </c>
      <c r="AR36" s="144">
        <f t="shared" si="18"/>
        <v>3.209005402023497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0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1765.4940567869849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0</v>
      </c>
      <c r="W37" s="77"/>
      <c r="X37" s="75">
        <v>6100</v>
      </c>
      <c r="Y37" s="77">
        <f t="shared" si="176"/>
        <v>0</v>
      </c>
      <c r="Z37" s="77"/>
      <c r="AA37" s="65"/>
      <c r="AB37" s="65"/>
      <c r="AC37" s="77">
        <f t="shared" si="10"/>
        <v>615.59252777777783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0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0</v>
      </c>
      <c r="AQ37" s="77">
        <f t="shared" si="17"/>
        <v>2381.0865845647627</v>
      </c>
      <c r="AR37" s="144">
        <f t="shared" si="18"/>
        <v>9.4114094251571654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0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9244.8473150751597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0</v>
      </c>
      <c r="W38" s="77"/>
      <c r="X38" s="75">
        <v>39298</v>
      </c>
      <c r="Y38" s="77">
        <f t="shared" si="176"/>
        <v>0</v>
      </c>
      <c r="Z38" s="77"/>
      <c r="AA38" s="65"/>
      <c r="AB38" s="65"/>
      <c r="AC38" s="77">
        <f t="shared" si="10"/>
        <v>615.59252777777783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0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0</v>
      </c>
      <c r="AQ38" s="77">
        <f t="shared" si="17"/>
        <v>9860.4398428529385</v>
      </c>
      <c r="AR38" s="144">
        <f t="shared" si="18"/>
        <v>38.974070525110427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0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1479.1540005396153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0</v>
      </c>
      <c r="W39" s="65"/>
      <c r="X39" s="75"/>
      <c r="Y39" s="76"/>
      <c r="Z39" s="65"/>
      <c r="AA39" s="65"/>
      <c r="AB39" s="65"/>
      <c r="AC39" s="77">
        <f t="shared" si="10"/>
        <v>615.59252777777783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0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0</v>
      </c>
      <c r="AQ39" s="77">
        <f t="shared" si="17"/>
        <v>2094.7465283173933</v>
      </c>
      <c r="AR39" s="144">
        <f t="shared" si="18"/>
        <v>8.2796305467090647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0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597.48546576664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0</v>
      </c>
      <c r="W40" s="65"/>
      <c r="X40" s="75"/>
      <c r="Y40" s="76"/>
      <c r="Z40" s="65"/>
      <c r="AA40" s="65"/>
      <c r="AB40" s="65"/>
      <c r="AC40" s="77">
        <f t="shared" si="10"/>
        <v>615.59252777777783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0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0</v>
      </c>
      <c r="AQ40" s="77">
        <f t="shared" si="17"/>
        <v>1213.077993544418</v>
      </c>
      <c r="AR40" s="144">
        <f t="shared" si="18"/>
        <v>4.7947746780411773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0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5703.6135121062734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0</v>
      </c>
      <c r="W41" s="77"/>
      <c r="X41" s="75">
        <v>39298</v>
      </c>
      <c r="Y41" s="77">
        <f t="shared" ref="Y41:Y44" si="226">SUM(X41*$Y$62)</f>
        <v>0</v>
      </c>
      <c r="Z41" s="77"/>
      <c r="AA41" s="65"/>
      <c r="AB41" s="65"/>
      <c r="AC41" s="77">
        <f t="shared" si="10"/>
        <v>615.59252777777783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0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0</v>
      </c>
      <c r="AQ41" s="77">
        <f t="shared" si="17"/>
        <v>6319.2060398840513</v>
      </c>
      <c r="AR41" s="144">
        <f t="shared" si="18"/>
        <v>24.977098971873719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0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11657.437544172584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0</v>
      </c>
      <c r="W42" s="77"/>
      <c r="X42" s="75">
        <v>40212</v>
      </c>
      <c r="Y42" s="77">
        <f t="shared" si="226"/>
        <v>0</v>
      </c>
      <c r="Z42" s="77"/>
      <c r="AA42" s="65"/>
      <c r="AB42" s="65"/>
      <c r="AC42" s="77">
        <f t="shared" si="10"/>
        <v>615.59252777777783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0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0</v>
      </c>
      <c r="AQ42" s="77">
        <f t="shared" si="17"/>
        <v>12273.030071950361</v>
      </c>
      <c r="AR42" s="144">
        <f t="shared" si="18"/>
        <v>48.510000284388781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0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968.48727122462572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0</v>
      </c>
      <c r="W43" s="77"/>
      <c r="X43" s="75">
        <v>10782</v>
      </c>
      <c r="Y43" s="77">
        <f t="shared" si="226"/>
        <v>0</v>
      </c>
      <c r="Z43" s="77"/>
      <c r="AA43" s="65"/>
      <c r="AB43" s="65"/>
      <c r="AC43" s="77">
        <f t="shared" si="10"/>
        <v>615.59252777777783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0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0</v>
      </c>
      <c r="AQ43" s="77">
        <f t="shared" si="17"/>
        <v>1584.0797990024034</v>
      </c>
      <c r="AR43" s="144">
        <f t="shared" si="18"/>
        <v>6.2611849762940848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0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2098.2093387166033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0</v>
      </c>
      <c r="W44" s="77"/>
      <c r="X44" s="75">
        <v>13791</v>
      </c>
      <c r="Y44" s="77">
        <f t="shared" si="226"/>
        <v>0</v>
      </c>
      <c r="Z44" s="77"/>
      <c r="AA44" s="65"/>
      <c r="AB44" s="65"/>
      <c r="AC44" s="77">
        <f t="shared" si="10"/>
        <v>615.59252777777783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0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0</v>
      </c>
      <c r="AQ44" s="77">
        <f t="shared" si="17"/>
        <v>2713.8018664943811</v>
      </c>
      <c r="AR44" s="144">
        <f t="shared" si="18"/>
        <v>10.726489590886882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0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792.69281108028952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0</v>
      </c>
      <c r="W45" s="65"/>
      <c r="X45" s="75"/>
      <c r="Y45" s="76"/>
      <c r="Z45" s="65"/>
      <c r="AA45" s="65"/>
      <c r="AB45" s="65"/>
      <c r="AC45" s="77">
        <f t="shared" si="10"/>
        <v>615.59252777777783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0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0</v>
      </c>
      <c r="AQ45" s="77">
        <f t="shared" si="17"/>
        <v>1408.2853388580675</v>
      </c>
      <c r="AR45" s="144">
        <f t="shared" si="18"/>
        <v>5.5663452128777369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0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1582.6893881092856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0</v>
      </c>
      <c r="W46" s="77"/>
      <c r="X46" s="75">
        <v>4699</v>
      </c>
      <c r="Y46" s="77">
        <f>SUM(X46*$Y$62)</f>
        <v>0</v>
      </c>
      <c r="Z46" s="77"/>
      <c r="AA46" s="65"/>
      <c r="AB46" s="65"/>
      <c r="AC46" s="77">
        <f t="shared" si="10"/>
        <v>615.59252777777783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0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0</v>
      </c>
      <c r="AQ46" s="77">
        <f t="shared" si="17"/>
        <v>2198.2819158870634</v>
      </c>
      <c r="AR46" s="144">
        <f t="shared" si="18"/>
        <v>8.688861327616852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3.2354808615522024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0</v>
      </c>
      <c r="W47" s="65"/>
      <c r="X47" s="75"/>
      <c r="Y47" s="76"/>
      <c r="Z47" s="65"/>
      <c r="AA47" s="65"/>
      <c r="AB47" s="65"/>
      <c r="AC47" s="77">
        <f t="shared" si="10"/>
        <v>615.59252777777783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0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0</v>
      </c>
      <c r="AQ47" s="77">
        <f t="shared" si="17"/>
        <v>618.82800863933005</v>
      </c>
      <c r="AR47" s="144">
        <f t="shared" si="18"/>
        <v>2.4459605084558502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1.6177404307761012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0</v>
      </c>
      <c r="W48" s="65"/>
      <c r="X48" s="75"/>
      <c r="Y48" s="76"/>
      <c r="Z48" s="65"/>
      <c r="AA48" s="65"/>
      <c r="AB48" s="65"/>
      <c r="AC48" s="77">
        <f t="shared" si="10"/>
        <v>615.59252777777783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617.21026820855388</v>
      </c>
      <c r="AR48" s="144">
        <f t="shared" si="18"/>
        <v>2.4395662775041655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0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24281.744619139019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0</v>
      </c>
      <c r="W49" s="77"/>
      <c r="X49" s="75">
        <v>143207</v>
      </c>
      <c r="Y49" s="77">
        <f>SUM(X49*$Y$62)</f>
        <v>0</v>
      </c>
      <c r="Z49" s="77"/>
      <c r="AA49" s="65"/>
      <c r="AB49" s="65"/>
      <c r="AC49" s="77">
        <f t="shared" si="10"/>
        <v>615.59252777777783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0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0</v>
      </c>
      <c r="AQ49" s="77">
        <f t="shared" si="17"/>
        <v>24897.337146916798</v>
      </c>
      <c r="AR49" s="144">
        <f t="shared" si="18"/>
        <v>98.40844722101501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0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4023.3204513401638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0</v>
      </c>
      <c r="W50" s="65"/>
      <c r="X50" s="75"/>
      <c r="Y50" s="76"/>
      <c r="Z50" s="65"/>
      <c r="AA50" s="65"/>
      <c r="AB50" s="65"/>
      <c r="AC50" s="77">
        <f t="shared" si="10"/>
        <v>615.59252777777783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0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0</v>
      </c>
      <c r="AQ50" s="77">
        <f t="shared" si="17"/>
        <v>4638.9129791179421</v>
      </c>
      <c r="AR50" s="144">
        <f t="shared" si="18"/>
        <v>18.335624423391074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0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149.9106132519187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0</v>
      </c>
      <c r="W51" s="77"/>
      <c r="X51" s="75">
        <v>16880</v>
      </c>
      <c r="Y51" s="77">
        <f t="shared" ref="Y51:Y54" si="288">SUM(X51*$Y$62)</f>
        <v>0</v>
      </c>
      <c r="Z51" s="77"/>
      <c r="AA51" s="65"/>
      <c r="AB51" s="65"/>
      <c r="AC51" s="77">
        <f t="shared" si="10"/>
        <v>615.59252777777783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0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0</v>
      </c>
      <c r="AQ51" s="77">
        <f t="shared" si="17"/>
        <v>765.50314102969651</v>
      </c>
      <c r="AR51" s="144">
        <f t="shared" si="18"/>
        <v>3.0257041147418833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0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2317.6827904918946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0</v>
      </c>
      <c r="W52" s="77"/>
      <c r="X52" s="75">
        <v>12327</v>
      </c>
      <c r="Y52" s="77">
        <f t="shared" si="288"/>
        <v>0</v>
      </c>
      <c r="Z52" s="77"/>
      <c r="AA52" s="65"/>
      <c r="AB52" s="65"/>
      <c r="AC52" s="77">
        <f t="shared" si="10"/>
        <v>615.59252777777783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0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0</v>
      </c>
      <c r="AQ52" s="77">
        <f t="shared" si="17"/>
        <v>2933.2753182696724</v>
      </c>
      <c r="AR52" s="144">
        <f t="shared" si="18"/>
        <v>11.593973589998706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0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2008.1551214034002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0</v>
      </c>
      <c r="W53" s="77"/>
      <c r="X53" s="75">
        <v>5000</v>
      </c>
      <c r="Y53" s="77">
        <f t="shared" si="288"/>
        <v>0</v>
      </c>
      <c r="Z53" s="77"/>
      <c r="AA53" s="65"/>
      <c r="AB53" s="65"/>
      <c r="AC53" s="77">
        <f t="shared" si="10"/>
        <v>615.59252777777783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0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0</v>
      </c>
      <c r="AQ53" s="77">
        <f t="shared" si="17"/>
        <v>2623.7476491811781</v>
      </c>
      <c r="AR53" s="144">
        <f t="shared" si="18"/>
        <v>10.370544067909794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0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1782.2107079050049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0</v>
      </c>
      <c r="W54" s="77"/>
      <c r="X54" s="75">
        <v>2112</v>
      </c>
      <c r="Y54" s="77">
        <f t="shared" si="288"/>
        <v>0</v>
      </c>
      <c r="Z54" s="77"/>
      <c r="AA54" s="65"/>
      <c r="AB54" s="65"/>
      <c r="AC54" s="77">
        <f t="shared" si="10"/>
        <v>615.59252777777783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0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0</v>
      </c>
      <c r="AQ54" s="77">
        <f t="shared" si="17"/>
        <v>2397.8032356827825</v>
      </c>
      <c r="AR54" s="144">
        <f t="shared" si="18"/>
        <v>9.4774831449912362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0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727.98319384924548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0</v>
      </c>
      <c r="W55" s="65"/>
      <c r="X55" s="75"/>
      <c r="Y55" s="76"/>
      <c r="Z55" s="65"/>
      <c r="AA55" s="65"/>
      <c r="AB55" s="65"/>
      <c r="AC55" s="77">
        <f t="shared" si="10"/>
        <v>615.59252777777783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0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0</v>
      </c>
      <c r="AQ55" s="77">
        <f t="shared" si="17"/>
        <v>1343.5757216270233</v>
      </c>
      <c r="AR55" s="144">
        <f t="shared" si="18"/>
        <v>5.3105759748103685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0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1069.3264247430027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0</v>
      </c>
      <c r="W56" s="77"/>
      <c r="X56" s="75">
        <v>5198</v>
      </c>
      <c r="Y56" s="77">
        <f t="shared" ref="Y56:Y57" si="317">SUM(X56*$Y$62)</f>
        <v>0</v>
      </c>
      <c r="Z56" s="77"/>
      <c r="AA56" s="65"/>
      <c r="AB56" s="65"/>
      <c r="AC56" s="77">
        <f t="shared" si="10"/>
        <v>615.59252777777783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0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0</v>
      </c>
      <c r="AQ56" s="77">
        <f t="shared" si="17"/>
        <v>1684.9189525207805</v>
      </c>
      <c r="AR56" s="144">
        <f t="shared" si="18"/>
        <v>6.659758705615733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0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597.48546576664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0</v>
      </c>
      <c r="W57" s="77"/>
      <c r="X57" s="75">
        <v>3391</v>
      </c>
      <c r="Y57" s="77">
        <f t="shared" si="317"/>
        <v>0</v>
      </c>
      <c r="Z57" s="77"/>
      <c r="AA57" s="65"/>
      <c r="AB57" s="65"/>
      <c r="AC57" s="77">
        <f t="shared" si="10"/>
        <v>615.59252777777783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0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0</v>
      </c>
      <c r="AQ57" s="77">
        <f t="shared" si="17"/>
        <v>1213.077993544418</v>
      </c>
      <c r="AR57" s="144">
        <f t="shared" si="18"/>
        <v>4.7947746780411773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0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188371.31349999996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0</v>
      </c>
      <c r="W60" s="142"/>
      <c r="X60" s="142">
        <f t="shared" ref="X60:Y60" si="323">SUM(X4:X58)</f>
        <v>750896</v>
      </c>
      <c r="Y60" s="142">
        <f t="shared" si="323"/>
        <v>0</v>
      </c>
      <c r="Z60" s="142"/>
      <c r="AA60" s="137"/>
      <c r="AB60" s="137"/>
      <c r="AC60" s="142">
        <f>SUM(AC4:AC58)</f>
        <v>33241.996500000037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0</v>
      </c>
      <c r="AI60" s="137"/>
      <c r="AJ60" s="137"/>
      <c r="AK60" s="137">
        <f t="shared" ref="AK60:AL60" si="324">SUM(AK4:AK58)</f>
        <v>85934</v>
      </c>
      <c r="AL60" s="137">
        <f t="shared" si="324"/>
        <v>84283</v>
      </c>
      <c r="AM60" s="137"/>
      <c r="AN60" s="551"/>
      <c r="AO60" s="551"/>
      <c r="AP60" s="137">
        <f t="shared" ref="AP60:AQ60" si="325">SUM(AP4:AP58)</f>
        <v>0</v>
      </c>
      <c r="AQ60" s="137">
        <f t="shared" si="325"/>
        <v>221613.31000000003</v>
      </c>
      <c r="AR60" s="137"/>
      <c r="AS60" s="552"/>
      <c r="AT60" s="552">
        <f t="shared" ref="AT60:AV60" si="326">SUM(AT4:AT58)</f>
        <v>161270</v>
      </c>
      <c r="AU60" s="137">
        <f t="shared" si="326"/>
        <v>166225</v>
      </c>
      <c r="AV60" s="137">
        <f t="shared" si="326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7">SUM(BH4:BH58)</f>
        <v>207644.18423353491</v>
      </c>
      <c r="BI60" s="149">
        <f t="shared" si="327"/>
        <v>209969.10239617669</v>
      </c>
      <c r="BJ60" s="149">
        <f t="shared" si="327"/>
        <v>212985.092719874</v>
      </c>
      <c r="BK60" s="149">
        <f t="shared" si="327"/>
        <v>217413.39925939954</v>
      </c>
      <c r="BL60" s="149">
        <f t="shared" si="327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8">SUM(BQ4:BQ58)</f>
        <v>204593.10179735644</v>
      </c>
      <c r="BR60" s="149">
        <f t="shared" si="328"/>
        <v>207579.60034224126</v>
      </c>
      <c r="BS60" s="149">
        <f t="shared" si="328"/>
        <v>214544.32675014032</v>
      </c>
      <c r="BT60" s="149">
        <f t="shared" si="328"/>
        <v>220716.12419117073</v>
      </c>
      <c r="BU60" s="149">
        <f t="shared" si="328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9">SUM(BZ4:BZ58)</f>
        <v>217861.48042414323</v>
      </c>
      <c r="CA60" s="448">
        <f t="shared" si="329"/>
        <v>220908.26068876105</v>
      </c>
      <c r="CB60" s="448">
        <f t="shared" si="329"/>
        <v>226772.14908386499</v>
      </c>
      <c r="CC60" s="448">
        <f t="shared" si="329"/>
        <v>233115.69376651</v>
      </c>
      <c r="CD60" s="448">
        <f t="shared" si="329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0</v>
      </c>
      <c r="G61" s="82"/>
      <c r="H61" s="83"/>
      <c r="I61" s="83"/>
      <c r="J61" s="83"/>
      <c r="K61" s="145"/>
      <c r="L61" s="144"/>
      <c r="M61" s="146">
        <f>SUM((AQ61-AP60)*M62)</f>
        <v>188371.31349999999</v>
      </c>
      <c r="N61" s="144"/>
      <c r="O61" s="145"/>
      <c r="P61" s="145"/>
      <c r="Q61" s="146">
        <v>0</v>
      </c>
      <c r="R61" s="145"/>
      <c r="S61" s="144"/>
      <c r="T61" s="145"/>
      <c r="U61" s="145"/>
      <c r="V61" s="146">
        <f>SUM(AQ61-'Options 1-3'!$AP$60)*V62</f>
        <v>0</v>
      </c>
      <c r="W61" s="146"/>
      <c r="X61" s="53"/>
      <c r="Y61" s="74"/>
      <c r="Z61" s="146"/>
      <c r="AA61" s="145"/>
      <c r="AB61" s="145"/>
      <c r="AC61" s="146">
        <f>SUM(AQ61-AP60)*AC62</f>
        <v>33241.996500000001</v>
      </c>
      <c r="AD61" s="145"/>
      <c r="AE61" s="145"/>
      <c r="AF61" s="145"/>
      <c r="AG61" s="145"/>
      <c r="AH61" s="146">
        <f>SUM(AQ61-'Options 1-3'!$AP$60)*AH62</f>
        <v>0</v>
      </c>
      <c r="AI61" s="145"/>
      <c r="AJ61" s="145"/>
      <c r="AK61" s="145"/>
      <c r="AL61" s="145"/>
      <c r="AM61" s="145"/>
      <c r="AN61" s="145"/>
      <c r="AO61" s="145"/>
      <c r="AP61" s="74">
        <v>0</v>
      </c>
      <c r="AQ61" s="74">
        <f>SUM('FY20-21 budget'!AD84*(1+AQ64))</f>
        <v>221613.31</v>
      </c>
      <c r="AR61" s="74"/>
      <c r="AS61" s="22"/>
      <c r="AT61" s="22">
        <f t="shared" ref="AT61:AV61" si="330">COUNTIF(AT4:AT58,"&gt;1")</f>
        <v>47</v>
      </c>
      <c r="AU61" s="22">
        <f t="shared" si="330"/>
        <v>47</v>
      </c>
      <c r="AV61" s="22">
        <f t="shared" si="330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Summary!AK4</f>
        <v>0</v>
      </c>
      <c r="G62" s="85"/>
      <c r="H62" s="83"/>
      <c r="I62" s="83"/>
      <c r="J62" s="83"/>
      <c r="K62" s="145"/>
      <c r="L62" s="144"/>
      <c r="M62" s="50">
        <f>Summary!AK5</f>
        <v>0.85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Summary!AK6</f>
        <v>0</v>
      </c>
      <c r="W62" s="50"/>
      <c r="X62" s="53"/>
      <c r="Y62" s="153">
        <v>0</v>
      </c>
      <c r="Z62" s="50"/>
      <c r="AA62" s="145"/>
      <c r="AB62" s="145"/>
      <c r="AC62" s="50">
        <f>Summary!AK7</f>
        <v>0.15</v>
      </c>
      <c r="AD62" s="145"/>
      <c r="AE62" s="145"/>
      <c r="AF62" s="145"/>
      <c r="AG62" s="145"/>
      <c r="AH62" s="50">
        <f>Summary!AK8</f>
        <v>0</v>
      </c>
      <c r="AI62" s="145"/>
      <c r="AJ62" s="145"/>
      <c r="AK62" s="145"/>
      <c r="AL62" s="145"/>
      <c r="AM62" s="145"/>
      <c r="AN62" s="145"/>
      <c r="AO62" s="145"/>
      <c r="AP62" s="50">
        <f>Summary!AK11</f>
        <v>0</v>
      </c>
      <c r="AQ62" s="121">
        <f>SUM(V62+AC62+M62+AH62+Y62)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1">SUM(BH63*(1+$BG$63))</f>
        <v>224274.39724999992</v>
      </c>
      <c r="BJ63" s="149">
        <f t="shared" si="331"/>
        <v>229881.25718124991</v>
      </c>
      <c r="BK63" s="149">
        <f t="shared" si="331"/>
        <v>235628.28861078114</v>
      </c>
      <c r="BL63" s="149">
        <f t="shared" si="331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2">SUM(AU60-AT60)/AT60</f>
        <v>3.0724871333788057E-2</v>
      </c>
      <c r="AV64" s="44">
        <f t="shared" si="332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145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0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26065.573067474801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0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6771.5178055555562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0</v>
      </c>
      <c r="AI69" s="145"/>
      <c r="AJ69" s="145"/>
      <c r="AK69" s="145">
        <f t="shared" ref="AK69:AL69" si="333">SUM(AK4,AK6,AK12,AK21,AK35,AK42,AK43,AK46,AK52,AK57,AK51)</f>
        <v>17416</v>
      </c>
      <c r="AL69" s="145">
        <f t="shared" si="333"/>
        <v>16351</v>
      </c>
      <c r="AM69" s="145"/>
      <c r="AN69" s="145"/>
      <c r="AO69" s="145"/>
      <c r="AP69" s="145">
        <f t="shared" ref="AP69:AQ69" si="334">SUM(AP4,AP6,AP12,AP21,AP35,AP42,AP43,AP46,AP52,AP57,AP51)</f>
        <v>0</v>
      </c>
      <c r="AQ69" s="145">
        <f t="shared" si="334"/>
        <v>32837.090873030356</v>
      </c>
      <c r="AR69" s="145"/>
      <c r="AS69" s="523"/>
      <c r="AT69" s="149" t="e">
        <f t="shared" ref="AT69:AV69" si="335">SUM(AT12,AT21,AT22,AT32,#REF!,AT43,#REF!,#REF!,AT47,#REF!,AT48)</f>
        <v>#REF!</v>
      </c>
      <c r="AU69" s="149" t="e">
        <f t="shared" si="335"/>
        <v>#REF!</v>
      </c>
      <c r="AV69" s="149" t="e">
        <f t="shared" si="335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6">SUM(BE4,BE6,BE12,BE21,BE35,BE42,BE43,BE46,BE52,BE57,BE51)</f>
        <v>13373.236666666666</v>
      </c>
      <c r="BF69" s="145">
        <f t="shared" si="336"/>
        <v>-32716.71479450534</v>
      </c>
      <c r="BG69" s="45"/>
      <c r="BH69" s="145">
        <f t="shared" ref="BH69:BL69" si="337">SUM(BH4,BH6,BH12,BH21,BH35,BH42,BH43,BH46,BH52,BH57,BH51)</f>
        <v>43354.434897089741</v>
      </c>
      <c r="BI69" s="145">
        <f t="shared" si="337"/>
        <v>42531.049885703855</v>
      </c>
      <c r="BJ69" s="145">
        <f t="shared" si="337"/>
        <v>43042.739542431598</v>
      </c>
      <c r="BK69" s="145">
        <f t="shared" si="337"/>
        <v>44727.810447919219</v>
      </c>
      <c r="BL69" s="145">
        <f t="shared" si="337"/>
        <v>46310.700973832412</v>
      </c>
      <c r="BM69" s="158"/>
      <c r="BN69" s="145">
        <f t="shared" ref="BN69:BO69" si="338">SUM(BN4,BN6,BN12,BN21,BN35,BN42,BN43,BN46,BN52,BN57,BN51)</f>
        <v>22301.22</v>
      </c>
      <c r="BO69" s="145">
        <f t="shared" si="338"/>
        <v>-22219.986461172008</v>
      </c>
      <c r="BP69" s="45"/>
      <c r="BQ69" s="145">
        <f t="shared" ref="BQ69:BU69" si="339">SUM(BQ4,BQ6,BQ12,BQ21,BQ35,BQ42,BQ43,BQ46,BQ52,BQ57,BQ51)</f>
        <v>43703.470015966814</v>
      </c>
      <c r="BR69" s="145">
        <f t="shared" si="339"/>
        <v>43483.067017919719</v>
      </c>
      <c r="BS69" s="145">
        <f t="shared" si="339"/>
        <v>44370.947824993804</v>
      </c>
      <c r="BT69" s="145">
        <f t="shared" si="339"/>
        <v>45534.804971548758</v>
      </c>
      <c r="BU69" s="145">
        <f t="shared" si="339"/>
        <v>47019.442064336086</v>
      </c>
      <c r="BV69" s="559"/>
      <c r="BW69" s="145">
        <f t="shared" ref="BW69:BX69" si="340">SUM(BW4,BW6,BW12,BW21,BW35,BW42,BW43,BW46,BW52,BW57,BW51)</f>
        <v>30661.143641844363</v>
      </c>
      <c r="BX69" s="145">
        <f t="shared" si="340"/>
        <v>-13860.062819327644</v>
      </c>
      <c r="BY69" s="45"/>
      <c r="BZ69" s="145">
        <f t="shared" ref="BZ69:CD69" si="341">SUM(BZ4,BZ6,BZ12,BZ21,BZ35,BZ42,BZ43,BZ46,BZ52,BZ57,BZ51)</f>
        <v>43389.817680819608</v>
      </c>
      <c r="CA69" s="145">
        <f t="shared" si="341"/>
        <v>42567.550701884509</v>
      </c>
      <c r="CB69" s="145">
        <f t="shared" si="341"/>
        <v>44131.373699217329</v>
      </c>
      <c r="CC69" s="145">
        <f t="shared" si="341"/>
        <v>45712.206129896382</v>
      </c>
      <c r="CD69" s="145">
        <f t="shared" si="341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122" priority="1" operator="greaterThan">
      <formula>0.05</formula>
    </cfRule>
  </conditionalFormatting>
  <conditionalFormatting sqref="BZ5:CD6 BQ48:BT48 BH47:BL48 BI44:BI45 BQ58:BT58">
    <cfRule type="notContainsBlanks" dxfId="121" priority="2">
      <formula>LEN(TRIM(BZ5))&gt;0</formula>
    </cfRule>
  </conditionalFormatting>
  <conditionalFormatting sqref="BZ20:CA23 CB23 BH41 BZ41 BZ54:CD55 BZ47:CD48 BZ10:CD10 BZ43:CD43 BH43:BH45 BZ45:CD45">
    <cfRule type="notContainsBlanks" dxfId="120" priority="3">
      <formula>LEN(TRIM(BZ20))&gt;0</formula>
    </cfRule>
  </conditionalFormatting>
  <conditionalFormatting sqref="BZ32:CC34 BZ40 BZ16 BZ12:CD15 BQ40:BR43 BH43:BH45 BZ58">
    <cfRule type="notContainsBlanks" dxfId="119" priority="4">
      <formula>LEN(TRIM(BZ32))&gt;0</formula>
    </cfRule>
  </conditionalFormatting>
  <conditionalFormatting sqref="BZ27:CA28">
    <cfRule type="notContainsBlanks" dxfId="118" priority="5">
      <formula>LEN(TRIM(BZ27))&gt;0</formula>
    </cfRule>
  </conditionalFormatting>
  <conditionalFormatting sqref="BH5:BI6 BQ5:BR6">
    <cfRule type="notContainsBlanks" dxfId="117" priority="6">
      <formula>LEN(TRIM(BH5))&gt;0</formula>
    </cfRule>
  </conditionalFormatting>
  <conditionalFormatting sqref="BJ5:BL6 BH10:BL10 BQ10:BR10">
    <cfRule type="notContainsBlanks" dxfId="116" priority="7">
      <formula>LEN(TRIM(BJ5))&gt;0</formula>
    </cfRule>
  </conditionalFormatting>
  <conditionalFormatting sqref="BI27:BI28">
    <cfRule type="notContainsBlanks" dxfId="115" priority="8">
      <formula>LEN(TRIM(BI27))&gt;0</formula>
    </cfRule>
  </conditionalFormatting>
  <conditionalFormatting sqref="BH12:BL15 BQ12:BS15">
    <cfRule type="notContainsBlanks" dxfId="114" priority="9">
      <formula>LEN(TRIM(BH12))&gt;0</formula>
    </cfRule>
  </conditionalFormatting>
  <conditionalFormatting sqref="BH20:BI23 BJ20:BJ21 BQ20:BR23 BS20:BS21">
    <cfRule type="notContainsBlanks" dxfId="113" priority="10">
      <formula>LEN(TRIM(BH20))&gt;0</formula>
    </cfRule>
  </conditionalFormatting>
  <conditionalFormatting sqref="BH27:BH28 BQ27:BQ28">
    <cfRule type="notContainsBlanks" dxfId="112" priority="11">
      <formula>LEN(TRIM(BH27))&gt;0</formula>
    </cfRule>
  </conditionalFormatting>
  <conditionalFormatting sqref="BH32:BJ34 BK32:BK33 BQ32:BU34 BL33 BH40:BH41 BS40:BU40 BS42:BU42">
    <cfRule type="notContainsBlanks" dxfId="111" priority="12">
      <formula>LEN(TRIM(BH32))&gt;0</formula>
    </cfRule>
  </conditionalFormatting>
  <conditionalFormatting sqref="BQ45:BS45">
    <cfRule type="notContainsBlanks" dxfId="110" priority="13">
      <formula>LEN(TRIM(BQ45))&gt;0</formula>
    </cfRule>
  </conditionalFormatting>
  <conditionalFormatting sqref="BQ47:BS47">
    <cfRule type="notContainsBlanks" dxfId="109" priority="14">
      <formula>LEN(TRIM(BQ47))&gt;0</formula>
    </cfRule>
  </conditionalFormatting>
  <conditionalFormatting sqref="BQ54">
    <cfRule type="notContainsBlanks" dxfId="108" priority="15">
      <formula>LEN(TRIM(BQ54))&gt;0</formula>
    </cfRule>
  </conditionalFormatting>
  <conditionalFormatting sqref="BI41:BK41 BJ45:BL45">
    <cfRule type="notContainsBlanks" dxfId="107" priority="16">
      <formula>LEN(TRIM(BI41))&gt;0</formula>
    </cfRule>
  </conditionalFormatting>
  <conditionalFormatting sqref="BH54:BL55">
    <cfRule type="notContainsBlanks" dxfId="106" priority="17">
      <formula>LEN(TRIM(BH54))&gt;0</formula>
    </cfRule>
  </conditionalFormatting>
  <conditionalFormatting sqref="BQ55:BR55">
    <cfRule type="notContainsBlanks" dxfId="105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9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f>Summary!AN12</f>
        <v>0.25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0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345.41058736183987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0</v>
      </c>
      <c r="W4" s="77"/>
      <c r="X4" s="75">
        <v>1988</v>
      </c>
      <c r="Y4" s="77">
        <f t="shared" ref="Y4:Y7" si="9">SUM(X4*$Y$62)</f>
        <v>0</v>
      </c>
      <c r="Z4" s="77"/>
      <c r="AA4" s="65"/>
      <c r="AB4" s="65"/>
      <c r="AC4" s="77">
        <f t="shared" ref="AC4:AC57" si="10">SUM($AC$61/$BA$61)</f>
        <v>519.51683333333335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0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-29.952647627635468</v>
      </c>
      <c r="AQ4" s="77">
        <f t="shared" ref="AQ4:AQ57" si="17">SUM(F4+V4+AC4+M4+AH4+Y4+AP4)</f>
        <v>834.97477306753774</v>
      </c>
      <c r="AR4" s="144">
        <f t="shared" ref="AR4:AR57" si="18">SUM(AQ4/$K$4)</f>
        <v>3.3002955457214931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0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414.12863570391863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0</v>
      </c>
      <c r="W5" s="77"/>
      <c r="X5" s="75">
        <v>3549</v>
      </c>
      <c r="Y5" s="77">
        <f t="shared" si="9"/>
        <v>0</v>
      </c>
      <c r="Z5" s="77"/>
      <c r="AA5" s="65"/>
      <c r="AB5" s="65"/>
      <c r="AC5" s="77">
        <f t="shared" si="10"/>
        <v>519.51683333333335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0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-60.328957203706565</v>
      </c>
      <c r="AQ5" s="77">
        <f t="shared" si="17"/>
        <v>873.31651183354552</v>
      </c>
      <c r="AR5" s="144">
        <f t="shared" si="18"/>
        <v>3.4518439202906936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0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839.17934531651213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0</v>
      </c>
      <c r="W6" s="77"/>
      <c r="X6" s="75">
        <v>7943</v>
      </c>
      <c r="Y6" s="77">
        <f t="shared" si="9"/>
        <v>0</v>
      </c>
      <c r="Z6" s="77"/>
      <c r="AA6" s="65"/>
      <c r="AB6" s="65"/>
      <c r="AC6" s="77">
        <f t="shared" si="10"/>
        <v>519.51683333333335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0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512.05066709775406</v>
      </c>
      <c r="AQ6" s="77">
        <f t="shared" si="17"/>
        <v>1870.7468457475995</v>
      </c>
      <c r="AR6" s="144">
        <f t="shared" si="18"/>
        <v>7.394256307302765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0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12320.099368985149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0</v>
      </c>
      <c r="W7" s="77"/>
      <c r="X7" s="75">
        <v>91539</v>
      </c>
      <c r="Y7" s="77">
        <f t="shared" si="9"/>
        <v>0</v>
      </c>
      <c r="Z7" s="77"/>
      <c r="AA7" s="65"/>
      <c r="AB7" s="65"/>
      <c r="AC7" s="77">
        <f t="shared" si="10"/>
        <v>519.51683333333335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0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2547.4932860126005</v>
      </c>
      <c r="AQ7" s="77">
        <f t="shared" si="17"/>
        <v>15387.109488331083</v>
      </c>
      <c r="AR7" s="144">
        <f t="shared" si="18"/>
        <v>60.81861457838373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0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3772.2112762085517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0</v>
      </c>
      <c r="W8" s="65"/>
      <c r="X8" s="75"/>
      <c r="Y8" s="76"/>
      <c r="Z8" s="65"/>
      <c r="AA8" s="65"/>
      <c r="AB8" s="65"/>
      <c r="AC8" s="77">
        <f t="shared" si="10"/>
        <v>519.51683333333335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0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-65.053774189338299</v>
      </c>
      <c r="AQ8" s="77">
        <f t="shared" si="17"/>
        <v>4226.6743353525462</v>
      </c>
      <c r="AR8" s="144">
        <f t="shared" si="18"/>
        <v>16.706222669377652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0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9900.8599982136857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0</v>
      </c>
      <c r="W9" s="65"/>
      <c r="X9" s="75"/>
      <c r="Y9" s="76"/>
      <c r="Z9" s="65"/>
      <c r="AA9" s="65"/>
      <c r="AB9" s="65"/>
      <c r="AC9" s="77">
        <f t="shared" si="10"/>
        <v>519.51683333333335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0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-231.34075970243111</v>
      </c>
      <c r="AQ9" s="77">
        <f t="shared" si="17"/>
        <v>10189.036071844588</v>
      </c>
      <c r="AR9" s="144">
        <f t="shared" si="18"/>
        <v>40.272869849188098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0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476.93056067879866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0</v>
      </c>
      <c r="W10" s="65"/>
      <c r="X10" s="75"/>
      <c r="Y10" s="76"/>
      <c r="Z10" s="65"/>
      <c r="AA10" s="65"/>
      <c r="AB10" s="65"/>
      <c r="AC10" s="77">
        <f t="shared" si="10"/>
        <v>519.51683333333335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0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0.58053522062574892</v>
      </c>
      <c r="AQ10" s="77">
        <f t="shared" si="17"/>
        <v>997.02792923275774</v>
      </c>
      <c r="AR10" s="144">
        <f t="shared" si="18"/>
        <v>3.9408218546749318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0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141.07678798704922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0</v>
      </c>
      <c r="W11" s="65"/>
      <c r="X11" s="75"/>
      <c r="Y11" s="76"/>
      <c r="Z11" s="65"/>
      <c r="AA11" s="65"/>
      <c r="AB11" s="65"/>
      <c r="AC11" s="77">
        <f t="shared" si="10"/>
        <v>519.51683333333335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0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4.7248169856317404</v>
      </c>
      <c r="AQ11" s="77">
        <f t="shared" si="17"/>
        <v>665.31843830601429</v>
      </c>
      <c r="AR11" s="144">
        <f t="shared" si="18"/>
        <v>2.6297171474546017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0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445.98468460422009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0</v>
      </c>
      <c r="W12" s="77"/>
      <c r="X12" s="75">
        <v>7291</v>
      </c>
      <c r="Y12" s="77">
        <f>SUM(X12*$Y$62)</f>
        <v>0</v>
      </c>
      <c r="Z12" s="77"/>
      <c r="AA12" s="65"/>
      <c r="AB12" s="65"/>
      <c r="AC12" s="77">
        <f t="shared" si="10"/>
        <v>519.51683333333335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0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-268.30913855700436</v>
      </c>
      <c r="AQ12" s="77">
        <f t="shared" si="17"/>
        <v>697.19237938054903</v>
      </c>
      <c r="AR12" s="144">
        <f t="shared" si="18"/>
        <v>2.7557011042709449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2.7305184771686948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0</v>
      </c>
      <c r="W13" s="65"/>
      <c r="X13" s="75"/>
      <c r="Y13" s="76"/>
      <c r="Z13" s="65"/>
      <c r="AA13" s="65"/>
      <c r="AB13" s="65"/>
      <c r="AC13" s="77">
        <f t="shared" si="10"/>
        <v>519.51683333333335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0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27.907662280649717</v>
      </c>
      <c r="AQ13" s="77">
        <f t="shared" si="17"/>
        <v>550.15501409115177</v>
      </c>
      <c r="AR13" s="144">
        <f t="shared" si="18"/>
        <v>2.1745257473958568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0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818.70045673774689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0</v>
      </c>
      <c r="W14" s="77"/>
      <c r="X14" s="75">
        <v>6043</v>
      </c>
      <c r="Y14" s="77">
        <f t="shared" ref="Y14:Y18" si="77">SUM(X14*$Y$62)</f>
        <v>0</v>
      </c>
      <c r="Z14" s="77"/>
      <c r="AA14" s="65"/>
      <c r="AB14" s="65"/>
      <c r="AC14" s="77">
        <f t="shared" si="10"/>
        <v>519.51683333333335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0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771.24113403651984</v>
      </c>
      <c r="AQ14" s="77">
        <f t="shared" si="17"/>
        <v>2109.4584241076</v>
      </c>
      <c r="AR14" s="144">
        <f t="shared" si="18"/>
        <v>8.3377803324411062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0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2168.9418436976666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0</v>
      </c>
      <c r="W15" s="77"/>
      <c r="X15" s="75">
        <v>12238</v>
      </c>
      <c r="Y15" s="77">
        <f t="shared" si="77"/>
        <v>0</v>
      </c>
      <c r="Z15" s="77"/>
      <c r="AA15" s="65"/>
      <c r="AB15" s="65"/>
      <c r="AC15" s="77">
        <f t="shared" si="10"/>
        <v>519.51683333333335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0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1372.1031806532753</v>
      </c>
      <c r="AQ15" s="77">
        <f t="shared" si="17"/>
        <v>4060.5618576842753</v>
      </c>
      <c r="AR15" s="144">
        <f t="shared" si="18"/>
        <v>16.049651611400297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0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323.56643954449032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0</v>
      </c>
      <c r="W16" s="77"/>
      <c r="X16" s="75">
        <v>3794</v>
      </c>
      <c r="Y16" s="77">
        <f t="shared" si="77"/>
        <v>0</v>
      </c>
      <c r="Z16" s="77"/>
      <c r="AA16" s="65"/>
      <c r="AB16" s="65"/>
      <c r="AC16" s="77">
        <f t="shared" si="10"/>
        <v>519.51683333333335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0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134.74017002242445</v>
      </c>
      <c r="AQ16" s="77">
        <f t="shared" si="17"/>
        <v>977.8234429002481</v>
      </c>
      <c r="AR16" s="144">
        <f t="shared" si="18"/>
        <v>3.8649147940721269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0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1075.3691935916042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0</v>
      </c>
      <c r="W17" s="77"/>
      <c r="X17" s="75">
        <v>5205</v>
      </c>
      <c r="Y17" s="77">
        <f t="shared" si="77"/>
        <v>0</v>
      </c>
      <c r="Z17" s="77"/>
      <c r="AA17" s="65"/>
      <c r="AB17" s="65"/>
      <c r="AC17" s="77">
        <f t="shared" si="10"/>
        <v>519.51683333333335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0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437.92801780904807</v>
      </c>
      <c r="AQ17" s="77">
        <f t="shared" si="17"/>
        <v>2032.8140447339856</v>
      </c>
      <c r="AR17" s="144">
        <f t="shared" si="18"/>
        <v>8.0348381214782041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0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3013.5822259685165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0</v>
      </c>
      <c r="W18" s="77"/>
      <c r="X18" s="75">
        <v>14316</v>
      </c>
      <c r="Y18" s="77">
        <f t="shared" si="77"/>
        <v>0</v>
      </c>
      <c r="Z18" s="77"/>
      <c r="AA18" s="65"/>
      <c r="AB18" s="65"/>
      <c r="AC18" s="77">
        <f t="shared" si="10"/>
        <v>519.51683333333335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0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302.57335702336178</v>
      </c>
      <c r="AQ18" s="77">
        <f t="shared" si="17"/>
        <v>3835.6724163252115</v>
      </c>
      <c r="AR18" s="144">
        <f t="shared" si="18"/>
        <v>15.160760538834829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0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33.221308138885782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0</v>
      </c>
      <c r="W19" s="65"/>
      <c r="X19" s="75"/>
      <c r="Y19" s="76"/>
      <c r="Z19" s="65"/>
      <c r="AA19" s="65"/>
      <c r="AB19" s="65"/>
      <c r="AC19" s="77">
        <f t="shared" si="10"/>
        <v>519.51683333333335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0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-21.151887094669153</v>
      </c>
      <c r="AQ19" s="77">
        <f t="shared" si="17"/>
        <v>531.58625437754995</v>
      </c>
      <c r="AR19" s="144">
        <f t="shared" si="18"/>
        <v>2.1011314402274701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0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4881.711950764764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0</v>
      </c>
      <c r="W20" s="65"/>
      <c r="X20" s="75">
        <v>22723</v>
      </c>
      <c r="Y20" s="77">
        <f t="shared" ref="Y20:Y21" si="102">SUM(X20*$Y$62)</f>
        <v>0</v>
      </c>
      <c r="Z20" s="65"/>
      <c r="AA20" s="65"/>
      <c r="AB20" s="65"/>
      <c r="AC20" s="77">
        <f t="shared" si="10"/>
        <v>519.51683333333335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0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1456.3996342678831</v>
      </c>
      <c r="AQ20" s="77">
        <f t="shared" si="17"/>
        <v>6857.62841836598</v>
      </c>
      <c r="AR20" s="144">
        <f t="shared" si="18"/>
        <v>27.105250665478181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0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273.50693412973089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0</v>
      </c>
      <c r="W21" s="77"/>
      <c r="X21" s="75">
        <v>2528</v>
      </c>
      <c r="Y21" s="77">
        <f t="shared" si="102"/>
        <v>0</v>
      </c>
      <c r="Z21" s="77"/>
      <c r="AA21" s="65"/>
      <c r="AB21" s="65"/>
      <c r="AC21" s="77">
        <f t="shared" si="10"/>
        <v>519.51683333333335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0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234.2986782625203</v>
      </c>
      <c r="AQ21" s="77">
        <f t="shared" si="17"/>
        <v>1027.3224457255847</v>
      </c>
      <c r="AR21" s="144">
        <f t="shared" si="18"/>
        <v>4.0605630265833383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2.7305184771686948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0</v>
      </c>
      <c r="W22" s="65"/>
      <c r="X22" s="75"/>
      <c r="Y22" s="76"/>
      <c r="Z22" s="65"/>
      <c r="AA22" s="65"/>
      <c r="AB22" s="65"/>
      <c r="AC22" s="77">
        <f t="shared" si="10"/>
        <v>519.51683333333335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-25.334732389687126</v>
      </c>
      <c r="AQ22" s="77">
        <f t="shared" si="17"/>
        <v>496.91261942081496</v>
      </c>
      <c r="AR22" s="144">
        <f t="shared" si="18"/>
        <v>1.9640814996870157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0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10139.780364965947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0</v>
      </c>
      <c r="W23" s="77"/>
      <c r="X23" s="75">
        <v>38682</v>
      </c>
      <c r="Y23" s="77">
        <f>SUM(X23*$Y$62)</f>
        <v>0</v>
      </c>
      <c r="Z23" s="77"/>
      <c r="AA23" s="65"/>
      <c r="AB23" s="65"/>
      <c r="AC23" s="77">
        <f t="shared" si="10"/>
        <v>519.51683333333335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0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2435.4049378285063</v>
      </c>
      <c r="AQ23" s="77">
        <f t="shared" si="17"/>
        <v>13094.702136127788</v>
      </c>
      <c r="AR23" s="144">
        <f t="shared" si="18"/>
        <v>51.757715953074261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0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577.95974433404035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0</v>
      </c>
      <c r="W24" s="65"/>
      <c r="X24" s="75"/>
      <c r="Y24" s="76"/>
      <c r="Z24" s="65"/>
      <c r="AA24" s="65"/>
      <c r="AB24" s="65"/>
      <c r="AC24" s="77">
        <f t="shared" si="10"/>
        <v>519.51683333333335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0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44.844704744729064</v>
      </c>
      <c r="AQ24" s="77">
        <f t="shared" si="17"/>
        <v>1142.3212824121028</v>
      </c>
      <c r="AR24" s="144">
        <f t="shared" si="18"/>
        <v>4.5151038830517898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0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14712.488641397787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0</v>
      </c>
      <c r="W25" s="77"/>
      <c r="X25" s="75">
        <v>75861</v>
      </c>
      <c r="Y25" s="77">
        <f>SUM(X25*$Y$62)</f>
        <v>0</v>
      </c>
      <c r="Z25" s="77"/>
      <c r="AA25" s="65"/>
      <c r="AB25" s="65"/>
      <c r="AC25" s="77">
        <f t="shared" si="10"/>
        <v>519.51683333333335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0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4828.3887720536759</v>
      </c>
      <c r="AQ25" s="77">
        <f t="shared" si="17"/>
        <v>20060.394246784796</v>
      </c>
      <c r="AR25" s="144">
        <f t="shared" si="18"/>
        <v>79.290095837094057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0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3124.1682242938482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0</v>
      </c>
      <c r="W26" s="65"/>
      <c r="X26" s="75"/>
      <c r="Y26" s="76"/>
      <c r="Z26" s="65"/>
      <c r="AA26" s="65"/>
      <c r="AB26" s="65"/>
      <c r="AC26" s="77">
        <f t="shared" si="10"/>
        <v>519.51683333333335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0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69.426817982274002</v>
      </c>
      <c r="AQ26" s="77">
        <f t="shared" si="17"/>
        <v>3713.1118756094556</v>
      </c>
      <c r="AR26" s="144">
        <f t="shared" si="18"/>
        <v>14.676331524148045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0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175.20826895165791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0</v>
      </c>
      <c r="W27" s="65"/>
      <c r="X27" s="75"/>
      <c r="Y27" s="76"/>
      <c r="Z27" s="65"/>
      <c r="AA27" s="65"/>
      <c r="AB27" s="65"/>
      <c r="AC27" s="77">
        <f t="shared" si="10"/>
        <v>519.51683333333335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0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3.9916056618772471</v>
      </c>
      <c r="AQ27" s="77">
        <f t="shared" si="17"/>
        <v>698.7167079468685</v>
      </c>
      <c r="AR27" s="144">
        <f t="shared" si="18"/>
        <v>2.7617261183670689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0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426.87105526403928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0</v>
      </c>
      <c r="W28" s="77"/>
      <c r="X28" s="75">
        <v>3629</v>
      </c>
      <c r="Y28" s="77">
        <f>SUM(X28*$Y$62)</f>
        <v>0</v>
      </c>
      <c r="Z28" s="77"/>
      <c r="AA28" s="65"/>
      <c r="AB28" s="65"/>
      <c r="AC28" s="77">
        <f t="shared" si="10"/>
        <v>519.51683333333335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0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225.14390357486087</v>
      </c>
      <c r="AQ28" s="77">
        <f t="shared" si="17"/>
        <v>1171.5317921722335</v>
      </c>
      <c r="AR28" s="144">
        <f t="shared" si="18"/>
        <v>4.6305604433685117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2.7305184771686948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0</v>
      </c>
      <c r="W29" s="65"/>
      <c r="X29" s="75"/>
      <c r="Y29" s="76"/>
      <c r="Z29" s="65"/>
      <c r="AA29" s="65"/>
      <c r="AB29" s="65"/>
      <c r="AC29" s="77">
        <f t="shared" si="10"/>
        <v>519.51683333333335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0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42.992394670336843</v>
      </c>
      <c r="AQ29" s="77">
        <f t="shared" si="17"/>
        <v>565.2397464808389</v>
      </c>
      <c r="AR29" s="144">
        <f t="shared" si="18"/>
        <v>2.2341491955764385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0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869.21504856536774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0</v>
      </c>
      <c r="W30" s="77"/>
      <c r="X30" s="75">
        <v>9004</v>
      </c>
      <c r="Y30" s="77">
        <f>SUM(X30*$Y$62)</f>
        <v>0</v>
      </c>
      <c r="Z30" s="77"/>
      <c r="AA30" s="65"/>
      <c r="AB30" s="65"/>
      <c r="AC30" s="77">
        <f t="shared" si="10"/>
        <v>519.51683333333335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0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753.1619083919652</v>
      </c>
      <c r="AQ30" s="77">
        <f t="shared" si="17"/>
        <v>2141.8937902906664</v>
      </c>
      <c r="AR30" s="144">
        <f t="shared" si="18"/>
        <v>8.4659833608326736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1.3652592385843474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0</v>
      </c>
      <c r="W31" s="65"/>
      <c r="X31" s="75"/>
      <c r="Y31" s="76"/>
      <c r="Z31" s="65"/>
      <c r="AA31" s="65"/>
      <c r="AB31" s="65"/>
      <c r="AC31" s="77">
        <f t="shared" si="10"/>
        <v>519.51683333333335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7">
        <f t="shared" si="17"/>
        <v>520.88209257191772</v>
      </c>
      <c r="AR31" s="144">
        <f t="shared" si="18"/>
        <v>2.0588225002842599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0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2006.9310807189904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0</v>
      </c>
      <c r="W32" s="65"/>
      <c r="X32" s="75"/>
      <c r="Y32" s="76"/>
      <c r="Z32" s="65"/>
      <c r="AA32" s="65"/>
      <c r="AB32" s="65"/>
      <c r="AC32" s="77">
        <f t="shared" si="10"/>
        <v>519.51683333333335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0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-63.16867577091466</v>
      </c>
      <c r="AQ32" s="77">
        <f t="shared" si="17"/>
        <v>2463.2792382814087</v>
      </c>
      <c r="AR32" s="144">
        <f t="shared" si="18"/>
        <v>9.7362815742348161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0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14396.203584459079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0</v>
      </c>
      <c r="W33" s="77"/>
      <c r="X33" s="75">
        <v>56102</v>
      </c>
      <c r="Y33" s="77">
        <f t="shared" ref="Y33:Y38" si="176">SUM(X33*$Y$62)</f>
        <v>0</v>
      </c>
      <c r="Z33" s="77"/>
      <c r="AA33" s="65"/>
      <c r="AB33" s="65"/>
      <c r="AC33" s="77">
        <f t="shared" si="10"/>
        <v>519.51683333333335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0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4222.0768675177678</v>
      </c>
      <c r="AQ33" s="77">
        <f t="shared" si="17"/>
        <v>19137.797285310182</v>
      </c>
      <c r="AR33" s="144">
        <f t="shared" si="18"/>
        <v>75.643467530870282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0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4125.3583325890359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0</v>
      </c>
      <c r="W34" s="77"/>
      <c r="X34" s="75">
        <v>24794</v>
      </c>
      <c r="Y34" s="77">
        <f t="shared" si="176"/>
        <v>0</v>
      </c>
      <c r="Z34" s="77"/>
      <c r="AA34" s="65"/>
      <c r="AB34" s="65"/>
      <c r="AC34" s="77">
        <f t="shared" si="10"/>
        <v>519.51683333333335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0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1707.5390722328345</v>
      </c>
      <c r="AQ34" s="77">
        <f t="shared" si="17"/>
        <v>6352.4142381552037</v>
      </c>
      <c r="AR34" s="144">
        <f t="shared" si="18"/>
        <v>25.108356672550212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0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5515.647323880763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0</v>
      </c>
      <c r="W35" s="77"/>
      <c r="X35" s="75">
        <v>18600</v>
      </c>
      <c r="Y35" s="77">
        <f t="shared" si="176"/>
        <v>0</v>
      </c>
      <c r="Z35" s="77"/>
      <c r="AA35" s="65"/>
      <c r="AB35" s="65"/>
      <c r="AC35" s="77">
        <f t="shared" si="10"/>
        <v>519.51683333333335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0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1729.7745245185863</v>
      </c>
      <c r="AQ35" s="77">
        <f t="shared" si="17"/>
        <v>7764.9386817326822</v>
      </c>
      <c r="AR35" s="144">
        <f t="shared" si="18"/>
        <v>30.691457240050127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0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165.65145428156748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0</v>
      </c>
      <c r="W36" s="77"/>
      <c r="X36" s="75">
        <v>2772</v>
      </c>
      <c r="Y36" s="77">
        <f t="shared" si="176"/>
        <v>0</v>
      </c>
      <c r="Z36" s="77"/>
      <c r="AA36" s="65"/>
      <c r="AB36" s="65"/>
      <c r="AC36" s="77">
        <f t="shared" si="10"/>
        <v>519.51683333333335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0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86.073198331810687</v>
      </c>
      <c r="AQ36" s="77">
        <f t="shared" si="17"/>
        <v>771.24148594671146</v>
      </c>
      <c r="AR36" s="144">
        <f t="shared" si="18"/>
        <v>3.0483853199474762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0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1489.9529157083841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0</v>
      </c>
      <c r="W37" s="77"/>
      <c r="X37" s="75">
        <v>6100</v>
      </c>
      <c r="Y37" s="77">
        <f t="shared" si="176"/>
        <v>0</v>
      </c>
      <c r="Z37" s="77"/>
      <c r="AA37" s="65"/>
      <c r="AB37" s="65"/>
      <c r="AC37" s="77">
        <f t="shared" si="10"/>
        <v>519.51683333333335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0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615.08071022626154</v>
      </c>
      <c r="AQ37" s="77">
        <f t="shared" si="17"/>
        <v>2624.550459267979</v>
      </c>
      <c r="AR37" s="144">
        <f t="shared" si="18"/>
        <v>10.373717230308218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0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7802.0014620966831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0</v>
      </c>
      <c r="W38" s="77"/>
      <c r="X38" s="75">
        <v>39298</v>
      </c>
      <c r="Y38" s="77">
        <f t="shared" si="176"/>
        <v>0</v>
      </c>
      <c r="Z38" s="77"/>
      <c r="AA38" s="65"/>
      <c r="AB38" s="65"/>
      <c r="AC38" s="77">
        <f t="shared" si="10"/>
        <v>519.51683333333335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0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917.27293018758223</v>
      </c>
      <c r="AQ38" s="77">
        <f t="shared" si="17"/>
        <v>9238.7912256175987</v>
      </c>
      <c r="AR38" s="144">
        <f t="shared" si="18"/>
        <v>36.516961366077467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0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1248.302030478955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0</v>
      </c>
      <c r="W39" s="65"/>
      <c r="X39" s="75"/>
      <c r="Y39" s="76"/>
      <c r="Z39" s="65"/>
      <c r="AA39" s="65"/>
      <c r="AB39" s="65"/>
      <c r="AC39" s="77">
        <f t="shared" si="10"/>
        <v>519.51683333333335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0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101.70200099664225</v>
      </c>
      <c r="AQ39" s="77">
        <f t="shared" si="17"/>
        <v>1869.5208648089306</v>
      </c>
      <c r="AR39" s="144">
        <f t="shared" si="18"/>
        <v>7.3894105328416231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0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504.23574545048558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0</v>
      </c>
      <c r="W40" s="65"/>
      <c r="X40" s="75"/>
      <c r="Y40" s="76"/>
      <c r="Z40" s="65"/>
      <c r="AA40" s="65"/>
      <c r="AB40" s="65"/>
      <c r="AC40" s="77">
        <f t="shared" si="10"/>
        <v>519.51683333333335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0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-1.3389295587485022</v>
      </c>
      <c r="AQ40" s="77">
        <f t="shared" si="17"/>
        <v>1022.4136492250705</v>
      </c>
      <c r="AR40" s="144">
        <f t="shared" si="18"/>
        <v>4.041160668873796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0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4813.4489888355474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0</v>
      </c>
      <c r="W41" s="77"/>
      <c r="X41" s="75">
        <v>39298</v>
      </c>
      <c r="Y41" s="77">
        <f t="shared" ref="Y41:Y44" si="226">SUM(X41*$Y$62)</f>
        <v>0</v>
      </c>
      <c r="Z41" s="77"/>
      <c r="AA41" s="65"/>
      <c r="AB41" s="65"/>
      <c r="AC41" s="77">
        <f t="shared" si="10"/>
        <v>519.51683333333335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0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1589.3115100316788</v>
      </c>
      <c r="AQ41" s="77">
        <f t="shared" si="17"/>
        <v>6922.2773322005596</v>
      </c>
      <c r="AR41" s="144">
        <f t="shared" si="18"/>
        <v>27.360779969172171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0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9838.0580732388062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0</v>
      </c>
      <c r="W42" s="77"/>
      <c r="X42" s="75">
        <v>40212</v>
      </c>
      <c r="Y42" s="77">
        <f t="shared" si="226"/>
        <v>0</v>
      </c>
      <c r="Z42" s="77"/>
      <c r="AA42" s="65"/>
      <c r="AB42" s="65"/>
      <c r="AC42" s="77">
        <f t="shared" si="10"/>
        <v>519.51683333333335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0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3797.2589074902412</v>
      </c>
      <c r="AQ42" s="77">
        <f t="shared" si="17"/>
        <v>14154.83381406238</v>
      </c>
      <c r="AR42" s="144">
        <f t="shared" si="18"/>
        <v>55.947959739376998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0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817.33519749916252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0</v>
      </c>
      <c r="W43" s="77"/>
      <c r="X43" s="75">
        <v>10782</v>
      </c>
      <c r="Y43" s="77">
        <f t="shared" si="226"/>
        <v>0</v>
      </c>
      <c r="Z43" s="77"/>
      <c r="AA43" s="65"/>
      <c r="AB43" s="65"/>
      <c r="AC43" s="77">
        <f t="shared" si="10"/>
        <v>519.51683333333335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0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106.67984795273068</v>
      </c>
      <c r="AQ43" s="77">
        <f t="shared" si="17"/>
        <v>1443.5318787852266</v>
      </c>
      <c r="AR43" s="144">
        <f t="shared" si="18"/>
        <v>5.7056595999416073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0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1770.7412324438983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0</v>
      </c>
      <c r="W44" s="77"/>
      <c r="X44" s="75">
        <v>13791</v>
      </c>
      <c r="Y44" s="77">
        <f t="shared" si="226"/>
        <v>0</v>
      </c>
      <c r="Z44" s="77"/>
      <c r="AA44" s="65"/>
      <c r="AB44" s="65"/>
      <c r="AC44" s="77">
        <f t="shared" si="10"/>
        <v>519.51683333333335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0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104.45883363193053</v>
      </c>
      <c r="AQ44" s="77">
        <f t="shared" si="17"/>
        <v>2394.7168994091621</v>
      </c>
      <c r="AR44" s="144">
        <f t="shared" si="18"/>
        <v>9.4652841873879918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0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668.97702690633014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0</v>
      </c>
      <c r="W45" s="65"/>
      <c r="X45" s="75"/>
      <c r="Y45" s="76"/>
      <c r="Z45" s="65"/>
      <c r="AA45" s="65"/>
      <c r="AB45" s="65"/>
      <c r="AC45" s="77">
        <f t="shared" si="10"/>
        <v>519.51683333333335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0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365.11360831958996</v>
      </c>
      <c r="AQ45" s="77">
        <f t="shared" si="17"/>
        <v>1553.6074685592534</v>
      </c>
      <c r="AR45" s="144">
        <f t="shared" si="18"/>
        <v>6.1407409824476424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0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1335.678621748353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0</v>
      </c>
      <c r="W46" s="77"/>
      <c r="X46" s="75">
        <v>4699</v>
      </c>
      <c r="Y46" s="77">
        <f>SUM(X46*$Y$62)</f>
        <v>0</v>
      </c>
      <c r="Z46" s="77"/>
      <c r="AA46" s="65"/>
      <c r="AB46" s="65"/>
      <c r="AC46" s="77">
        <f t="shared" si="10"/>
        <v>519.51683333333335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0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187.72117301235124</v>
      </c>
      <c r="AQ46" s="77">
        <f t="shared" si="17"/>
        <v>2042.9166280940376</v>
      </c>
      <c r="AR46" s="144">
        <f t="shared" si="18"/>
        <v>8.0747692810041016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2.7305184771686948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0</v>
      </c>
      <c r="W47" s="65"/>
      <c r="X47" s="75"/>
      <c r="Y47" s="76"/>
      <c r="Z47" s="65"/>
      <c r="AA47" s="65"/>
      <c r="AB47" s="65"/>
      <c r="AC47" s="77">
        <f t="shared" si="10"/>
        <v>519.51683333333335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0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22.364901581576355</v>
      </c>
      <c r="AQ47" s="77">
        <f t="shared" si="17"/>
        <v>544.6122533920784</v>
      </c>
      <c r="AR47" s="144">
        <f t="shared" si="18"/>
        <v>2.1526176023402308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1.3652592385843474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0</v>
      </c>
      <c r="W48" s="65"/>
      <c r="X48" s="75"/>
      <c r="Y48" s="76"/>
      <c r="Z48" s="65"/>
      <c r="AA48" s="65"/>
      <c r="AB48" s="65"/>
      <c r="AC48" s="77">
        <f t="shared" si="10"/>
        <v>519.51683333333335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7">
        <f t="shared" si="17"/>
        <v>520.88209257191772</v>
      </c>
      <c r="AR48" s="144">
        <f t="shared" si="18"/>
        <v>2.0588225002842599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0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20492.086084738192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0</v>
      </c>
      <c r="W49" s="77"/>
      <c r="X49" s="75">
        <v>143207</v>
      </c>
      <c r="Y49" s="77">
        <f>SUM(X49*$Y$62)</f>
        <v>0</v>
      </c>
      <c r="Z49" s="77"/>
      <c r="AA49" s="65"/>
      <c r="AB49" s="65"/>
      <c r="AC49" s="77">
        <f t="shared" si="10"/>
        <v>519.51683333333335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0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2141.0587855795357</v>
      </c>
      <c r="AQ49" s="77">
        <f t="shared" si="17"/>
        <v>23152.661703651062</v>
      </c>
      <c r="AR49" s="144">
        <f t="shared" si="18"/>
        <v>91.512496852375733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0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3395.3997263592719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0</v>
      </c>
      <c r="W50" s="65"/>
      <c r="X50" s="75"/>
      <c r="Y50" s="76"/>
      <c r="Z50" s="65"/>
      <c r="AA50" s="65"/>
      <c r="AB50" s="65"/>
      <c r="AC50" s="77">
        <f t="shared" si="10"/>
        <v>519.51683333333335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0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-70.693321903586735</v>
      </c>
      <c r="AQ50" s="77">
        <f t="shared" si="17"/>
        <v>3844.2232377890182</v>
      </c>
      <c r="AR50" s="144">
        <f t="shared" si="18"/>
        <v>15.194558252130507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0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126.51402277548286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0</v>
      </c>
      <c r="W51" s="77"/>
      <c r="X51" s="75">
        <v>16880</v>
      </c>
      <c r="Y51" s="77">
        <f t="shared" ref="Y51:Y54" si="288">SUM(X51*$Y$62)</f>
        <v>0</v>
      </c>
      <c r="Z51" s="77"/>
      <c r="AA51" s="65"/>
      <c r="AB51" s="65"/>
      <c r="AC51" s="77">
        <f t="shared" si="10"/>
        <v>519.51683333333335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0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127.82687493326057</v>
      </c>
      <c r="AQ51" s="77">
        <f t="shared" si="17"/>
        <v>773.85773104207681</v>
      </c>
      <c r="AR51" s="144">
        <f t="shared" si="18"/>
        <v>3.0587262096524777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0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1955.9614024785085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0</v>
      </c>
      <c r="W52" s="77"/>
      <c r="X52" s="75">
        <v>12327</v>
      </c>
      <c r="Y52" s="77">
        <f t="shared" si="288"/>
        <v>0</v>
      </c>
      <c r="Z52" s="77"/>
      <c r="AA52" s="65"/>
      <c r="AB52" s="65"/>
      <c r="AC52" s="77">
        <f t="shared" si="10"/>
        <v>519.51683333333335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0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55.797779504763696</v>
      </c>
      <c r="AQ52" s="77">
        <f t="shared" si="17"/>
        <v>2531.2760153166055</v>
      </c>
      <c r="AR52" s="144">
        <f t="shared" si="18"/>
        <v>10.005043538800813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0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1694.7418014960365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0</v>
      </c>
      <c r="W53" s="77"/>
      <c r="X53" s="75">
        <v>5000</v>
      </c>
      <c r="Y53" s="77">
        <f t="shared" si="288"/>
        <v>0</v>
      </c>
      <c r="Z53" s="77"/>
      <c r="AA53" s="65"/>
      <c r="AB53" s="65"/>
      <c r="AC53" s="77">
        <f t="shared" si="10"/>
        <v>519.51683333333335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0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240.33135685725472</v>
      </c>
      <c r="AQ53" s="77">
        <f t="shared" si="17"/>
        <v>2454.5899916866247</v>
      </c>
      <c r="AR53" s="144">
        <f t="shared" si="18"/>
        <v>9.7019367260340896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0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1504.0605945070895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0</v>
      </c>
      <c r="W54" s="77"/>
      <c r="X54" s="75">
        <v>2112</v>
      </c>
      <c r="Y54" s="77">
        <f t="shared" si="288"/>
        <v>0</v>
      </c>
      <c r="Z54" s="77"/>
      <c r="AA54" s="65"/>
      <c r="AB54" s="65"/>
      <c r="AC54" s="77">
        <f t="shared" si="10"/>
        <v>519.51683333333335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0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843.16413303987758</v>
      </c>
      <c r="AQ54" s="77">
        <f t="shared" si="17"/>
        <v>2866.7415608803003</v>
      </c>
      <c r="AR54" s="144">
        <f t="shared" si="18"/>
        <v>11.330994311779843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0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614.36665736295629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0</v>
      </c>
      <c r="W55" s="65"/>
      <c r="X55" s="75"/>
      <c r="Y55" s="76"/>
      <c r="Z55" s="65"/>
      <c r="AA55" s="65"/>
      <c r="AB55" s="65"/>
      <c r="AC55" s="77">
        <f t="shared" si="10"/>
        <v>519.51683333333335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0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-0.84312672780987841</v>
      </c>
      <c r="AQ55" s="77">
        <f t="shared" si="17"/>
        <v>1133.0403639684798</v>
      </c>
      <c r="AR55" s="144">
        <f t="shared" si="18"/>
        <v>4.4784204109426078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0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902.43635670425351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0</v>
      </c>
      <c r="W56" s="77"/>
      <c r="X56" s="75">
        <v>5198</v>
      </c>
      <c r="Y56" s="77">
        <f t="shared" ref="Y56:Y57" si="317">SUM(X56*$Y$62)</f>
        <v>0</v>
      </c>
      <c r="Z56" s="77"/>
      <c r="AA56" s="65"/>
      <c r="AB56" s="65"/>
      <c r="AC56" s="77">
        <f t="shared" si="10"/>
        <v>519.51683333333335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0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188.11872056049262</v>
      </c>
      <c r="AQ56" s="77">
        <f t="shared" si="17"/>
        <v>1610.0719105980795</v>
      </c>
      <c r="AR56" s="144">
        <f t="shared" si="18"/>
        <v>6.3639205952493265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0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504.23574545048558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0</v>
      </c>
      <c r="W57" s="77"/>
      <c r="X57" s="75">
        <v>3391</v>
      </c>
      <c r="Y57" s="77">
        <f t="shared" si="317"/>
        <v>0</v>
      </c>
      <c r="Z57" s="77"/>
      <c r="AA57" s="65"/>
      <c r="AB57" s="65"/>
      <c r="AC57" s="77">
        <f t="shared" si="10"/>
        <v>519.51683333333335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0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70.644029638242586</v>
      </c>
      <c r="AQ57" s="77">
        <f t="shared" si="17"/>
        <v>1094.3966084220615</v>
      </c>
      <c r="AR57" s="144">
        <f t="shared" si="18"/>
        <v>4.3256782941583456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0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158972.15099999998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0</v>
      </c>
      <c r="W60" s="142"/>
      <c r="X60" s="142">
        <f t="shared" ref="X60:Y60" si="323">SUM(X4:X58)</f>
        <v>750896</v>
      </c>
      <c r="Y60" s="142">
        <f t="shared" si="323"/>
        <v>0</v>
      </c>
      <c r="Z60" s="142"/>
      <c r="AA60" s="137"/>
      <c r="AB60" s="137"/>
      <c r="AC60" s="142">
        <f>SUM(AC4:AC58)</f>
        <v>28053.909000000032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0</v>
      </c>
      <c r="AI60" s="137"/>
      <c r="AJ60" s="137"/>
      <c r="AK60" s="137">
        <f t="shared" ref="AK60:AL60" si="324">SUM(AK4:AK58)</f>
        <v>85934</v>
      </c>
      <c r="AL60" s="137">
        <f t="shared" si="324"/>
        <v>84283</v>
      </c>
      <c r="AM60" s="137"/>
      <c r="AN60" s="551"/>
      <c r="AO60" s="551"/>
      <c r="AP60" s="137">
        <f t="shared" ref="AP60:AQ60" si="325">SUM(AP4:AP58)</f>
        <v>34587.250000000015</v>
      </c>
      <c r="AQ60" s="137">
        <f t="shared" si="325"/>
        <v>221613.31000000006</v>
      </c>
      <c r="AR60" s="137"/>
      <c r="AS60" s="552"/>
      <c r="AT60" s="552">
        <f t="shared" ref="AT60:AV60" si="326">SUM(AT4:AT58)</f>
        <v>161270</v>
      </c>
      <c r="AU60" s="137">
        <f t="shared" si="326"/>
        <v>166225</v>
      </c>
      <c r="AV60" s="137">
        <f t="shared" si="326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7">SUM(BH4:BH58)</f>
        <v>207644.18423353491</v>
      </c>
      <c r="BI60" s="149">
        <f t="shared" si="327"/>
        <v>209969.10239617669</v>
      </c>
      <c r="BJ60" s="149">
        <f t="shared" si="327"/>
        <v>212985.092719874</v>
      </c>
      <c r="BK60" s="149">
        <f t="shared" si="327"/>
        <v>217413.39925939954</v>
      </c>
      <c r="BL60" s="149">
        <f t="shared" si="327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8">SUM(BQ4:BQ58)</f>
        <v>204593.10179735644</v>
      </c>
      <c r="BR60" s="149">
        <f t="shared" si="328"/>
        <v>207579.60034224126</v>
      </c>
      <c r="BS60" s="149">
        <f t="shared" si="328"/>
        <v>214544.32675014032</v>
      </c>
      <c r="BT60" s="149">
        <f t="shared" si="328"/>
        <v>220716.12419117073</v>
      </c>
      <c r="BU60" s="149">
        <f t="shared" si="328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9">SUM(BZ4:BZ58)</f>
        <v>217861.48042414323</v>
      </c>
      <c r="CA60" s="448">
        <f t="shared" si="329"/>
        <v>220908.26068876105</v>
      </c>
      <c r="CB60" s="448">
        <f t="shared" si="329"/>
        <v>226772.14908386499</v>
      </c>
      <c r="CC60" s="448">
        <f t="shared" si="329"/>
        <v>233115.69376651</v>
      </c>
      <c r="CD60" s="448">
        <f t="shared" si="329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0</v>
      </c>
      <c r="G61" s="82"/>
      <c r="H61" s="83"/>
      <c r="I61" s="83"/>
      <c r="J61" s="83"/>
      <c r="K61" s="145"/>
      <c r="L61" s="144"/>
      <c r="M61" s="146">
        <f>SUM((AQ61-AP60)*M62)</f>
        <v>158972.15099999998</v>
      </c>
      <c r="N61" s="144"/>
      <c r="O61" s="145"/>
      <c r="P61" s="145"/>
      <c r="Q61" s="146">
        <v>0</v>
      </c>
      <c r="R61" s="145"/>
      <c r="S61" s="144"/>
      <c r="T61" s="145"/>
      <c r="U61" s="145"/>
      <c r="V61" s="146">
        <f>SUM(AQ61-'Options 1-3'!$AP$60)*V62</f>
        <v>0</v>
      </c>
      <c r="W61" s="146"/>
      <c r="X61" s="53"/>
      <c r="Y61" s="74"/>
      <c r="Z61" s="146"/>
      <c r="AA61" s="145"/>
      <c r="AB61" s="145"/>
      <c r="AC61" s="146">
        <f>SUM(AQ61-AP60)*AC62</f>
        <v>28053.909</v>
      </c>
      <c r="AD61" s="145"/>
      <c r="AE61" s="145"/>
      <c r="AF61" s="145"/>
      <c r="AG61" s="145"/>
      <c r="AH61" s="146">
        <f>SUM(AQ61-'Options 1-3'!$AP$60)*AH62</f>
        <v>0</v>
      </c>
      <c r="AI61" s="145"/>
      <c r="AJ61" s="145"/>
      <c r="AK61" s="145"/>
      <c r="AL61" s="145"/>
      <c r="AM61" s="145"/>
      <c r="AN61" s="145"/>
      <c r="AO61" s="145"/>
      <c r="AP61" s="74">
        <v>35000</v>
      </c>
      <c r="AQ61" s="74">
        <f>SUM('FY20-21 budget'!AD84*(1+AQ64))</f>
        <v>221613.31</v>
      </c>
      <c r="AR61" s="74"/>
      <c r="AS61" s="22"/>
      <c r="AT61" s="22">
        <f t="shared" ref="AT61:AV61" si="330">COUNTIF(AT4:AT58,"&gt;1")</f>
        <v>47</v>
      </c>
      <c r="AU61" s="22">
        <f t="shared" si="330"/>
        <v>47</v>
      </c>
      <c r="AV61" s="22">
        <f t="shared" si="330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Summary!AN4</f>
        <v>0</v>
      </c>
      <c r="G62" s="85"/>
      <c r="H62" s="83"/>
      <c r="I62" s="83"/>
      <c r="J62" s="83"/>
      <c r="K62" s="145"/>
      <c r="L62" s="144"/>
      <c r="M62" s="50">
        <f>Summary!AK5</f>
        <v>0.85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Summary!AK6</f>
        <v>0</v>
      </c>
      <c r="W62" s="50"/>
      <c r="X62" s="53"/>
      <c r="Y62" s="153">
        <v>0</v>
      </c>
      <c r="Z62" s="50"/>
      <c r="AA62" s="145"/>
      <c r="AB62" s="145"/>
      <c r="AC62" s="50">
        <f>Summary!AK7</f>
        <v>0.15</v>
      </c>
      <c r="AD62" s="145"/>
      <c r="AE62" s="145"/>
      <c r="AF62" s="145"/>
      <c r="AG62" s="145"/>
      <c r="AH62" s="50">
        <f>Summary!AK8</f>
        <v>0</v>
      </c>
      <c r="AI62" s="145"/>
      <c r="AJ62" s="145"/>
      <c r="AK62" s="145"/>
      <c r="AL62" s="145"/>
      <c r="AM62" s="145"/>
      <c r="AN62" s="145"/>
      <c r="AO62" s="145"/>
      <c r="AP62" s="50">
        <f>Summary!AN11</f>
        <v>1</v>
      </c>
      <c r="AQ62" s="121">
        <f>SUM(V62+AC62+M62+AH62+Y62)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1">SUM(BH63*(1+$BG$63))</f>
        <v>224274.39724999992</v>
      </c>
      <c r="BJ63" s="149">
        <f t="shared" si="331"/>
        <v>229881.25718124991</v>
      </c>
      <c r="BK63" s="149">
        <f t="shared" si="331"/>
        <v>235628.28861078114</v>
      </c>
      <c r="BL63" s="149">
        <f t="shared" si="331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2">SUM(AU60-AT60)/AT60</f>
        <v>3.0724871333788057E-2</v>
      </c>
      <c r="AV64" s="44">
        <f t="shared" si="332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145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0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21997.511938483865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0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5714.6851666666653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0</v>
      </c>
      <c r="AI69" s="145"/>
      <c r="AJ69" s="145"/>
      <c r="AK69" s="145">
        <f t="shared" ref="AK69:AL69" si="333">SUM(AK4,AK6,AK12,AK21,AK35,AK42,AK43,AK46,AK52,AK57,AK51)</f>
        <v>17416</v>
      </c>
      <c r="AL69" s="145">
        <f t="shared" si="333"/>
        <v>16351</v>
      </c>
      <c r="AM69" s="145"/>
      <c r="AN69" s="145"/>
      <c r="AO69" s="145"/>
      <c r="AP69" s="145">
        <f t="shared" ref="AP69:AQ69" si="334">SUM(AP4,AP6,AP12,AP21,AP35,AP42,AP43,AP46,AP52,AP57,AP51)</f>
        <v>6523.7906962258094</v>
      </c>
      <c r="AQ69" s="145">
        <f t="shared" si="334"/>
        <v>34235.987801376337</v>
      </c>
      <c r="AR69" s="145"/>
      <c r="AS69" s="523"/>
      <c r="AT69" s="149" t="e">
        <f t="shared" ref="AT69:AV69" si="335">SUM(AT12,AT21,AT22,AT32,#REF!,AT43,#REF!,#REF!,AT47,#REF!,AT48)</f>
        <v>#REF!</v>
      </c>
      <c r="AU69" s="149" t="e">
        <f t="shared" si="335"/>
        <v>#REF!</v>
      </c>
      <c r="AV69" s="149" t="e">
        <f t="shared" si="335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6">SUM(BE4,BE6,BE12,BE21,BE35,BE42,BE43,BE46,BE52,BE57,BE51)</f>
        <v>13373.236666666666</v>
      </c>
      <c r="BF69" s="145">
        <f t="shared" si="336"/>
        <v>-32716.71479450534</v>
      </c>
      <c r="BG69" s="45"/>
      <c r="BH69" s="145">
        <f t="shared" ref="BH69:BL69" si="337">SUM(BH4,BH6,BH12,BH21,BH35,BH42,BH43,BH46,BH52,BH57,BH51)</f>
        <v>43354.434897089741</v>
      </c>
      <c r="BI69" s="145">
        <f t="shared" si="337"/>
        <v>42531.049885703855</v>
      </c>
      <c r="BJ69" s="145">
        <f t="shared" si="337"/>
        <v>43042.739542431598</v>
      </c>
      <c r="BK69" s="145">
        <f t="shared" si="337"/>
        <v>44727.810447919219</v>
      </c>
      <c r="BL69" s="145">
        <f t="shared" si="337"/>
        <v>46310.700973832412</v>
      </c>
      <c r="BM69" s="158"/>
      <c r="BN69" s="145">
        <f t="shared" ref="BN69:BO69" si="338">SUM(BN4,BN6,BN12,BN21,BN35,BN42,BN43,BN46,BN52,BN57,BN51)</f>
        <v>22301.22</v>
      </c>
      <c r="BO69" s="145">
        <f t="shared" si="338"/>
        <v>-22219.986461172008</v>
      </c>
      <c r="BP69" s="45"/>
      <c r="BQ69" s="145">
        <f t="shared" ref="BQ69:BU69" si="339">SUM(BQ4,BQ6,BQ12,BQ21,BQ35,BQ42,BQ43,BQ46,BQ52,BQ57,BQ51)</f>
        <v>43703.470015966814</v>
      </c>
      <c r="BR69" s="145">
        <f t="shared" si="339"/>
        <v>43483.067017919719</v>
      </c>
      <c r="BS69" s="145">
        <f t="shared" si="339"/>
        <v>44370.947824993804</v>
      </c>
      <c r="BT69" s="145">
        <f t="shared" si="339"/>
        <v>45534.804971548758</v>
      </c>
      <c r="BU69" s="145">
        <f t="shared" si="339"/>
        <v>47019.442064336086</v>
      </c>
      <c r="BV69" s="559"/>
      <c r="BW69" s="145">
        <f t="shared" ref="BW69:BX69" si="340">SUM(BW4,BW6,BW12,BW21,BW35,BW42,BW43,BW46,BW52,BW57,BW51)</f>
        <v>30661.143641844363</v>
      </c>
      <c r="BX69" s="145">
        <f t="shared" si="340"/>
        <v>-13860.062819327644</v>
      </c>
      <c r="BY69" s="45"/>
      <c r="BZ69" s="145">
        <f t="shared" ref="BZ69:CD69" si="341">SUM(BZ4,BZ6,BZ12,BZ21,BZ35,BZ42,BZ43,BZ46,BZ52,BZ57,BZ51)</f>
        <v>43389.817680819608</v>
      </c>
      <c r="CA69" s="145">
        <f t="shared" si="341"/>
        <v>42567.550701884509</v>
      </c>
      <c r="CB69" s="145">
        <f t="shared" si="341"/>
        <v>44131.373699217329</v>
      </c>
      <c r="CC69" s="145">
        <f t="shared" si="341"/>
        <v>45712.206129896382</v>
      </c>
      <c r="CD69" s="145">
        <f t="shared" si="341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104" priority="1" operator="greaterThan">
      <formula>0.05</formula>
    </cfRule>
  </conditionalFormatting>
  <conditionalFormatting sqref="BZ5:CD6 BQ48:BT48 BH47:BL48 BI44:BI45 BQ58:BT58">
    <cfRule type="notContainsBlanks" dxfId="103" priority="2">
      <formula>LEN(TRIM(BZ5))&gt;0</formula>
    </cfRule>
  </conditionalFormatting>
  <conditionalFormatting sqref="BZ20:CA23 CB23 BH41 BZ41 BZ54:CD55 BZ47:CD48 BZ10:CD10 BZ43:CD43 BH43:BH45 BZ45:CD45">
    <cfRule type="notContainsBlanks" dxfId="102" priority="3">
      <formula>LEN(TRIM(BZ20))&gt;0</formula>
    </cfRule>
  </conditionalFormatting>
  <conditionalFormatting sqref="BZ32:CC34 BZ40 BZ16 BZ12:CD15 BQ40:BR43 BH43:BH45 BZ58">
    <cfRule type="notContainsBlanks" dxfId="101" priority="4">
      <formula>LEN(TRIM(BZ32))&gt;0</formula>
    </cfRule>
  </conditionalFormatting>
  <conditionalFormatting sqref="BZ27:CA28">
    <cfRule type="notContainsBlanks" dxfId="100" priority="5">
      <formula>LEN(TRIM(BZ27))&gt;0</formula>
    </cfRule>
  </conditionalFormatting>
  <conditionalFormatting sqref="BH5:BI6 BQ5:BR6">
    <cfRule type="notContainsBlanks" dxfId="99" priority="6">
      <formula>LEN(TRIM(BH5))&gt;0</formula>
    </cfRule>
  </conditionalFormatting>
  <conditionalFormatting sqref="BJ5:BL6 BH10:BL10 BQ10:BR10">
    <cfRule type="notContainsBlanks" dxfId="98" priority="7">
      <formula>LEN(TRIM(BJ5))&gt;0</formula>
    </cfRule>
  </conditionalFormatting>
  <conditionalFormatting sqref="BI27:BI28">
    <cfRule type="notContainsBlanks" dxfId="97" priority="8">
      <formula>LEN(TRIM(BI27))&gt;0</formula>
    </cfRule>
  </conditionalFormatting>
  <conditionalFormatting sqref="BH12:BL15 BQ12:BS15">
    <cfRule type="notContainsBlanks" dxfId="96" priority="9">
      <formula>LEN(TRIM(BH12))&gt;0</formula>
    </cfRule>
  </conditionalFormatting>
  <conditionalFormatting sqref="BH20:BI23 BJ20:BJ21 BQ20:BR23 BS20:BS21">
    <cfRule type="notContainsBlanks" dxfId="95" priority="10">
      <formula>LEN(TRIM(BH20))&gt;0</formula>
    </cfRule>
  </conditionalFormatting>
  <conditionalFormatting sqref="BH27:BH28 BQ27:BQ28">
    <cfRule type="notContainsBlanks" dxfId="94" priority="11">
      <formula>LEN(TRIM(BH27))&gt;0</formula>
    </cfRule>
  </conditionalFormatting>
  <conditionalFormatting sqref="BH32:BJ34 BK32:BK33 BQ32:BU34 BL33 BH40:BH41 BS40:BU40 BS42:BU42">
    <cfRule type="notContainsBlanks" dxfId="93" priority="12">
      <formula>LEN(TRIM(BH32))&gt;0</formula>
    </cfRule>
  </conditionalFormatting>
  <conditionalFormatting sqref="BQ45:BS45">
    <cfRule type="notContainsBlanks" dxfId="92" priority="13">
      <formula>LEN(TRIM(BQ45))&gt;0</formula>
    </cfRule>
  </conditionalFormatting>
  <conditionalFormatting sqref="BQ47:BS47">
    <cfRule type="notContainsBlanks" dxfId="91" priority="14">
      <formula>LEN(TRIM(BQ47))&gt;0</formula>
    </cfRule>
  </conditionalFormatting>
  <conditionalFormatting sqref="BQ54">
    <cfRule type="notContainsBlanks" dxfId="90" priority="15">
      <formula>LEN(TRIM(BQ54))&gt;0</formula>
    </cfRule>
  </conditionalFormatting>
  <conditionalFormatting sqref="BI41:BK41 BJ45:BL45">
    <cfRule type="notContainsBlanks" dxfId="89" priority="16">
      <formula>LEN(TRIM(BI41))&gt;0</formula>
    </cfRule>
  </conditionalFormatting>
  <conditionalFormatting sqref="BH54:BL55">
    <cfRule type="notContainsBlanks" dxfId="88" priority="17">
      <formula>LEN(TRIM(BH54))&gt;0</formula>
    </cfRule>
  </conditionalFormatting>
  <conditionalFormatting sqref="BQ55:BR55">
    <cfRule type="notContainsBlanks" dxfId="87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3984375" defaultRowHeight="15" customHeight="1" x14ac:dyDescent="0.45"/>
  <cols>
    <col min="1" max="1" width="38.1328125" customWidth="1"/>
    <col min="2" max="2" width="27.265625" customWidth="1"/>
    <col min="3" max="3" width="1.3984375" customWidth="1"/>
    <col min="4" max="4" width="13.73046875" customWidth="1"/>
    <col min="5" max="6" width="11" customWidth="1"/>
    <col min="7" max="7" width="1.86328125" customWidth="1"/>
    <col min="8" max="10" width="12.1328125" customWidth="1"/>
    <col min="11" max="11" width="15.265625" customWidth="1"/>
    <col min="12" max="13" width="11" customWidth="1"/>
    <col min="14" max="14" width="3.265625" customWidth="1"/>
    <col min="15" max="16" width="13" customWidth="1"/>
    <col min="17" max="17" width="11.86328125" customWidth="1"/>
    <col min="18" max="18" width="3.1328125" customWidth="1"/>
    <col min="19" max="19" width="4.73046875" customWidth="1"/>
    <col min="20" max="20" width="13" customWidth="1"/>
    <col min="21" max="22" width="11" customWidth="1"/>
    <col min="23" max="23" width="1.86328125" customWidth="1"/>
    <col min="24" max="25" width="11" customWidth="1"/>
    <col min="26" max="27" width="4.73046875" customWidth="1"/>
    <col min="28" max="28" width="3" customWidth="1"/>
    <col min="29" max="29" width="11" customWidth="1"/>
    <col min="30" max="30" width="4.1328125" customWidth="1"/>
    <col min="31" max="31" width="5.3984375" customWidth="1"/>
    <col min="32" max="32" width="13" customWidth="1"/>
    <col min="33" max="33" width="12.73046875" customWidth="1"/>
    <col min="34" max="34" width="13" customWidth="1"/>
    <col min="35" max="36" width="6.86328125" customWidth="1"/>
    <col min="37" max="38" width="11" customWidth="1"/>
    <col min="39" max="39" width="12" customWidth="1"/>
    <col min="40" max="42" width="11.86328125" customWidth="1"/>
    <col min="43" max="44" width="14.1328125" customWidth="1"/>
    <col min="45" max="45" width="4.3984375" customWidth="1"/>
    <col min="46" max="48" width="10" hidden="1" customWidth="1"/>
    <col min="49" max="49" width="36.265625" hidden="1" customWidth="1"/>
    <col min="50" max="50" width="2.73046875" hidden="1" customWidth="1"/>
    <col min="51" max="51" width="19.53125" customWidth="1"/>
    <col min="52" max="52" width="2.73046875" customWidth="1"/>
    <col min="53" max="53" width="20" customWidth="1"/>
    <col min="54" max="54" width="15" customWidth="1"/>
    <col min="55" max="55" width="4.73046875" customWidth="1"/>
    <col min="56" max="56" width="4.86328125" customWidth="1"/>
    <col min="57" max="57" width="14.53125" customWidth="1"/>
    <col min="58" max="58" width="9.86328125" customWidth="1"/>
    <col min="59" max="59" width="9.1328125" customWidth="1"/>
    <col min="60" max="64" width="9.3984375" customWidth="1"/>
    <col min="65" max="65" width="3.265625" customWidth="1"/>
    <col min="66" max="66" width="14.53125" customWidth="1"/>
    <col min="67" max="67" width="9.86328125" customWidth="1"/>
    <col min="68" max="68" width="9.1328125" customWidth="1"/>
    <col min="69" max="73" width="9.265625" customWidth="1"/>
    <col min="74" max="74" width="3.265625" customWidth="1"/>
    <col min="75" max="75" width="11.73046875" customWidth="1"/>
    <col min="76" max="76" width="9.86328125" customWidth="1"/>
    <col min="77" max="82" width="9.1328125" customWidth="1"/>
    <col min="83" max="83" width="1.86328125" customWidth="1"/>
    <col min="84" max="85" width="14.3984375" customWidth="1"/>
  </cols>
  <sheetData>
    <row r="1" spans="1:85" ht="87" customHeight="1" x14ac:dyDescent="0.7">
      <c r="A1" s="6" t="s">
        <v>437</v>
      </c>
      <c r="B1" s="7" t="s">
        <v>438</v>
      </c>
      <c r="C1" s="2"/>
      <c r="D1" s="3" t="s">
        <v>26</v>
      </c>
      <c r="E1" s="2" t="s">
        <v>28</v>
      </c>
      <c r="F1" s="17" t="s">
        <v>439</v>
      </c>
      <c r="G1" s="2"/>
      <c r="H1" s="9" t="s">
        <v>30</v>
      </c>
      <c r="I1" s="9" t="s">
        <v>31</v>
      </c>
      <c r="J1" s="9" t="s">
        <v>32</v>
      </c>
      <c r="K1" s="2" t="s">
        <v>33</v>
      </c>
      <c r="L1" s="2" t="s">
        <v>440</v>
      </c>
      <c r="M1" s="17" t="s">
        <v>441</v>
      </c>
      <c r="N1" s="2"/>
      <c r="O1" s="3" t="s">
        <v>442</v>
      </c>
      <c r="P1" s="3" t="s">
        <v>443</v>
      </c>
      <c r="Q1" s="17" t="s">
        <v>444</v>
      </c>
      <c r="R1" s="3"/>
      <c r="S1" s="2"/>
      <c r="T1" s="3" t="s">
        <v>445</v>
      </c>
      <c r="U1" s="3" t="s">
        <v>446</v>
      </c>
      <c r="V1" s="17" t="s">
        <v>447</v>
      </c>
      <c r="W1" s="3"/>
      <c r="X1" s="505" t="s">
        <v>448</v>
      </c>
      <c r="Y1" s="17" t="s">
        <v>449</v>
      </c>
      <c r="Z1" s="3"/>
      <c r="AA1" s="3"/>
      <c r="AB1" s="3"/>
      <c r="AC1" s="506" t="s">
        <v>450</v>
      </c>
      <c r="AD1" s="3"/>
      <c r="AE1" s="3"/>
      <c r="AF1" s="3" t="s">
        <v>451</v>
      </c>
      <c r="AG1" s="3" t="s">
        <v>452</v>
      </c>
      <c r="AH1" s="506" t="s">
        <v>453</v>
      </c>
      <c r="AI1" s="3"/>
      <c r="AJ1" s="3"/>
      <c r="AK1" s="3" t="s">
        <v>454</v>
      </c>
      <c r="AL1" s="3" t="s">
        <v>455</v>
      </c>
      <c r="AM1" s="3" t="s">
        <v>456</v>
      </c>
      <c r="AN1" s="3" t="s">
        <v>457</v>
      </c>
      <c r="AO1" s="3" t="s">
        <v>458</v>
      </c>
      <c r="AP1" s="17" t="s">
        <v>459</v>
      </c>
      <c r="AQ1" s="507" t="s">
        <v>460</v>
      </c>
      <c r="AR1" s="45" t="s">
        <v>38</v>
      </c>
      <c r="AS1" s="508"/>
      <c r="AT1" s="508" t="s">
        <v>461</v>
      </c>
      <c r="AU1" s="508" t="s">
        <v>462</v>
      </c>
      <c r="AV1" s="508" t="s">
        <v>199</v>
      </c>
      <c r="AW1" s="508" t="s">
        <v>463</v>
      </c>
      <c r="AX1" s="508"/>
      <c r="AY1" s="509" t="s">
        <v>35</v>
      </c>
      <c r="AZ1" s="11"/>
      <c r="BA1" s="14" t="s">
        <v>36</v>
      </c>
      <c r="BB1" s="45" t="s">
        <v>38</v>
      </c>
      <c r="BC1" s="510" t="s">
        <v>464</v>
      </c>
      <c r="BD1" s="13"/>
      <c r="BE1" s="207" t="s">
        <v>465</v>
      </c>
      <c r="BF1" s="11"/>
      <c r="BG1" s="11"/>
      <c r="BH1" s="511" t="s">
        <v>466</v>
      </c>
      <c r="BI1" s="511" t="s">
        <v>466</v>
      </c>
      <c r="BJ1" s="511" t="s">
        <v>466</v>
      </c>
      <c r="BK1" s="511" t="s">
        <v>466</v>
      </c>
      <c r="BL1" s="511" t="s">
        <v>466</v>
      </c>
      <c r="BM1" s="13"/>
      <c r="BN1" s="512" t="s">
        <v>467</v>
      </c>
      <c r="BO1" s="11"/>
      <c r="BP1" s="11"/>
      <c r="BQ1" s="511" t="s">
        <v>466</v>
      </c>
      <c r="BR1" s="511" t="s">
        <v>466</v>
      </c>
      <c r="BS1" s="511" t="s">
        <v>466</v>
      </c>
      <c r="BT1" s="511" t="s">
        <v>466</v>
      </c>
      <c r="BU1" s="511" t="s">
        <v>466</v>
      </c>
      <c r="BV1" s="513"/>
      <c r="BW1" s="7" t="s">
        <v>468</v>
      </c>
      <c r="BX1" s="11"/>
      <c r="BY1" s="11"/>
      <c r="BZ1" s="511" t="s">
        <v>466</v>
      </c>
      <c r="CA1" s="511" t="s">
        <v>466</v>
      </c>
      <c r="CB1" s="511" t="s">
        <v>466</v>
      </c>
      <c r="CC1" s="511" t="s">
        <v>466</v>
      </c>
      <c r="CD1" s="511" t="s">
        <v>466</v>
      </c>
      <c r="CE1" s="22"/>
      <c r="CF1" s="7" t="s">
        <v>469</v>
      </c>
      <c r="CG1" s="22"/>
    </row>
    <row r="2" spans="1:85" ht="14.25" x14ac:dyDescent="0.45">
      <c r="A2" s="40" t="s">
        <v>470</v>
      </c>
      <c r="B2" s="41"/>
      <c r="C2" s="7"/>
      <c r="D2" s="155"/>
      <c r="E2" s="22"/>
      <c r="F2" s="18"/>
      <c r="G2" s="7"/>
      <c r="H2" s="40"/>
      <c r="I2" s="40"/>
      <c r="J2" s="40"/>
      <c r="K2" s="3"/>
      <c r="L2" s="18"/>
      <c r="M2" s="18"/>
      <c r="N2" s="18"/>
      <c r="O2" s="3"/>
      <c r="P2" s="3"/>
      <c r="Q2" s="3"/>
      <c r="R2" s="3"/>
      <c r="S2" s="18"/>
      <c r="T2" s="3"/>
      <c r="U2" s="3"/>
      <c r="V2" s="3"/>
      <c r="W2" s="3"/>
      <c r="X2" s="505"/>
      <c r="Y2" s="3"/>
      <c r="Z2" s="3"/>
      <c r="AA2" s="3"/>
      <c r="AB2" s="3"/>
      <c r="AC2" s="505"/>
      <c r="AD2" s="3"/>
      <c r="AE2" s="3"/>
      <c r="AF2" s="3"/>
      <c r="AG2" s="3"/>
      <c r="AH2" s="505"/>
      <c r="AI2" s="3"/>
      <c r="AJ2" s="3"/>
      <c r="AK2" s="3"/>
      <c r="AL2" s="3"/>
      <c r="AM2" s="3"/>
      <c r="AN2" s="3"/>
      <c r="AO2" s="3"/>
      <c r="AP2" s="514">
        <f>Summary!AQ12</f>
        <v>0.25</v>
      </c>
      <c r="AQ2" s="3"/>
      <c r="AR2" s="3"/>
      <c r="AS2" s="515"/>
      <c r="AT2" s="515"/>
      <c r="AU2" s="516">
        <v>0.02</v>
      </c>
      <c r="AV2" s="517">
        <v>0.03</v>
      </c>
      <c r="AW2" s="518"/>
      <c r="AX2" s="518"/>
      <c r="AY2" s="43">
        <v>0.03</v>
      </c>
      <c r="AZ2" s="44"/>
      <c r="BA2" s="519">
        <v>6.5000000000000002E-2</v>
      </c>
      <c r="BB2" s="45"/>
      <c r="BC2" s="22"/>
      <c r="BD2" s="46"/>
      <c r="BE2" s="520">
        <v>0.83</v>
      </c>
      <c r="BF2" s="22"/>
      <c r="BG2" s="22"/>
      <c r="BH2" s="157">
        <v>1</v>
      </c>
      <c r="BI2" s="157">
        <v>2</v>
      </c>
      <c r="BJ2" s="157">
        <v>3</v>
      </c>
      <c r="BK2" s="157">
        <v>4</v>
      </c>
      <c r="BL2" s="157">
        <v>5</v>
      </c>
      <c r="BM2" s="46"/>
      <c r="BN2" s="520">
        <v>0.54</v>
      </c>
      <c r="BO2" s="22"/>
      <c r="BP2" s="22"/>
      <c r="BQ2" s="157">
        <v>1</v>
      </c>
      <c r="BR2" s="157">
        <v>2</v>
      </c>
      <c r="BS2" s="157">
        <v>3</v>
      </c>
      <c r="BT2" s="157">
        <v>4</v>
      </c>
      <c r="BU2" s="157">
        <v>5</v>
      </c>
      <c r="BV2" s="521"/>
      <c r="BW2" s="22">
        <v>450</v>
      </c>
      <c r="BX2" s="22"/>
      <c r="BY2" s="22"/>
      <c r="BZ2" s="157">
        <v>1</v>
      </c>
      <c r="CA2" s="157">
        <v>2</v>
      </c>
      <c r="CB2" s="157">
        <v>3</v>
      </c>
      <c r="CC2" s="157">
        <v>4</v>
      </c>
      <c r="CD2" s="157">
        <v>5</v>
      </c>
      <c r="CE2" s="22"/>
      <c r="CF2" s="22"/>
      <c r="CG2" s="22"/>
    </row>
    <row r="3" spans="1:85" ht="14.25" x14ac:dyDescent="0.45">
      <c r="A3" s="40" t="s">
        <v>471</v>
      </c>
      <c r="B3" s="41"/>
      <c r="C3" s="26"/>
      <c r="D3" s="27"/>
      <c r="E3" s="28"/>
      <c r="F3" s="18"/>
      <c r="G3" s="26"/>
      <c r="H3" s="22"/>
      <c r="I3" s="22"/>
      <c r="J3" s="22"/>
      <c r="K3" s="3"/>
      <c r="L3" s="18"/>
      <c r="M3" s="18"/>
      <c r="N3" s="18"/>
      <c r="O3" s="3"/>
      <c r="P3" s="3"/>
      <c r="Q3" s="3"/>
      <c r="R3" s="3"/>
      <c r="S3" s="18"/>
      <c r="T3" s="3"/>
      <c r="U3" s="3"/>
      <c r="V3" s="3"/>
      <c r="W3" s="3"/>
      <c r="X3" s="505"/>
      <c r="Y3" s="3"/>
      <c r="Z3" s="3"/>
      <c r="AA3" s="3"/>
      <c r="AB3" s="3"/>
      <c r="AC3" s="505"/>
      <c r="AD3" s="3"/>
      <c r="AE3" s="3"/>
      <c r="AF3" s="3"/>
      <c r="AG3" s="3"/>
      <c r="AH3" s="505"/>
      <c r="AI3" s="3"/>
      <c r="AJ3" s="3"/>
      <c r="AK3" s="3"/>
      <c r="AL3" s="3"/>
      <c r="AM3" s="3"/>
      <c r="AN3" s="3"/>
      <c r="AO3" s="3"/>
      <c r="AP3" s="3"/>
      <c r="AQ3" s="3"/>
      <c r="AR3" s="3"/>
      <c r="AS3" s="515"/>
      <c r="AT3" s="515"/>
      <c r="AU3" s="516"/>
      <c r="AV3" s="517"/>
      <c r="AW3" s="518"/>
      <c r="AX3" s="518"/>
      <c r="AY3" s="43"/>
      <c r="AZ3" s="44"/>
      <c r="BA3" s="519"/>
      <c r="BB3" s="45"/>
      <c r="BC3" s="22"/>
      <c r="BD3" s="46"/>
      <c r="BE3" s="520"/>
      <c r="BF3" s="22"/>
      <c r="BG3" s="22"/>
      <c r="BH3" s="157"/>
      <c r="BI3" s="157"/>
      <c r="BJ3" s="157"/>
      <c r="BK3" s="157"/>
      <c r="BL3" s="157"/>
      <c r="BM3" s="46"/>
      <c r="BN3" s="522">
        <f>SUM(40*12)</f>
        <v>480</v>
      </c>
      <c r="BO3" s="22"/>
      <c r="BP3" s="22"/>
      <c r="BQ3" s="157"/>
      <c r="BR3" s="157"/>
      <c r="BS3" s="157"/>
      <c r="BT3" s="157"/>
      <c r="BU3" s="157"/>
      <c r="BV3" s="521"/>
      <c r="BW3" s="22"/>
      <c r="BX3" s="22"/>
      <c r="BY3" s="22"/>
      <c r="BZ3" s="157"/>
      <c r="CA3" s="157"/>
      <c r="CB3" s="157"/>
      <c r="CC3" s="157"/>
      <c r="CD3" s="157"/>
      <c r="CE3" s="22"/>
      <c r="CF3" s="523">
        <v>0.2</v>
      </c>
      <c r="CG3" s="22"/>
    </row>
    <row r="4" spans="1:85" ht="15.75" x14ac:dyDescent="0.5">
      <c r="A4" s="80" t="s">
        <v>62</v>
      </c>
      <c r="B4" s="61" t="s">
        <v>64</v>
      </c>
      <c r="C4" s="41"/>
      <c r="D4" s="62">
        <f>'Avg master'!H2</f>
        <v>535</v>
      </c>
      <c r="E4" s="66">
        <f t="shared" ref="E4:E57" si="0">+(D4/$D$60)</f>
        <v>1.9789576996250458E-3</v>
      </c>
      <c r="F4" s="77">
        <f t="shared" ref="F4:F57" si="1">SUM(E4*$F$61)</f>
        <v>0</v>
      </c>
      <c r="G4" s="41"/>
      <c r="H4" s="64">
        <v>302</v>
      </c>
      <c r="I4" s="64">
        <v>256</v>
      </c>
      <c r="J4" s="64">
        <v>201</v>
      </c>
      <c r="K4" s="65">
        <f t="shared" ref="K4:K57" si="2">AVERAGE(H4:J4)</f>
        <v>253</v>
      </c>
      <c r="L4" s="66">
        <f t="shared" ref="L4:L57" si="3">+(K4/$K$60)</f>
        <v>2.1727741946565215E-3</v>
      </c>
      <c r="M4" s="77">
        <f t="shared" ref="M4:M57" si="4">SUM(L4*$M$61)</f>
        <v>0</v>
      </c>
      <c r="N4" s="66"/>
      <c r="O4" s="65">
        <v>251</v>
      </c>
      <c r="P4" s="66">
        <f t="shared" ref="P4:P7" si="5">SUM(O4/$O$60)</f>
        <v>2.546465384303222E-3</v>
      </c>
      <c r="Q4" s="77">
        <f t="shared" ref="Q4:Q7" si="6">SUM(P4*$Q$61)</f>
        <v>0</v>
      </c>
      <c r="R4" s="65"/>
      <c r="S4" s="66"/>
      <c r="T4" s="145">
        <v>4430</v>
      </c>
      <c r="U4" s="66">
        <f t="shared" ref="U4:U57" si="7">SUM(T4/$T$60)</f>
        <v>3.3449967758157487E-3</v>
      </c>
      <c r="V4" s="77">
        <f t="shared" ref="V4:V57" si="8">SUM(U4*$V$61)</f>
        <v>531.76133253949433</v>
      </c>
      <c r="W4" s="77"/>
      <c r="X4" s="75">
        <v>1988</v>
      </c>
      <c r="Y4" s="77">
        <f t="shared" ref="Y4:Y7" si="9">SUM(X4*$Y$62)</f>
        <v>0</v>
      </c>
      <c r="Z4" s="77"/>
      <c r="AA4" s="65"/>
      <c r="AB4" s="65"/>
      <c r="AC4" s="77">
        <f t="shared" ref="AC4:AC57" si="10">SUM($AC$61/$BA$61)</f>
        <v>519.51683333333335</v>
      </c>
      <c r="AD4" s="65"/>
      <c r="AE4" s="65"/>
      <c r="AF4" s="65">
        <v>1122</v>
      </c>
      <c r="AG4" s="66">
        <f t="shared" ref="AG4:AG57" si="11">SUM(AF4/$AF$60)</f>
        <v>8.9592712487243816E-4</v>
      </c>
      <c r="AH4" s="77">
        <f t="shared" ref="AH4:AH57" si="12">SUM(AG4*$AH$61)</f>
        <v>0</v>
      </c>
      <c r="AI4" s="65"/>
      <c r="AJ4" s="65"/>
      <c r="AK4" s="145">
        <f>'Avg master'!T2</f>
        <v>267.5</v>
      </c>
      <c r="AL4" s="145">
        <f>'Avg master'!U2</f>
        <v>55.5</v>
      </c>
      <c r="AM4" s="65">
        <f t="shared" ref="AM4:AM57" si="13">SUM(AL4-AK4)</f>
        <v>-212</v>
      </c>
      <c r="AN4" s="524">
        <f t="shared" ref="AN4:AN57" si="14">SUM(AK4/AL4)</f>
        <v>4.8198198198198199</v>
      </c>
      <c r="AO4" s="66">
        <f t="shared" ref="AO4:AO57" si="15">SUM(AL4/$AL$60)</f>
        <v>6.5849578206755811E-4</v>
      </c>
      <c r="AP4" s="77">
        <f t="shared" ref="AP4:AP57" si="16">SUM($AP$61*AO4)+(AM4*$AP$2)</f>
        <v>-29.952647627635468</v>
      </c>
      <c r="AQ4" s="76">
        <f t="shared" ref="AQ4:AQ57" si="17">SUM(F4+V4+AC4+M4+AH4+Y4+AP4)</f>
        <v>1021.3255182451923</v>
      </c>
      <c r="AR4" s="144">
        <f t="shared" ref="AR4:AR57" si="18">SUM(AQ4/$K$4)</f>
        <v>4.0368597559098509</v>
      </c>
      <c r="AS4" s="120"/>
      <c r="AT4" s="120">
        <v>1000</v>
      </c>
      <c r="AU4" s="120">
        <v>1020</v>
      </c>
      <c r="AV4" s="145">
        <v>1050</v>
      </c>
      <c r="AW4" s="12"/>
      <c r="AX4" s="12"/>
      <c r="AY4" s="67">
        <v>1227.1218120000001</v>
      </c>
      <c r="AZ4" s="22"/>
      <c r="BA4" s="68">
        <f>SUM(AY4*(1+$BA$2))</f>
        <v>1306.88472978</v>
      </c>
      <c r="BB4" s="525">
        <f t="shared" ref="BB4:BB18" si="19">SUM(BA4/K4)</f>
        <v>5.1655522916205534</v>
      </c>
      <c r="BC4" s="22"/>
      <c r="BD4" s="46"/>
      <c r="BE4" s="146">
        <f t="shared" ref="BE4:BE18" si="20">SUM(K4*$BE$2)</f>
        <v>209.98999999999998</v>
      </c>
      <c r="BF4" s="523">
        <f t="shared" ref="BF4:BF18" si="21">SUM(BE4-BA4)</f>
        <v>-1096.89472978</v>
      </c>
      <c r="BG4" s="44">
        <f t="shared" ref="BG4:BG18" si="22">SUM(BE4-BA4)/BE4</f>
        <v>-5.2235569778560889</v>
      </c>
      <c r="BH4" s="149">
        <f t="shared" ref="BH4:BH6" si="23">SUM($BA4-SUM($BA4*0.1))</f>
        <v>1176.1962568020001</v>
      </c>
      <c r="BI4" s="149">
        <f t="shared" ref="BI4:BL4" si="24">SUM(BH4-SUM($BZ4*0.1))</f>
        <v>1058.5766311218001</v>
      </c>
      <c r="BJ4" s="149">
        <f t="shared" si="24"/>
        <v>940.95700544160013</v>
      </c>
      <c r="BK4" s="149">
        <f t="shared" si="24"/>
        <v>823.33737976140014</v>
      </c>
      <c r="BL4" s="149">
        <f t="shared" si="24"/>
        <v>705.71775408120016</v>
      </c>
      <c r="BM4" s="46"/>
      <c r="BN4" s="146">
        <f>SUM(K4*$BN$2)+(12*50)</f>
        <v>736.62</v>
      </c>
      <c r="BO4" s="523">
        <f t="shared" ref="BO4:BO30" si="25">SUM(BN4-BA4)</f>
        <v>-570.26472978000004</v>
      </c>
      <c r="BP4" s="44">
        <f t="shared" ref="BP4:BP30" si="26">SUM(BN4-BA4)/BN4</f>
        <v>-0.77416405986804604</v>
      </c>
      <c r="BQ4" s="149">
        <f>SUM($BA4-SUM($BA4*0.1))</f>
        <v>1176.1962568020001</v>
      </c>
      <c r="BR4" s="149">
        <f t="shared" ref="BR4:BS4" si="27">SUM(BQ4-SUM($BZ4*0.1))</f>
        <v>1058.5766311218001</v>
      </c>
      <c r="BS4" s="149">
        <f t="shared" si="27"/>
        <v>940.95700544160013</v>
      </c>
      <c r="BT4" s="149">
        <f t="shared" ref="BT4:BU4" si="28">SUM(BS4*1.03)</f>
        <v>969.18571560484816</v>
      </c>
      <c r="BU4" s="149">
        <f t="shared" si="28"/>
        <v>998.26128707299358</v>
      </c>
      <c r="BV4" s="526"/>
      <c r="BW4" s="527">
        <f t="shared" ref="BW4:BW5" si="29">SUM(L4*$BA$63)+$BW$2</f>
        <v>913.81689267526042</v>
      </c>
      <c r="BX4" s="523">
        <f t="shared" ref="BX4:BX18" si="30">SUM(BW4-$BA4)</f>
        <v>-393.06783710473962</v>
      </c>
      <c r="BY4" s="44">
        <f t="shared" ref="BY4:BY18" si="31">SUM(BW4-$BA4)/BW4</f>
        <v>-0.43013851052151936</v>
      </c>
      <c r="BZ4" s="149">
        <f t="shared" ref="BZ4:BZ6" si="32">SUM($BA4-SUM($BA4*0.1))</f>
        <v>1176.1962568020001</v>
      </c>
      <c r="CA4" s="149">
        <f t="shared" ref="CA4:CD4" si="33">SUM(BZ4-SUM($BZ4*0.1))</f>
        <v>1058.5766311218001</v>
      </c>
      <c r="CB4" s="149">
        <f t="shared" si="33"/>
        <v>940.95700544160013</v>
      </c>
      <c r="CC4" s="149">
        <f t="shared" si="33"/>
        <v>823.33737976140014</v>
      </c>
      <c r="CD4" s="149">
        <f t="shared" si="33"/>
        <v>705.71775408120016</v>
      </c>
      <c r="CE4" s="22"/>
      <c r="CF4" s="149">
        <f t="shared" ref="CF4:CF7" si="34">SUM(T4*$CF$3)</f>
        <v>886</v>
      </c>
      <c r="CG4" s="145">
        <f t="shared" ref="CG4:CG7" si="35">SUM(CF4-BA4)</f>
        <v>-420.88472978000004</v>
      </c>
    </row>
    <row r="5" spans="1:85" ht="15.75" x14ac:dyDescent="0.5">
      <c r="A5" s="95" t="s">
        <v>65</v>
      </c>
      <c r="B5" s="61" t="s">
        <v>64</v>
      </c>
      <c r="C5" s="41"/>
      <c r="D5" s="62">
        <f>'Avg master'!H3</f>
        <v>611.66666666666663</v>
      </c>
      <c r="E5" s="66">
        <f t="shared" si="0"/>
        <v>2.2625466534653949E-3</v>
      </c>
      <c r="F5" s="77">
        <f t="shared" si="1"/>
        <v>0</v>
      </c>
      <c r="G5" s="41"/>
      <c r="H5" s="64">
        <v>414</v>
      </c>
      <c r="I5" s="64">
        <v>335</v>
      </c>
      <c r="J5" s="64">
        <v>161</v>
      </c>
      <c r="K5" s="65">
        <f t="shared" si="2"/>
        <v>303.33333333333331</v>
      </c>
      <c r="L5" s="66">
        <f t="shared" si="3"/>
        <v>2.6050388895091361E-3</v>
      </c>
      <c r="M5" s="77">
        <f t="shared" si="4"/>
        <v>0</v>
      </c>
      <c r="N5" s="66"/>
      <c r="O5" s="65">
        <v>332</v>
      </c>
      <c r="P5" s="66">
        <f t="shared" si="5"/>
        <v>3.3682330979628275E-3</v>
      </c>
      <c r="Q5" s="77">
        <f t="shared" si="6"/>
        <v>0</v>
      </c>
      <c r="R5" s="65"/>
      <c r="S5" s="66"/>
      <c r="T5" s="145">
        <v>10363</v>
      </c>
      <c r="U5" s="66">
        <f t="shared" si="7"/>
        <v>7.8248762049161636E-3</v>
      </c>
      <c r="V5" s="77">
        <f t="shared" si="8"/>
        <v>1243.9374016042391</v>
      </c>
      <c r="W5" s="77"/>
      <c r="X5" s="75">
        <v>3549</v>
      </c>
      <c r="Y5" s="77">
        <f t="shared" si="9"/>
        <v>0</v>
      </c>
      <c r="Z5" s="77"/>
      <c r="AA5" s="65"/>
      <c r="AB5" s="65"/>
      <c r="AC5" s="77">
        <f t="shared" si="10"/>
        <v>519.51683333333335</v>
      </c>
      <c r="AD5" s="65"/>
      <c r="AE5" s="65"/>
      <c r="AF5" s="65">
        <v>2851</v>
      </c>
      <c r="AG5" s="66">
        <f t="shared" si="11"/>
        <v>2.2765492272828177E-3</v>
      </c>
      <c r="AH5" s="77">
        <f t="shared" si="12"/>
        <v>0</v>
      </c>
      <c r="AI5" s="65"/>
      <c r="AJ5" s="65"/>
      <c r="AK5" s="145">
        <f>'Avg master'!T3</f>
        <v>550</v>
      </c>
      <c r="AL5" s="145">
        <f>'Avg master'!U3</f>
        <v>116</v>
      </c>
      <c r="AM5" s="65">
        <f t="shared" si="13"/>
        <v>-434</v>
      </c>
      <c r="AN5" s="524">
        <f t="shared" si="14"/>
        <v>4.7413793103448274</v>
      </c>
      <c r="AO5" s="66">
        <f t="shared" si="15"/>
        <v>1.3763155084655268E-3</v>
      </c>
      <c r="AP5" s="77">
        <f t="shared" si="16"/>
        <v>-60.328957203706565</v>
      </c>
      <c r="AQ5" s="76">
        <f t="shared" si="17"/>
        <v>1703.1252777338659</v>
      </c>
      <c r="AR5" s="144">
        <f t="shared" si="18"/>
        <v>6.7317204653512484</v>
      </c>
      <c r="AS5" s="120"/>
      <c r="AT5" s="120"/>
      <c r="AU5" s="120"/>
      <c r="AV5" s="145"/>
      <c r="AW5" s="12"/>
      <c r="AX5" s="12"/>
      <c r="AY5" s="67"/>
      <c r="AZ5" s="22"/>
      <c r="BA5" s="79">
        <f>SUM(1227*(1+$BA$2))</f>
        <v>1306.7549999999999</v>
      </c>
      <c r="BB5" s="525">
        <f t="shared" si="19"/>
        <v>4.3079835164835165</v>
      </c>
      <c r="BC5" s="45"/>
      <c r="BD5" s="46"/>
      <c r="BE5" s="146">
        <f t="shared" si="20"/>
        <v>251.76666666666665</v>
      </c>
      <c r="BF5" s="523">
        <f t="shared" si="21"/>
        <v>-1054.9883333333332</v>
      </c>
      <c r="BG5" s="44">
        <f t="shared" si="22"/>
        <v>-4.1903415861247186</v>
      </c>
      <c r="BH5" s="149">
        <f t="shared" si="23"/>
        <v>1176.0794999999998</v>
      </c>
      <c r="BI5" s="149">
        <f t="shared" ref="BI5:BL5" si="36">SUM(BH5-SUM($BZ5*0.1))</f>
        <v>1058.4715499999998</v>
      </c>
      <c r="BJ5" s="149">
        <f t="shared" si="36"/>
        <v>940.86359999999979</v>
      </c>
      <c r="BK5" s="149">
        <f t="shared" si="36"/>
        <v>823.25564999999983</v>
      </c>
      <c r="BL5" s="149">
        <f t="shared" si="36"/>
        <v>705.64769999999987</v>
      </c>
      <c r="BM5" s="46"/>
      <c r="BN5" s="146">
        <f t="shared" ref="BN5:BN6" si="37">SUM(K5*$BN$2)+(12*75)</f>
        <v>1063.8</v>
      </c>
      <c r="BO5" s="523">
        <f t="shared" si="25"/>
        <v>-242.95499999999993</v>
      </c>
      <c r="BP5" s="44">
        <f t="shared" si="26"/>
        <v>-0.22838409475465307</v>
      </c>
      <c r="BQ5" s="149">
        <f>SUM($BA5-SUM($BA5*0.05))</f>
        <v>1241.41725</v>
      </c>
      <c r="BR5" s="149">
        <f t="shared" ref="BR5:BU5" si="38">SUM(BQ5*1.03)</f>
        <v>1278.6597675</v>
      </c>
      <c r="BS5" s="149">
        <f t="shared" si="38"/>
        <v>1317.0195605250001</v>
      </c>
      <c r="BT5" s="149">
        <f t="shared" si="38"/>
        <v>1356.5301473407501</v>
      </c>
      <c r="BU5" s="149">
        <f t="shared" si="38"/>
        <v>1397.2260517609727</v>
      </c>
      <c r="BV5" s="526"/>
      <c r="BW5" s="527">
        <f t="shared" si="29"/>
        <v>1006.0913996501804</v>
      </c>
      <c r="BX5" s="523">
        <f t="shared" si="30"/>
        <v>-300.66360034981949</v>
      </c>
      <c r="BY5" s="44">
        <f t="shared" si="31"/>
        <v>-0.29884322682249415</v>
      </c>
      <c r="BZ5" s="149">
        <f t="shared" si="32"/>
        <v>1176.0794999999998</v>
      </c>
      <c r="CA5" s="149">
        <f t="shared" ref="CA5:CD5" si="39">SUM(BZ5-SUM($BZ5*0.1))</f>
        <v>1058.4715499999998</v>
      </c>
      <c r="CB5" s="149">
        <f t="shared" si="39"/>
        <v>940.86359999999979</v>
      </c>
      <c r="CC5" s="149">
        <f t="shared" si="39"/>
        <v>823.25564999999983</v>
      </c>
      <c r="CD5" s="149">
        <f t="shared" si="39"/>
        <v>705.64769999999987</v>
      </c>
      <c r="CE5" s="22"/>
      <c r="CF5" s="149">
        <f t="shared" si="34"/>
        <v>2072.6</v>
      </c>
      <c r="CG5" s="145">
        <f t="shared" si="35"/>
        <v>765.84500000000003</v>
      </c>
    </row>
    <row r="6" spans="1:85" ht="15.75" x14ac:dyDescent="0.5">
      <c r="A6" s="80" t="s">
        <v>67</v>
      </c>
      <c r="B6" s="82" t="s">
        <v>69</v>
      </c>
      <c r="C6" s="41"/>
      <c r="D6" s="62">
        <f>'Avg master'!H4</f>
        <v>1671.6666666666667</v>
      </c>
      <c r="E6" s="66">
        <f t="shared" si="0"/>
        <v>6.1834721891710935E-3</v>
      </c>
      <c r="F6" s="77">
        <f t="shared" si="1"/>
        <v>0</v>
      </c>
      <c r="G6" s="41"/>
      <c r="H6" s="64">
        <v>756</v>
      </c>
      <c r="I6" s="64">
        <v>597</v>
      </c>
      <c r="J6" s="64">
        <v>491</v>
      </c>
      <c r="K6" s="65">
        <f t="shared" si="2"/>
        <v>614.66666666666663</v>
      </c>
      <c r="L6" s="66">
        <f t="shared" si="3"/>
        <v>5.2787821013789531E-3</v>
      </c>
      <c r="M6" s="77">
        <f t="shared" si="4"/>
        <v>0</v>
      </c>
      <c r="N6" s="66"/>
      <c r="O6" s="65">
        <v>570</v>
      </c>
      <c r="P6" s="66">
        <f t="shared" si="5"/>
        <v>5.7828098368638906E-3</v>
      </c>
      <c r="Q6" s="77">
        <f t="shared" si="6"/>
        <v>0</v>
      </c>
      <c r="R6" s="65"/>
      <c r="S6" s="66"/>
      <c r="T6" s="145">
        <v>14018</v>
      </c>
      <c r="U6" s="66">
        <f t="shared" si="7"/>
        <v>1.0584687314533898E-2</v>
      </c>
      <c r="V6" s="77">
        <f t="shared" si="8"/>
        <v>1682.670510053867</v>
      </c>
      <c r="W6" s="77"/>
      <c r="X6" s="75">
        <v>7943</v>
      </c>
      <c r="Y6" s="77">
        <f t="shared" si="9"/>
        <v>0</v>
      </c>
      <c r="Z6" s="77"/>
      <c r="AA6" s="65"/>
      <c r="AB6" s="65"/>
      <c r="AC6" s="77">
        <f t="shared" si="10"/>
        <v>519.51683333333335</v>
      </c>
      <c r="AD6" s="65"/>
      <c r="AE6" s="65"/>
      <c r="AF6" s="65">
        <v>6907</v>
      </c>
      <c r="AG6" s="66">
        <f t="shared" si="11"/>
        <v>5.5153018284259626E-3</v>
      </c>
      <c r="AH6" s="77">
        <f t="shared" si="12"/>
        <v>0</v>
      </c>
      <c r="AI6" s="65"/>
      <c r="AJ6" s="65"/>
      <c r="AK6" s="145">
        <f>'Avg master'!T4</f>
        <v>867</v>
      </c>
      <c r="AL6" s="145">
        <f>'Avg master'!U4</f>
        <v>1095.5</v>
      </c>
      <c r="AM6" s="65">
        <f t="shared" si="13"/>
        <v>228.5</v>
      </c>
      <c r="AN6" s="524">
        <f t="shared" si="14"/>
        <v>0.79141944317663171</v>
      </c>
      <c r="AO6" s="66">
        <f t="shared" si="15"/>
        <v>1.2997876202792972E-2</v>
      </c>
      <c r="AP6" s="77">
        <f t="shared" si="16"/>
        <v>512.05066709775406</v>
      </c>
      <c r="AQ6" s="76">
        <f t="shared" si="17"/>
        <v>2714.2380104849544</v>
      </c>
      <c r="AR6" s="144">
        <f t="shared" si="18"/>
        <v>10.728213480177686</v>
      </c>
      <c r="AS6" s="120"/>
      <c r="AT6" s="120">
        <v>1200</v>
      </c>
      <c r="AU6" s="120">
        <v>1220</v>
      </c>
      <c r="AV6" s="145">
        <v>1260</v>
      </c>
      <c r="AW6" s="528" t="s">
        <v>472</v>
      </c>
      <c r="AX6" s="12"/>
      <c r="AY6" s="67">
        <v>1472.5461744000004</v>
      </c>
      <c r="AZ6" s="22"/>
      <c r="BA6" s="68">
        <f t="shared" ref="BA6:BA14" si="40">SUM(AY6*(1+$BA$2))</f>
        <v>1568.2616757360004</v>
      </c>
      <c r="BB6" s="45">
        <f t="shared" si="19"/>
        <v>2.5514018585726688</v>
      </c>
      <c r="BC6" s="45">
        <f t="shared" ref="BC6:BC7" si="41">AVERAGE(BB1:BB6)</f>
        <v>4.0083125555589136</v>
      </c>
      <c r="BD6" s="46"/>
      <c r="BE6" s="146">
        <f t="shared" si="20"/>
        <v>510.17333333333329</v>
      </c>
      <c r="BF6" s="523">
        <f t="shared" si="21"/>
        <v>-1058.088342402667</v>
      </c>
      <c r="BG6" s="44">
        <f t="shared" si="22"/>
        <v>-2.0739781428586372</v>
      </c>
      <c r="BH6" s="149">
        <f t="shared" si="23"/>
        <v>1411.4355081624003</v>
      </c>
      <c r="BI6" s="149">
        <f t="shared" ref="BI6:BL6" si="42">SUM(BH6*1.03)</f>
        <v>1453.7785734072725</v>
      </c>
      <c r="BJ6" s="149">
        <f t="shared" si="42"/>
        <v>1497.3919306094906</v>
      </c>
      <c r="BK6" s="149">
        <f t="shared" si="42"/>
        <v>1542.3136885277754</v>
      </c>
      <c r="BL6" s="149">
        <f t="shared" si="42"/>
        <v>1588.5830991836087</v>
      </c>
      <c r="BM6" s="46"/>
      <c r="BN6" s="146">
        <f t="shared" si="37"/>
        <v>1231.92</v>
      </c>
      <c r="BO6" s="523">
        <f t="shared" si="25"/>
        <v>-336.3416757360003</v>
      </c>
      <c r="BP6" s="44">
        <f t="shared" si="26"/>
        <v>-0.27302233565166589</v>
      </c>
      <c r="BQ6" s="149">
        <f>SUM($BA6+SUM($BA6*0.1))</f>
        <v>1725.0878433096004</v>
      </c>
      <c r="BR6" s="149">
        <f>SUM(BQ6+SUM($BZ6*0.1))</f>
        <v>1866.2313941258406</v>
      </c>
      <c r="BS6" s="149">
        <f t="shared" ref="BS6:BU6" si="43">SUM(BR6*1.03)</f>
        <v>1922.2183359496157</v>
      </c>
      <c r="BT6" s="149">
        <f t="shared" si="43"/>
        <v>1979.8848860281043</v>
      </c>
      <c r="BU6" s="149">
        <f t="shared" si="43"/>
        <v>2039.2814326089476</v>
      </c>
      <c r="BV6" s="526"/>
      <c r="BW6" s="527">
        <f t="shared" ref="BW6:BW9" si="44">SUM(L6*$BA$63)</f>
        <v>1126.8489461043216</v>
      </c>
      <c r="BX6" s="523">
        <f t="shared" si="30"/>
        <v>-441.41272963167876</v>
      </c>
      <c r="BY6" s="44">
        <f t="shared" si="31"/>
        <v>-0.39172307092064634</v>
      </c>
      <c r="BZ6" s="149">
        <f t="shared" si="32"/>
        <v>1411.4355081624003</v>
      </c>
      <c r="CA6" s="149">
        <f t="shared" ref="CA6:CD6" si="45">SUM(BZ6-SUM($BZ6*0.1))</f>
        <v>1270.2919573461602</v>
      </c>
      <c r="CB6" s="149">
        <f t="shared" si="45"/>
        <v>1129.1484065299201</v>
      </c>
      <c r="CC6" s="149">
        <f t="shared" si="45"/>
        <v>988.00485571368006</v>
      </c>
      <c r="CD6" s="149">
        <f t="shared" si="45"/>
        <v>846.86130489744005</v>
      </c>
      <c r="CE6" s="22"/>
      <c r="CF6" s="149">
        <f t="shared" si="34"/>
        <v>2803.6000000000004</v>
      </c>
      <c r="CG6" s="145">
        <f t="shared" si="35"/>
        <v>1235.338324264</v>
      </c>
    </row>
    <row r="7" spans="1:85" ht="15.75" x14ac:dyDescent="0.5">
      <c r="A7" s="83" t="s">
        <v>70</v>
      </c>
      <c r="B7" s="85" t="s">
        <v>72</v>
      </c>
      <c r="C7" s="41"/>
      <c r="D7" s="62">
        <f>'Avg master'!H5</f>
        <v>16778.333333333332</v>
      </c>
      <c r="E7" s="66">
        <f t="shared" si="0"/>
        <v>6.2062826050234686E-2</v>
      </c>
      <c r="F7" s="77">
        <f t="shared" si="1"/>
        <v>0</v>
      </c>
      <c r="G7" s="41"/>
      <c r="H7" s="64">
        <v>10989</v>
      </c>
      <c r="I7" s="64">
        <v>9198</v>
      </c>
      <c r="J7" s="64">
        <v>6885</v>
      </c>
      <c r="K7" s="65">
        <f t="shared" si="2"/>
        <v>9024</v>
      </c>
      <c r="L7" s="66">
        <f t="shared" si="3"/>
        <v>7.7498475622847618E-2</v>
      </c>
      <c r="M7" s="77">
        <f t="shared" si="4"/>
        <v>0</v>
      </c>
      <c r="N7" s="66"/>
      <c r="O7" s="65">
        <v>9226</v>
      </c>
      <c r="P7" s="66">
        <f t="shared" si="5"/>
        <v>9.360035711387063E-2</v>
      </c>
      <c r="Q7" s="77">
        <f t="shared" si="6"/>
        <v>0</v>
      </c>
      <c r="R7" s="65"/>
      <c r="S7" s="66"/>
      <c r="T7" s="145">
        <v>137059</v>
      </c>
      <c r="U7" s="66">
        <f t="shared" si="7"/>
        <v>0.10349027383668864</v>
      </c>
      <c r="V7" s="77">
        <f t="shared" si="8"/>
        <v>16452.071439397416</v>
      </c>
      <c r="W7" s="77"/>
      <c r="X7" s="75">
        <v>91539</v>
      </c>
      <c r="Y7" s="77">
        <f t="shared" si="9"/>
        <v>0</v>
      </c>
      <c r="Z7" s="77"/>
      <c r="AA7" s="65"/>
      <c r="AB7" s="65"/>
      <c r="AC7" s="77">
        <f t="shared" si="10"/>
        <v>519.51683333333335</v>
      </c>
      <c r="AD7" s="65"/>
      <c r="AE7" s="65"/>
      <c r="AF7" s="65">
        <v>140324</v>
      </c>
      <c r="AG7" s="66">
        <f t="shared" si="11"/>
        <v>0.11204998027682711</v>
      </c>
      <c r="AH7" s="77">
        <f t="shared" si="12"/>
        <v>0</v>
      </c>
      <c r="AI7" s="65"/>
      <c r="AJ7" s="65"/>
      <c r="AK7" s="145">
        <f>'Avg master'!T5</f>
        <v>8288.5</v>
      </c>
      <c r="AL7" s="145">
        <f>'Avg master'!U5</f>
        <v>6944</v>
      </c>
      <c r="AM7" s="65">
        <f t="shared" si="13"/>
        <v>-1344.5</v>
      </c>
      <c r="AN7" s="524">
        <f t="shared" si="14"/>
        <v>1.1936203917050692</v>
      </c>
      <c r="AO7" s="66">
        <f t="shared" si="15"/>
        <v>8.2389093886074294E-2</v>
      </c>
      <c r="AP7" s="77">
        <f t="shared" si="16"/>
        <v>2547.4932860126005</v>
      </c>
      <c r="AQ7" s="76">
        <f t="shared" si="17"/>
        <v>19519.08155874335</v>
      </c>
      <c r="AR7" s="144">
        <f t="shared" si="18"/>
        <v>77.150519995033008</v>
      </c>
      <c r="AS7" s="120"/>
      <c r="AT7" s="120">
        <v>10000</v>
      </c>
      <c r="AU7" s="120">
        <v>10200</v>
      </c>
      <c r="AV7" s="145">
        <v>10500</v>
      </c>
      <c r="AW7" s="12"/>
      <c r="AX7" s="12"/>
      <c r="AY7" s="67">
        <v>12271.218120000003</v>
      </c>
      <c r="AZ7" s="22"/>
      <c r="BA7" s="68">
        <f t="shared" si="40"/>
        <v>13068.847297800003</v>
      </c>
      <c r="BB7" s="45">
        <f t="shared" si="19"/>
        <v>1.4482321916888301</v>
      </c>
      <c r="BC7" s="45">
        <f t="shared" si="41"/>
        <v>3.3682924645913923</v>
      </c>
      <c r="BD7" s="46"/>
      <c r="BE7" s="146">
        <f t="shared" si="20"/>
        <v>7489.92</v>
      </c>
      <c r="BF7" s="523">
        <f t="shared" si="21"/>
        <v>-5578.9272978000026</v>
      </c>
      <c r="BG7" s="44">
        <f t="shared" si="22"/>
        <v>-0.74485806227569884</v>
      </c>
      <c r="BH7" s="149">
        <f>BE7</f>
        <v>7489.92</v>
      </c>
      <c r="BI7" s="149">
        <f t="shared" ref="BI7:BL7" si="46">SUM(BH7*1.03)</f>
        <v>7714.6176000000005</v>
      </c>
      <c r="BJ7" s="149">
        <f t="shared" si="46"/>
        <v>7946.0561280000011</v>
      </c>
      <c r="BK7" s="149">
        <f t="shared" si="46"/>
        <v>8184.4378118400009</v>
      </c>
      <c r="BL7" s="149">
        <f t="shared" si="46"/>
        <v>8429.9709461952007</v>
      </c>
      <c r="BM7" s="46"/>
      <c r="BN7" s="146">
        <f>SUM(K7*$BN$2)+(12*250)</f>
        <v>7872.96</v>
      </c>
      <c r="BO7" s="523">
        <f t="shared" si="25"/>
        <v>-5195.8872978000027</v>
      </c>
      <c r="BP7" s="44">
        <f t="shared" si="26"/>
        <v>-0.65996617508535582</v>
      </c>
      <c r="BQ7" s="149">
        <f>BN7</f>
        <v>7872.96</v>
      </c>
      <c r="BR7" s="149">
        <f t="shared" ref="BR7:BU7" si="47">SUM(BQ7*1.03)</f>
        <v>8109.1487999999999</v>
      </c>
      <c r="BS7" s="149">
        <f t="shared" si="47"/>
        <v>8352.4232640000009</v>
      </c>
      <c r="BT7" s="149">
        <f t="shared" si="47"/>
        <v>8602.9959619200017</v>
      </c>
      <c r="BU7" s="149">
        <f t="shared" si="47"/>
        <v>8861.0858407776013</v>
      </c>
      <c r="BV7" s="526"/>
      <c r="BW7" s="527">
        <f t="shared" si="44"/>
        <v>16543.413594867783</v>
      </c>
      <c r="BX7" s="523">
        <f t="shared" si="30"/>
        <v>3474.5662970677804</v>
      </c>
      <c r="BY7" s="44">
        <f t="shared" si="31"/>
        <v>0.21002716743693609</v>
      </c>
      <c r="BZ7" s="149">
        <f>SUM($BA7+SUM($BA7*0.1))</f>
        <v>14375.732027580003</v>
      </c>
      <c r="CA7" s="149">
        <f t="shared" ref="CA7:CD7" si="48">SUM(BZ7*1.03)</f>
        <v>14807.003988407403</v>
      </c>
      <c r="CB7" s="149">
        <f t="shared" si="48"/>
        <v>15251.214108059625</v>
      </c>
      <c r="CC7" s="149">
        <f t="shared" si="48"/>
        <v>15708.750531301414</v>
      </c>
      <c r="CD7" s="149">
        <f t="shared" si="48"/>
        <v>16180.013047240456</v>
      </c>
      <c r="CE7" s="22"/>
      <c r="CF7" s="149">
        <f t="shared" si="34"/>
        <v>27411.800000000003</v>
      </c>
      <c r="CG7" s="145">
        <f t="shared" si="35"/>
        <v>14342.9527022</v>
      </c>
    </row>
    <row r="8" spans="1:85" ht="28.9" x14ac:dyDescent="0.5">
      <c r="A8" s="86" t="s">
        <v>73</v>
      </c>
      <c r="B8" s="88" t="s">
        <v>75</v>
      </c>
      <c r="C8" s="41"/>
      <c r="D8" s="62">
        <f>'Avg master'!H6</f>
        <v>2763</v>
      </c>
      <c r="E8" s="66">
        <f t="shared" si="0"/>
        <v>1.0220299297315891E-2</v>
      </c>
      <c r="F8" s="77">
        <f t="shared" si="1"/>
        <v>0</v>
      </c>
      <c r="G8" s="41"/>
      <c r="H8" s="64">
        <v>4438</v>
      </c>
      <c r="I8" s="64">
        <v>2541</v>
      </c>
      <c r="J8" s="64">
        <v>1310</v>
      </c>
      <c r="K8" s="65">
        <f t="shared" si="2"/>
        <v>2763</v>
      </c>
      <c r="L8" s="66">
        <f t="shared" si="3"/>
        <v>2.3728755335320033E-2</v>
      </c>
      <c r="M8" s="77">
        <f t="shared" si="4"/>
        <v>0</v>
      </c>
      <c r="N8" s="66"/>
      <c r="O8" s="65"/>
      <c r="P8" s="65"/>
      <c r="Q8" s="65"/>
      <c r="R8" s="65"/>
      <c r="S8" s="66"/>
      <c r="T8" s="145">
        <v>22415</v>
      </c>
      <c r="U8" s="66">
        <f t="shared" si="7"/>
        <v>1.6925079623004515E-2</v>
      </c>
      <c r="V8" s="77">
        <f t="shared" si="8"/>
        <v>2690.6163135152965</v>
      </c>
      <c r="W8" s="65"/>
      <c r="X8" s="75"/>
      <c r="Y8" s="76"/>
      <c r="Z8" s="65"/>
      <c r="AA8" s="65"/>
      <c r="AB8" s="65"/>
      <c r="AC8" s="77">
        <f t="shared" si="10"/>
        <v>519.51683333333335</v>
      </c>
      <c r="AD8" s="65"/>
      <c r="AE8" s="65"/>
      <c r="AF8" s="65">
        <v>1276</v>
      </c>
      <c r="AG8" s="66">
        <f t="shared" si="11"/>
        <v>1.0188975145608121E-3</v>
      </c>
      <c r="AH8" s="77">
        <f t="shared" si="12"/>
        <v>0</v>
      </c>
      <c r="AI8" s="65"/>
      <c r="AJ8" s="65"/>
      <c r="AK8" s="145">
        <f>'Avg master'!T6</f>
        <v>521</v>
      </c>
      <c r="AL8" s="145">
        <f>'Avg master'!U6</f>
        <v>98</v>
      </c>
      <c r="AM8" s="65">
        <f t="shared" si="13"/>
        <v>-423</v>
      </c>
      <c r="AN8" s="524">
        <f t="shared" si="14"/>
        <v>5.3163265306122449</v>
      </c>
      <c r="AO8" s="66">
        <f t="shared" si="15"/>
        <v>1.1627493088760485E-3</v>
      </c>
      <c r="AP8" s="77">
        <f t="shared" si="16"/>
        <v>-65.053774189338299</v>
      </c>
      <c r="AQ8" s="76">
        <f t="shared" si="17"/>
        <v>3145.0793726592915</v>
      </c>
      <c r="AR8" s="144">
        <f t="shared" si="18"/>
        <v>12.431143765451745</v>
      </c>
      <c r="AS8" s="120"/>
      <c r="AT8" s="120">
        <v>5000</v>
      </c>
      <c r="AU8" s="120">
        <v>5100</v>
      </c>
      <c r="AV8" s="145">
        <v>5250</v>
      </c>
      <c r="AW8" s="12"/>
      <c r="AX8" s="12"/>
      <c r="AY8" s="67">
        <v>6135.6090600000016</v>
      </c>
      <c r="AZ8" s="22"/>
      <c r="BA8" s="68">
        <f t="shared" si="40"/>
        <v>6534.4236489000014</v>
      </c>
      <c r="BB8" s="45">
        <f t="shared" si="19"/>
        <v>2.3649741762214989</v>
      </c>
      <c r="BC8" s="22"/>
      <c r="BD8" s="46"/>
      <c r="BE8" s="146">
        <f t="shared" si="20"/>
        <v>2293.29</v>
      </c>
      <c r="BF8" s="523">
        <f t="shared" si="21"/>
        <v>-4241.1336489000014</v>
      </c>
      <c r="BG8" s="44">
        <f t="shared" si="22"/>
        <v>-1.8493664773752998</v>
      </c>
      <c r="BH8" s="149">
        <f t="shared" ref="BH8:BH12" si="49">SUM($BA8-SUM($BA8*0.1))</f>
        <v>5880.9812840100012</v>
      </c>
      <c r="BI8" s="149">
        <f t="shared" ref="BI8:BL8" si="50">SUM(BH8-SUM($BZ8*0.1))</f>
        <v>5292.8831556090008</v>
      </c>
      <c r="BJ8" s="149">
        <f t="shared" si="50"/>
        <v>4704.7850272080004</v>
      </c>
      <c r="BK8" s="149">
        <f t="shared" si="50"/>
        <v>4116.686898807</v>
      </c>
      <c r="BL8" s="149">
        <f t="shared" si="50"/>
        <v>3528.5887704059996</v>
      </c>
      <c r="BM8" s="46"/>
      <c r="BN8" s="146">
        <f>SUM(K8*$BN$2)+(12*350)</f>
        <v>5692.02</v>
      </c>
      <c r="BO8" s="523">
        <f t="shared" si="25"/>
        <v>-842.40364890000092</v>
      </c>
      <c r="BP8" s="44">
        <f t="shared" si="26"/>
        <v>-0.14799731007621211</v>
      </c>
      <c r="BQ8" s="149">
        <f t="shared" ref="BQ8:BQ13" si="51">SUM($BA8-SUM($BA8*0.1))</f>
        <v>5880.9812840100012</v>
      </c>
      <c r="BR8" s="149">
        <f t="shared" ref="BR8:BR11" si="52">SUM(BQ8-SUM($BZ8*0.1))</f>
        <v>5292.8831556090008</v>
      </c>
      <c r="BS8" s="149">
        <f t="shared" ref="BS8:BU8" si="53">SUM(BR8*1.03)</f>
        <v>5451.6696502772711</v>
      </c>
      <c r="BT8" s="149">
        <f t="shared" si="53"/>
        <v>5615.2197397855898</v>
      </c>
      <c r="BU8" s="149">
        <f t="shared" si="53"/>
        <v>5783.676331979158</v>
      </c>
      <c r="BV8" s="526"/>
      <c r="BW8" s="527">
        <f t="shared" si="44"/>
        <v>5065.3204524179619</v>
      </c>
      <c r="BX8" s="523">
        <f t="shared" si="30"/>
        <v>-1469.1031964820395</v>
      </c>
      <c r="BY8" s="44">
        <f t="shared" si="31"/>
        <v>-0.29003163971210433</v>
      </c>
      <c r="BZ8" s="149">
        <f t="shared" ref="BZ8:BZ12" si="54">SUM($BA8-SUM($BA8*0.1))</f>
        <v>5880.9812840100012</v>
      </c>
      <c r="CA8" s="149">
        <f t="shared" ref="CA8:CD8" si="55">SUM(BZ8-SUM($BZ8*0.1))</f>
        <v>5292.8831556090008</v>
      </c>
      <c r="CB8" s="149">
        <f t="shared" si="55"/>
        <v>4704.7850272080004</v>
      </c>
      <c r="CC8" s="149">
        <f t="shared" si="55"/>
        <v>4116.686898807</v>
      </c>
      <c r="CD8" s="149">
        <f t="shared" si="55"/>
        <v>3528.5887704059996</v>
      </c>
      <c r="CE8" s="22"/>
      <c r="CF8" s="22"/>
      <c r="CG8" s="145"/>
    </row>
    <row r="9" spans="1:85" ht="28.9" x14ac:dyDescent="0.5">
      <c r="A9" s="86" t="s">
        <v>76</v>
      </c>
      <c r="B9" s="88" t="s">
        <v>78</v>
      </c>
      <c r="C9" s="41"/>
      <c r="D9" s="62">
        <f>'Avg master'!H7</f>
        <v>7252</v>
      </c>
      <c r="E9" s="66">
        <f t="shared" si="0"/>
        <v>2.6825049042394078E-2</v>
      </c>
      <c r="F9" s="77">
        <f t="shared" si="1"/>
        <v>0</v>
      </c>
      <c r="G9" s="41"/>
      <c r="H9" s="64">
        <v>7736</v>
      </c>
      <c r="I9" s="64">
        <v>7202</v>
      </c>
      <c r="J9" s="64">
        <v>6818</v>
      </c>
      <c r="K9" s="65">
        <f t="shared" si="2"/>
        <v>7252</v>
      </c>
      <c r="L9" s="66">
        <f t="shared" si="3"/>
        <v>6.2280468219956885E-2</v>
      </c>
      <c r="M9" s="77">
        <f t="shared" si="4"/>
        <v>0</v>
      </c>
      <c r="N9" s="66"/>
      <c r="O9" s="65"/>
      <c r="P9" s="65"/>
      <c r="Q9" s="65"/>
      <c r="R9" s="65"/>
      <c r="S9" s="66"/>
      <c r="T9" s="145">
        <v>22040</v>
      </c>
      <c r="U9" s="66">
        <f t="shared" si="7"/>
        <v>1.6641925268392574E-2</v>
      </c>
      <c r="V9" s="77">
        <f t="shared" si="8"/>
        <v>2645.6026566976193</v>
      </c>
      <c r="W9" s="65"/>
      <c r="X9" s="75"/>
      <c r="Y9" s="76"/>
      <c r="Z9" s="65"/>
      <c r="AA9" s="65"/>
      <c r="AB9" s="65"/>
      <c r="AC9" s="77">
        <f t="shared" si="10"/>
        <v>519.51683333333335</v>
      </c>
      <c r="AD9" s="65"/>
      <c r="AE9" s="65"/>
      <c r="AF9" s="65">
        <v>2758</v>
      </c>
      <c r="AG9" s="66">
        <f t="shared" si="11"/>
        <v>2.2022878880554229E-3</v>
      </c>
      <c r="AH9" s="77">
        <f t="shared" si="12"/>
        <v>0</v>
      </c>
      <c r="AI9" s="65"/>
      <c r="AJ9" s="65"/>
      <c r="AK9" s="145">
        <f>'Avg master'!T7</f>
        <v>1415</v>
      </c>
      <c r="AL9" s="145">
        <f>'Avg master'!U7</f>
        <v>184</v>
      </c>
      <c r="AM9" s="65">
        <f t="shared" si="13"/>
        <v>-1231</v>
      </c>
      <c r="AN9" s="524">
        <f t="shared" si="14"/>
        <v>7.6902173913043477</v>
      </c>
      <c r="AO9" s="66">
        <f t="shared" si="15"/>
        <v>2.1831211513591115E-3</v>
      </c>
      <c r="AP9" s="77">
        <f t="shared" si="16"/>
        <v>-231.34075970243111</v>
      </c>
      <c r="AQ9" s="76">
        <f t="shared" si="17"/>
        <v>2933.7787303285218</v>
      </c>
      <c r="AR9" s="144">
        <f t="shared" si="18"/>
        <v>11.595963360982299</v>
      </c>
      <c r="AS9" s="120"/>
      <c r="AT9" s="120">
        <v>4000</v>
      </c>
      <c r="AU9" s="120">
        <v>4080</v>
      </c>
      <c r="AV9" s="145">
        <v>4200</v>
      </c>
      <c r="AW9" s="12"/>
      <c r="AX9" s="12"/>
      <c r="AY9" s="67">
        <v>4908.4872480000004</v>
      </c>
      <c r="AZ9" s="22"/>
      <c r="BA9" s="68">
        <f t="shared" si="40"/>
        <v>5227.5389191200002</v>
      </c>
      <c r="BB9" s="45">
        <f t="shared" si="19"/>
        <v>0.72084099822393821</v>
      </c>
      <c r="BC9" s="22"/>
      <c r="BD9" s="46"/>
      <c r="BE9" s="146">
        <f t="shared" si="20"/>
        <v>6019.16</v>
      </c>
      <c r="BF9" s="523">
        <f t="shared" si="21"/>
        <v>791.62108087999968</v>
      </c>
      <c r="BG9" s="44">
        <f t="shared" si="22"/>
        <v>0.13151686960971293</v>
      </c>
      <c r="BH9" s="149">
        <f t="shared" si="49"/>
        <v>4704.7850272080004</v>
      </c>
      <c r="BI9" s="149">
        <f t="shared" ref="BI9:BL9" si="56">SUM(BH9-SUM($BZ9*0.1))</f>
        <v>4234.3065244872005</v>
      </c>
      <c r="BJ9" s="149">
        <f t="shared" si="56"/>
        <v>3763.8280217664005</v>
      </c>
      <c r="BK9" s="149">
        <f t="shared" si="56"/>
        <v>3293.3495190456006</v>
      </c>
      <c r="BL9" s="149">
        <f t="shared" si="56"/>
        <v>2822.8710163248006</v>
      </c>
      <c r="BM9" s="46"/>
      <c r="BN9" s="146">
        <f>SUM(K9*$BN$2)+(12*300)</f>
        <v>7516.08</v>
      </c>
      <c r="BO9" s="523">
        <f t="shared" si="25"/>
        <v>2288.5410808799998</v>
      </c>
      <c r="BP9" s="44">
        <f t="shared" si="26"/>
        <v>0.30448599281540373</v>
      </c>
      <c r="BQ9" s="149">
        <f t="shared" si="51"/>
        <v>4704.7850272080004</v>
      </c>
      <c r="BR9" s="149">
        <f t="shared" si="52"/>
        <v>4234.3065244872005</v>
      </c>
      <c r="BS9" s="149">
        <f t="shared" ref="BS9:BU9" si="57">SUM(BR9*1.03)</f>
        <v>4361.3357202218167</v>
      </c>
      <c r="BT9" s="149">
        <f t="shared" si="57"/>
        <v>4492.1757918284711</v>
      </c>
      <c r="BU9" s="149">
        <f t="shared" si="57"/>
        <v>4626.9410655833253</v>
      </c>
      <c r="BV9" s="526"/>
      <c r="BW9" s="527">
        <f t="shared" si="44"/>
        <v>13294.862077790467</v>
      </c>
      <c r="BX9" s="523">
        <f t="shared" si="30"/>
        <v>8067.3231586704669</v>
      </c>
      <c r="BY9" s="44">
        <f t="shared" si="31"/>
        <v>0.60680006392448504</v>
      </c>
      <c r="BZ9" s="149">
        <f t="shared" si="54"/>
        <v>4704.7850272080004</v>
      </c>
      <c r="CA9" s="149">
        <f t="shared" ref="CA9:CD9" si="58">SUM(BZ9-SUM($BZ9*0.1))</f>
        <v>4234.3065244872005</v>
      </c>
      <c r="CB9" s="149">
        <f t="shared" si="58"/>
        <v>3763.8280217664005</v>
      </c>
      <c r="CC9" s="149">
        <f t="shared" si="58"/>
        <v>3293.3495190456006</v>
      </c>
      <c r="CD9" s="149">
        <f t="shared" si="58"/>
        <v>2822.8710163248006</v>
      </c>
      <c r="CE9" s="22"/>
      <c r="CF9" s="22"/>
      <c r="CG9" s="145"/>
    </row>
    <row r="10" spans="1:85" ht="15.75" x14ac:dyDescent="0.5">
      <c r="A10" s="83" t="s">
        <v>79</v>
      </c>
      <c r="B10" s="85" t="s">
        <v>81</v>
      </c>
      <c r="C10" s="41"/>
      <c r="D10" s="62">
        <f>'Avg master'!H8</f>
        <v>349.33333333333331</v>
      </c>
      <c r="E10" s="66">
        <f t="shared" si="0"/>
        <v>1.2921792331508086E-3</v>
      </c>
      <c r="F10" s="77">
        <f t="shared" si="1"/>
        <v>0</v>
      </c>
      <c r="G10" s="41"/>
      <c r="H10" s="64">
        <v>357</v>
      </c>
      <c r="I10" s="64">
        <v>350</v>
      </c>
      <c r="J10" s="64">
        <v>341</v>
      </c>
      <c r="K10" s="65">
        <f t="shared" si="2"/>
        <v>349.33333333333331</v>
      </c>
      <c r="L10" s="66">
        <f t="shared" si="3"/>
        <v>3.0000887430830492E-3</v>
      </c>
      <c r="M10" s="77">
        <f t="shared" si="4"/>
        <v>0</v>
      </c>
      <c r="N10" s="66"/>
      <c r="O10" s="65"/>
      <c r="P10" s="65"/>
      <c r="Q10" s="65"/>
      <c r="R10" s="65"/>
      <c r="S10" s="66"/>
      <c r="T10" s="145">
        <v>16791</v>
      </c>
      <c r="U10" s="66">
        <f t="shared" si="7"/>
        <v>1.2678519382104342E-2</v>
      </c>
      <c r="V10" s="77">
        <f t="shared" si="8"/>
        <v>2015.531497668318</v>
      </c>
      <c r="W10" s="65"/>
      <c r="X10" s="75"/>
      <c r="Y10" s="76"/>
      <c r="Z10" s="65"/>
      <c r="AA10" s="65"/>
      <c r="AB10" s="65"/>
      <c r="AC10" s="77">
        <f t="shared" si="10"/>
        <v>519.51683333333335</v>
      </c>
      <c r="AD10" s="65"/>
      <c r="AE10" s="65"/>
      <c r="AF10" s="65">
        <v>1985</v>
      </c>
      <c r="AG10" s="66">
        <f t="shared" si="11"/>
        <v>1.5850404125417022E-3</v>
      </c>
      <c r="AH10" s="77">
        <f t="shared" si="12"/>
        <v>0</v>
      </c>
      <c r="AI10" s="65"/>
      <c r="AJ10" s="65"/>
      <c r="AK10" s="145">
        <f>'Avg master'!T8</f>
        <v>3</v>
      </c>
      <c r="AL10" s="145">
        <f>'Avg master'!U8</f>
        <v>2</v>
      </c>
      <c r="AM10" s="65">
        <f t="shared" si="13"/>
        <v>-1</v>
      </c>
      <c r="AN10" s="524">
        <f t="shared" si="14"/>
        <v>1.5</v>
      </c>
      <c r="AO10" s="66">
        <f t="shared" si="15"/>
        <v>2.3729577732164256E-5</v>
      </c>
      <c r="AP10" s="77">
        <f t="shared" si="16"/>
        <v>0.58053522062574892</v>
      </c>
      <c r="AQ10" s="76">
        <f t="shared" si="17"/>
        <v>2535.6288662222773</v>
      </c>
      <c r="AR10" s="144">
        <f t="shared" si="18"/>
        <v>10.022248483092005</v>
      </c>
      <c r="AS10" s="120"/>
      <c r="AT10" s="120">
        <v>1000</v>
      </c>
      <c r="AU10" s="120">
        <v>1020</v>
      </c>
      <c r="AV10" s="145">
        <v>1050</v>
      </c>
      <c r="AW10" s="12"/>
      <c r="AX10" s="12"/>
      <c r="AY10" s="67">
        <v>1227.1218120000001</v>
      </c>
      <c r="AZ10" s="22"/>
      <c r="BA10" s="68">
        <f t="shared" si="40"/>
        <v>1306.88472978</v>
      </c>
      <c r="BB10" s="45">
        <f t="shared" si="19"/>
        <v>3.7410822417366414</v>
      </c>
      <c r="BC10" s="22"/>
      <c r="BD10" s="46"/>
      <c r="BE10" s="146">
        <f t="shared" si="20"/>
        <v>289.94666666666666</v>
      </c>
      <c r="BF10" s="523">
        <f t="shared" si="21"/>
        <v>-1016.9380631133333</v>
      </c>
      <c r="BG10" s="44">
        <f t="shared" si="22"/>
        <v>-3.507328002092339</v>
      </c>
      <c r="BH10" s="149">
        <f t="shared" si="49"/>
        <v>1176.1962568020001</v>
      </c>
      <c r="BI10" s="149">
        <f t="shared" ref="BI10:BL10" si="59">SUM(BH10-SUM($BZ10*0.1))</f>
        <v>1058.5766311218001</v>
      </c>
      <c r="BJ10" s="149">
        <f t="shared" si="59"/>
        <v>940.95700544160013</v>
      </c>
      <c r="BK10" s="149">
        <f t="shared" si="59"/>
        <v>823.33737976140014</v>
      </c>
      <c r="BL10" s="149">
        <f t="shared" si="59"/>
        <v>705.71775408120016</v>
      </c>
      <c r="BM10" s="46"/>
      <c r="BN10" s="146">
        <f>SUM(K10*$BN$2)+(12*75)</f>
        <v>1088.6400000000001</v>
      </c>
      <c r="BO10" s="523">
        <f t="shared" si="25"/>
        <v>-218.24472977999994</v>
      </c>
      <c r="BP10" s="44">
        <f t="shared" si="26"/>
        <v>-0.20047465624999994</v>
      </c>
      <c r="BQ10" s="149">
        <f t="shared" si="51"/>
        <v>1176.1962568020001</v>
      </c>
      <c r="BR10" s="149">
        <f t="shared" si="52"/>
        <v>1058.5766311218001</v>
      </c>
      <c r="BS10" s="149">
        <f t="shared" ref="BS10:BU10" si="60">SUM(BR10*1.03)</f>
        <v>1090.3339300554542</v>
      </c>
      <c r="BT10" s="149">
        <f t="shared" si="60"/>
        <v>1123.0439479571178</v>
      </c>
      <c r="BU10" s="149">
        <f t="shared" si="60"/>
        <v>1156.7352663958313</v>
      </c>
      <c r="BV10" s="526"/>
      <c r="BW10" s="527">
        <f t="shared" ref="BW10:BW13" si="61">SUM(L10*$BA$63)+$BW$2</f>
        <v>1090.4217437729551</v>
      </c>
      <c r="BX10" s="523">
        <f t="shared" si="30"/>
        <v>-216.46298600704495</v>
      </c>
      <c r="BY10" s="44">
        <f t="shared" si="31"/>
        <v>-0.1985130865586594</v>
      </c>
      <c r="BZ10" s="149">
        <f t="shared" si="54"/>
        <v>1176.1962568020001</v>
      </c>
      <c r="CA10" s="149">
        <f t="shared" ref="CA10:CD10" si="62">SUM(BZ10-SUM($BZ10*0.1))</f>
        <v>1058.5766311218001</v>
      </c>
      <c r="CB10" s="149">
        <f t="shared" si="62"/>
        <v>940.95700544160013</v>
      </c>
      <c r="CC10" s="149">
        <f t="shared" si="62"/>
        <v>823.33737976140014</v>
      </c>
      <c r="CD10" s="149">
        <f t="shared" si="62"/>
        <v>705.71775408120016</v>
      </c>
      <c r="CE10" s="22"/>
      <c r="CF10" s="348">
        <f t="shared" ref="CF10:CF11" si="63">SUM(BA10*1.05)</f>
        <v>1372.228966269</v>
      </c>
      <c r="CG10" s="22"/>
    </row>
    <row r="11" spans="1:85" ht="15.75" x14ac:dyDescent="0.5">
      <c r="A11" s="83" t="s">
        <v>82</v>
      </c>
      <c r="B11" s="85" t="s">
        <v>84</v>
      </c>
      <c r="C11" s="41"/>
      <c r="D11" s="62">
        <f>'Avg master'!H9</f>
        <v>103.33333333333333</v>
      </c>
      <c r="E11" s="66">
        <f t="shared" si="0"/>
        <v>3.8222858995873158E-4</v>
      </c>
      <c r="F11" s="77">
        <f t="shared" si="1"/>
        <v>0</v>
      </c>
      <c r="G11" s="41"/>
      <c r="H11" s="64">
        <v>111</v>
      </c>
      <c r="I11" s="64">
        <v>104</v>
      </c>
      <c r="J11" s="64">
        <v>95</v>
      </c>
      <c r="K11" s="65">
        <f t="shared" si="2"/>
        <v>103.33333333333333</v>
      </c>
      <c r="L11" s="66">
        <f t="shared" si="3"/>
        <v>8.8743083049212335E-4</v>
      </c>
      <c r="M11" s="77">
        <f t="shared" si="4"/>
        <v>0</v>
      </c>
      <c r="N11" s="66"/>
      <c r="O11" s="65"/>
      <c r="P11" s="65"/>
      <c r="Q11" s="65"/>
      <c r="R11" s="65"/>
      <c r="S11" s="63"/>
      <c r="T11" s="145">
        <v>5185</v>
      </c>
      <c r="U11" s="66">
        <f t="shared" si="7"/>
        <v>3.9150808764344602E-3</v>
      </c>
      <c r="V11" s="77">
        <f t="shared" si="8"/>
        <v>622.38882826575127</v>
      </c>
      <c r="W11" s="65"/>
      <c r="X11" s="75"/>
      <c r="Y11" s="76"/>
      <c r="Z11" s="65"/>
      <c r="AA11" s="65"/>
      <c r="AB11" s="65"/>
      <c r="AC11" s="77">
        <f t="shared" si="10"/>
        <v>519.51683333333335</v>
      </c>
      <c r="AD11" s="65"/>
      <c r="AE11" s="65"/>
      <c r="AF11" s="65">
        <v>173</v>
      </c>
      <c r="AG11" s="66">
        <f t="shared" si="11"/>
        <v>1.3814206114343299E-4</v>
      </c>
      <c r="AH11" s="77">
        <f t="shared" si="12"/>
        <v>0</v>
      </c>
      <c r="AI11" s="65"/>
      <c r="AJ11" s="65"/>
      <c r="AK11" s="145">
        <f>'Avg master'!T9</f>
        <v>29</v>
      </c>
      <c r="AL11" s="145">
        <f>'Avg master'!U9</f>
        <v>18</v>
      </c>
      <c r="AM11" s="65">
        <f t="shared" si="13"/>
        <v>-11</v>
      </c>
      <c r="AN11" s="524">
        <f t="shared" si="14"/>
        <v>1.6111111111111112</v>
      </c>
      <c r="AO11" s="66">
        <f t="shared" si="15"/>
        <v>2.1356619958947829E-4</v>
      </c>
      <c r="AP11" s="77">
        <f t="shared" si="16"/>
        <v>4.7248169856317404</v>
      </c>
      <c r="AQ11" s="76">
        <f t="shared" si="17"/>
        <v>1146.6304785847165</v>
      </c>
      <c r="AR11" s="144">
        <f t="shared" si="18"/>
        <v>4.5321362789909738</v>
      </c>
      <c r="AS11" s="120"/>
      <c r="AT11" s="120">
        <v>750</v>
      </c>
      <c r="AU11" s="120">
        <v>765</v>
      </c>
      <c r="AV11" s="145">
        <v>790</v>
      </c>
      <c r="AW11" s="12"/>
      <c r="AX11" s="12"/>
      <c r="AY11" s="67">
        <v>923.26307760000009</v>
      </c>
      <c r="AZ11" s="22"/>
      <c r="BA11" s="68">
        <f t="shared" si="40"/>
        <v>983.275177644</v>
      </c>
      <c r="BB11" s="45">
        <f t="shared" si="19"/>
        <v>9.5155662352645169</v>
      </c>
      <c r="BC11" s="22"/>
      <c r="BD11" s="46"/>
      <c r="BE11" s="146">
        <f t="shared" si="20"/>
        <v>85.766666666666652</v>
      </c>
      <c r="BF11" s="523">
        <f t="shared" si="21"/>
        <v>-897.50851097733334</v>
      </c>
      <c r="BG11" s="44">
        <f t="shared" si="22"/>
        <v>-10.464537632848817</v>
      </c>
      <c r="BH11" s="149">
        <f t="shared" si="49"/>
        <v>884.9476598796</v>
      </c>
      <c r="BI11" s="149">
        <f t="shared" ref="BI11:BL11" si="64">SUM(BH11-SUM($BZ11*0.1))</f>
        <v>796.45289389163997</v>
      </c>
      <c r="BJ11" s="149">
        <f t="shared" si="64"/>
        <v>707.95812790367995</v>
      </c>
      <c r="BK11" s="149">
        <f t="shared" si="64"/>
        <v>619.46336191571993</v>
      </c>
      <c r="BL11" s="149">
        <f t="shared" si="64"/>
        <v>530.96859592775991</v>
      </c>
      <c r="BM11" s="46"/>
      <c r="BN11" s="146">
        <f>SUM(K11*$BN$2)+(12*50)</f>
        <v>655.8</v>
      </c>
      <c r="BO11" s="523">
        <f t="shared" si="25"/>
        <v>-327.47517764400004</v>
      </c>
      <c r="BP11" s="44">
        <f t="shared" si="26"/>
        <v>-0.49935220744739262</v>
      </c>
      <c r="BQ11" s="149">
        <f t="shared" si="51"/>
        <v>884.9476598796</v>
      </c>
      <c r="BR11" s="149">
        <f t="shared" si="52"/>
        <v>796.45289389163997</v>
      </c>
      <c r="BS11" s="149">
        <f t="shared" ref="BS11:BT11" si="65">SUM(BR11-SUM($BZ11*0.1))</f>
        <v>707.95812790367995</v>
      </c>
      <c r="BT11" s="149">
        <f t="shared" si="65"/>
        <v>619.46336191571993</v>
      </c>
      <c r="BU11" s="149">
        <f>SUM(BT11*1.03)</f>
        <v>638.04726277319151</v>
      </c>
      <c r="BV11" s="526"/>
      <c r="BW11" s="527">
        <f t="shared" si="61"/>
        <v>639.43772955116037</v>
      </c>
      <c r="BX11" s="523">
        <f t="shared" si="30"/>
        <v>-343.83744809283962</v>
      </c>
      <c r="BY11" s="44">
        <f t="shared" si="31"/>
        <v>-0.5377184238630851</v>
      </c>
      <c r="BZ11" s="149">
        <f t="shared" si="54"/>
        <v>884.9476598796</v>
      </c>
      <c r="CA11" s="149">
        <f t="shared" ref="CA11:CD11" si="66">SUM(BZ11-SUM($BZ11*0.1))</f>
        <v>796.45289389163997</v>
      </c>
      <c r="CB11" s="149">
        <f t="shared" si="66"/>
        <v>707.95812790367995</v>
      </c>
      <c r="CC11" s="149">
        <f t="shared" si="66"/>
        <v>619.46336191571993</v>
      </c>
      <c r="CD11" s="149">
        <f t="shared" si="66"/>
        <v>530.96859592775991</v>
      </c>
      <c r="CE11" s="22"/>
      <c r="CF11" s="348">
        <f t="shared" si="63"/>
        <v>1032.4389365262</v>
      </c>
      <c r="CG11" s="22"/>
    </row>
    <row r="12" spans="1:85" ht="15.75" x14ac:dyDescent="0.5">
      <c r="A12" s="80" t="s">
        <v>85</v>
      </c>
      <c r="B12" s="82" t="s">
        <v>69</v>
      </c>
      <c r="C12" s="41"/>
      <c r="D12" s="62">
        <f>'Avg master'!H10</f>
        <v>1010.6666666666666</v>
      </c>
      <c r="E12" s="66">
        <f t="shared" si="0"/>
        <v>3.7384422088866907E-3</v>
      </c>
      <c r="F12" s="77">
        <f t="shared" si="1"/>
        <v>0</v>
      </c>
      <c r="G12" s="41"/>
      <c r="H12" s="64">
        <v>354</v>
      </c>
      <c r="I12" s="64">
        <v>332</v>
      </c>
      <c r="J12" s="64">
        <v>294</v>
      </c>
      <c r="K12" s="65">
        <f t="shared" si="2"/>
        <v>326.66666666666669</v>
      </c>
      <c r="L12" s="66">
        <f t="shared" si="3"/>
        <v>2.8054264963944544E-3</v>
      </c>
      <c r="M12" s="77">
        <f t="shared" si="4"/>
        <v>0</v>
      </c>
      <c r="N12" s="66"/>
      <c r="O12" s="65">
        <v>296</v>
      </c>
      <c r="P12" s="66">
        <f>SUM(O12/$O$60)</f>
        <v>3.003003003003003E-3</v>
      </c>
      <c r="Q12" s="77">
        <f>SUM(P12*$Q$61)</f>
        <v>0</v>
      </c>
      <c r="R12" s="65"/>
      <c r="S12" s="66"/>
      <c r="T12" s="145">
        <v>20481</v>
      </c>
      <c r="U12" s="66">
        <f t="shared" si="7"/>
        <v>1.5464758231485859E-2</v>
      </c>
      <c r="V12" s="77">
        <f t="shared" si="8"/>
        <v>2458.4658807542628</v>
      </c>
      <c r="W12" s="77"/>
      <c r="X12" s="75">
        <v>7291</v>
      </c>
      <c r="Y12" s="77">
        <f>SUM(X12*$Y$62)</f>
        <v>0</v>
      </c>
      <c r="Z12" s="77"/>
      <c r="AA12" s="65"/>
      <c r="AB12" s="65"/>
      <c r="AC12" s="77">
        <f t="shared" si="10"/>
        <v>519.51683333333335</v>
      </c>
      <c r="AD12" s="65"/>
      <c r="AE12" s="65"/>
      <c r="AF12" s="65">
        <v>5514</v>
      </c>
      <c r="AG12" s="66">
        <f t="shared" si="11"/>
        <v>4.402978758062945E-3</v>
      </c>
      <c r="AH12" s="77">
        <f t="shared" si="12"/>
        <v>0</v>
      </c>
      <c r="AI12" s="65"/>
      <c r="AJ12" s="65"/>
      <c r="AK12" s="145">
        <f>'Avg master'!T10</f>
        <v>2374.5</v>
      </c>
      <c r="AL12" s="145">
        <f>'Avg master'!U10</f>
        <v>489</v>
      </c>
      <c r="AM12" s="65">
        <f t="shared" si="13"/>
        <v>-1885.5</v>
      </c>
      <c r="AN12" s="524">
        <f t="shared" si="14"/>
        <v>4.8558282208588954</v>
      </c>
      <c r="AO12" s="66">
        <f t="shared" si="15"/>
        <v>5.8018817555141608E-3</v>
      </c>
      <c r="AP12" s="77">
        <f t="shared" si="16"/>
        <v>-268.30913855700436</v>
      </c>
      <c r="AQ12" s="76">
        <f t="shared" si="17"/>
        <v>2709.6735755305917</v>
      </c>
      <c r="AR12" s="144">
        <f t="shared" si="18"/>
        <v>10.710172235298781</v>
      </c>
      <c r="AS12" s="120"/>
      <c r="AT12" s="120">
        <v>1200</v>
      </c>
      <c r="AU12" s="120">
        <v>1220</v>
      </c>
      <c r="AV12" s="145">
        <v>1260</v>
      </c>
      <c r="AW12" s="12"/>
      <c r="AX12" s="12"/>
      <c r="AY12" s="67">
        <v>1472.5461744000004</v>
      </c>
      <c r="AZ12" s="22"/>
      <c r="BA12" s="68">
        <f t="shared" si="40"/>
        <v>1568.2616757360004</v>
      </c>
      <c r="BB12" s="525">
        <f t="shared" si="19"/>
        <v>4.8008010481714294</v>
      </c>
      <c r="BC12" s="22"/>
      <c r="BD12" s="46"/>
      <c r="BE12" s="146">
        <f t="shared" si="20"/>
        <v>271.13333333333333</v>
      </c>
      <c r="BF12" s="523">
        <f t="shared" si="21"/>
        <v>-1297.1283424026669</v>
      </c>
      <c r="BG12" s="44">
        <f t="shared" si="22"/>
        <v>-4.784097648399313</v>
      </c>
      <c r="BH12" s="149">
        <f t="shared" si="49"/>
        <v>1411.4355081624003</v>
      </c>
      <c r="BI12" s="149">
        <f t="shared" ref="BI12:BL12" si="67">SUM(BH12-SUM($BZ12*0.1))</f>
        <v>1270.2919573461602</v>
      </c>
      <c r="BJ12" s="149">
        <f t="shared" si="67"/>
        <v>1129.1484065299201</v>
      </c>
      <c r="BK12" s="149">
        <f t="shared" si="67"/>
        <v>988.00485571368006</v>
      </c>
      <c r="BL12" s="149">
        <f t="shared" si="67"/>
        <v>846.86130489744005</v>
      </c>
      <c r="BM12" s="46"/>
      <c r="BN12" s="146">
        <f>SUM(K12*$BN$2)+(12*75)</f>
        <v>1076.4000000000001</v>
      </c>
      <c r="BO12" s="523">
        <f t="shared" si="25"/>
        <v>-491.86167573600028</v>
      </c>
      <c r="BP12" s="44">
        <f t="shared" si="26"/>
        <v>-0.45695064635451527</v>
      </c>
      <c r="BQ12" s="149">
        <f t="shared" si="51"/>
        <v>1411.4355081624003</v>
      </c>
      <c r="BR12" s="149">
        <f t="shared" ref="BR12:BU12" si="68">SUM(BQ12*1.03)</f>
        <v>1453.7785734072725</v>
      </c>
      <c r="BS12" s="149">
        <f t="shared" si="68"/>
        <v>1497.3919306094906</v>
      </c>
      <c r="BT12" s="149">
        <f t="shared" si="68"/>
        <v>1542.3136885277754</v>
      </c>
      <c r="BU12" s="149">
        <f t="shared" si="68"/>
        <v>1588.5830991836087</v>
      </c>
      <c r="BV12" s="526"/>
      <c r="BW12" s="527">
        <f t="shared" si="61"/>
        <v>1048.8676611617327</v>
      </c>
      <c r="BX12" s="523">
        <f t="shared" si="30"/>
        <v>-519.39401457426766</v>
      </c>
      <c r="BY12" s="44">
        <f t="shared" si="31"/>
        <v>-0.4951949934265143</v>
      </c>
      <c r="BZ12" s="149">
        <f t="shared" si="54"/>
        <v>1411.4355081624003</v>
      </c>
      <c r="CA12" s="149">
        <f t="shared" ref="CA12:CD12" si="69">SUM(BZ12-SUM($BZ12*0.1))</f>
        <v>1270.2919573461602</v>
      </c>
      <c r="CB12" s="149">
        <f t="shared" si="69"/>
        <v>1129.1484065299201</v>
      </c>
      <c r="CC12" s="149">
        <f t="shared" si="69"/>
        <v>988.00485571368006</v>
      </c>
      <c r="CD12" s="149">
        <f t="shared" si="69"/>
        <v>846.86130489744005</v>
      </c>
      <c r="CE12" s="22"/>
      <c r="CF12" s="149">
        <f>SUM(T12*$CF$3)</f>
        <v>4096.2</v>
      </c>
      <c r="CG12" s="145">
        <f>SUM(CF12-BA12)</f>
        <v>2527.9383242639997</v>
      </c>
    </row>
    <row r="13" spans="1:85" ht="15.75" x14ac:dyDescent="0.5">
      <c r="A13" s="83" t="s">
        <v>87</v>
      </c>
      <c r="B13" s="85" t="s">
        <v>89</v>
      </c>
      <c r="C13" s="61"/>
      <c r="D13" s="62">
        <f>'Avg master'!H11</f>
        <v>2</v>
      </c>
      <c r="E13" s="66">
        <f t="shared" si="0"/>
        <v>7.3979727088786762E-6</v>
      </c>
      <c r="F13" s="77">
        <f t="shared" si="1"/>
        <v>0</v>
      </c>
      <c r="G13" s="61"/>
      <c r="H13" s="64">
        <v>2</v>
      </c>
      <c r="I13" s="64">
        <v>2</v>
      </c>
      <c r="J13" s="64">
        <v>2</v>
      </c>
      <c r="K13" s="65">
        <f t="shared" si="2"/>
        <v>2</v>
      </c>
      <c r="L13" s="66">
        <f t="shared" si="3"/>
        <v>1.717608059017013E-5</v>
      </c>
      <c r="M13" s="77">
        <f t="shared" si="4"/>
        <v>0</v>
      </c>
      <c r="N13" s="66"/>
      <c r="O13" s="65"/>
      <c r="P13" s="65"/>
      <c r="Q13" s="65"/>
      <c r="R13" s="65"/>
      <c r="S13" s="529"/>
      <c r="T13" s="145">
        <v>8891</v>
      </c>
      <c r="U13" s="66">
        <f t="shared" si="7"/>
        <v>6.713400978279418E-3</v>
      </c>
      <c r="V13" s="77">
        <f t="shared" si="8"/>
        <v>1067.2437940425832</v>
      </c>
      <c r="W13" s="65"/>
      <c r="X13" s="75"/>
      <c r="Y13" s="76"/>
      <c r="Z13" s="65"/>
      <c r="AA13" s="65"/>
      <c r="AB13" s="65"/>
      <c r="AC13" s="77">
        <f t="shared" si="10"/>
        <v>519.51683333333335</v>
      </c>
      <c r="AD13" s="65"/>
      <c r="AE13" s="65"/>
      <c r="AF13" s="65">
        <v>135</v>
      </c>
      <c r="AG13" s="66">
        <f t="shared" si="11"/>
        <v>1.0779871823331476E-4</v>
      </c>
      <c r="AH13" s="77">
        <f t="shared" si="12"/>
        <v>0</v>
      </c>
      <c r="AI13" s="65"/>
      <c r="AJ13" s="65"/>
      <c r="AK13" s="145">
        <f>'Avg master'!T11</f>
        <v>64</v>
      </c>
      <c r="AL13" s="145">
        <f>'Avg master'!U11</f>
        <v>66</v>
      </c>
      <c r="AM13" s="65">
        <f t="shared" si="13"/>
        <v>2</v>
      </c>
      <c r="AN13" s="524">
        <f t="shared" si="14"/>
        <v>0.96969696969696972</v>
      </c>
      <c r="AO13" s="66">
        <f t="shared" si="15"/>
        <v>7.8307606516142048E-4</v>
      </c>
      <c r="AP13" s="77">
        <f t="shared" si="16"/>
        <v>27.907662280649717</v>
      </c>
      <c r="AQ13" s="76">
        <f t="shared" si="17"/>
        <v>1614.6682896565662</v>
      </c>
      <c r="AR13" s="144">
        <f t="shared" si="18"/>
        <v>6.3820881014093525</v>
      </c>
      <c r="AS13" s="120"/>
      <c r="AT13" s="120">
        <v>300</v>
      </c>
      <c r="AU13" s="120">
        <v>305</v>
      </c>
      <c r="AV13" s="145">
        <v>315</v>
      </c>
      <c r="AW13" s="12"/>
      <c r="AX13" s="12"/>
      <c r="AY13" s="67">
        <v>368.1365436000001</v>
      </c>
      <c r="AZ13" s="22"/>
      <c r="BA13" s="68">
        <f t="shared" si="40"/>
        <v>392.06541893400009</v>
      </c>
      <c r="BB13" s="45">
        <f t="shared" si="19"/>
        <v>196.03270946700005</v>
      </c>
      <c r="BC13" s="22"/>
      <c r="BD13" s="46"/>
      <c r="BE13" s="146">
        <f t="shared" si="20"/>
        <v>1.66</v>
      </c>
      <c r="BF13" s="523">
        <f t="shared" si="21"/>
        <v>-390.40541893400007</v>
      </c>
      <c r="BG13" s="44">
        <f t="shared" si="22"/>
        <v>-235.18398730963861</v>
      </c>
      <c r="BH13" s="149">
        <f t="shared" ref="BH13:BH14" si="70">SUM($BA13+SUM($BA13*0.1))</f>
        <v>431.27196082740011</v>
      </c>
      <c r="BI13" s="149">
        <f t="shared" ref="BI13:BL13" si="71">SUM(BH13*1.03)</f>
        <v>444.21011965222215</v>
      </c>
      <c r="BJ13" s="149">
        <f t="shared" si="71"/>
        <v>457.53642324178884</v>
      </c>
      <c r="BK13" s="149">
        <f t="shared" si="71"/>
        <v>471.26251593904254</v>
      </c>
      <c r="BL13" s="149">
        <f t="shared" si="71"/>
        <v>485.40039141721383</v>
      </c>
      <c r="BM13" s="46"/>
      <c r="BN13" s="146">
        <f>SUM(K13*$BN$2)+(12*10)</f>
        <v>121.08</v>
      </c>
      <c r="BO13" s="523">
        <f t="shared" si="25"/>
        <v>-270.98541893400011</v>
      </c>
      <c r="BP13" s="44">
        <f t="shared" si="26"/>
        <v>-2.2380692016352834</v>
      </c>
      <c r="BQ13" s="149">
        <f t="shared" si="51"/>
        <v>352.85887704060008</v>
      </c>
      <c r="BR13" s="149">
        <f t="shared" ref="BR13:BT13" si="72">SUM(BQ13-SUM($BZ13*0.1))</f>
        <v>309.73168095786008</v>
      </c>
      <c r="BS13" s="149">
        <f t="shared" si="72"/>
        <v>266.60448487512008</v>
      </c>
      <c r="BT13" s="149">
        <f t="shared" si="72"/>
        <v>223.47728879238008</v>
      </c>
      <c r="BU13" s="149">
        <f>SUM(BT13*1.03)</f>
        <v>230.18160745615148</v>
      </c>
      <c r="BV13" s="526"/>
      <c r="BW13" s="527">
        <f t="shared" si="61"/>
        <v>453.66653670099021</v>
      </c>
      <c r="BX13" s="523">
        <f t="shared" si="30"/>
        <v>61.601117766990114</v>
      </c>
      <c r="BY13" s="44">
        <f t="shared" si="31"/>
        <v>0.13578501560848241</v>
      </c>
      <c r="BZ13" s="149">
        <f t="shared" ref="BZ13:BZ15" si="73">SUM($BA13+SUM($BA13*0.1))</f>
        <v>431.27196082740011</v>
      </c>
      <c r="CA13" s="149">
        <f t="shared" ref="CA13:CD13" si="74">SUM(BZ13*1.03)</f>
        <v>444.21011965222215</v>
      </c>
      <c r="CB13" s="149">
        <f t="shared" si="74"/>
        <v>457.53642324178884</v>
      </c>
      <c r="CC13" s="149">
        <f t="shared" si="74"/>
        <v>471.26251593904254</v>
      </c>
      <c r="CD13" s="149">
        <f t="shared" si="74"/>
        <v>485.40039141721383</v>
      </c>
      <c r="CE13" s="22"/>
      <c r="CF13" s="348">
        <f>SUM(BA13*1.05)</f>
        <v>411.66868988070013</v>
      </c>
      <c r="CG13" s="22"/>
    </row>
    <row r="14" spans="1:85" ht="15.75" x14ac:dyDescent="0.5">
      <c r="A14" s="83" t="s">
        <v>90</v>
      </c>
      <c r="B14" s="85" t="s">
        <v>92</v>
      </c>
      <c r="C14" s="61"/>
      <c r="D14" s="62">
        <f>'Avg master'!H12</f>
        <v>2717.6666666666665</v>
      </c>
      <c r="E14" s="66">
        <f t="shared" si="0"/>
        <v>1.005261191591464E-2</v>
      </c>
      <c r="F14" s="77">
        <f t="shared" si="1"/>
        <v>0</v>
      </c>
      <c r="G14" s="61"/>
      <c r="H14" s="64">
        <v>927</v>
      </c>
      <c r="I14" s="64">
        <v>527</v>
      </c>
      <c r="J14" s="64">
        <v>345</v>
      </c>
      <c r="K14" s="65">
        <f t="shared" si="2"/>
        <v>599.66666666666663</v>
      </c>
      <c r="L14" s="66">
        <f t="shared" si="3"/>
        <v>5.1499614969526767E-3</v>
      </c>
      <c r="M14" s="77">
        <f t="shared" si="4"/>
        <v>0</v>
      </c>
      <c r="N14" s="66"/>
      <c r="O14" s="65">
        <v>544</v>
      </c>
      <c r="P14" s="66">
        <f t="shared" ref="P14:P18" si="75">SUM(O14/$O$60)</f>
        <v>5.5190325460595727E-3</v>
      </c>
      <c r="Q14" s="77">
        <f t="shared" ref="Q14:Q18" si="76">SUM(P14*$Q$61)</f>
        <v>0</v>
      </c>
      <c r="R14" s="65"/>
      <c r="S14" s="66"/>
      <c r="T14" s="145">
        <v>20480</v>
      </c>
      <c r="U14" s="66">
        <f t="shared" si="7"/>
        <v>1.5464003153206894E-2</v>
      </c>
      <c r="V14" s="77">
        <f t="shared" si="8"/>
        <v>2458.3458443360823</v>
      </c>
      <c r="W14" s="77"/>
      <c r="X14" s="75">
        <v>6043</v>
      </c>
      <c r="Y14" s="77">
        <f t="shared" ref="Y14:Y18" si="77">SUM(X14*$Y$62)</f>
        <v>0</v>
      </c>
      <c r="Z14" s="77"/>
      <c r="AA14" s="65"/>
      <c r="AB14" s="65"/>
      <c r="AC14" s="77">
        <f t="shared" si="10"/>
        <v>519.51683333333335</v>
      </c>
      <c r="AD14" s="65"/>
      <c r="AE14" s="65"/>
      <c r="AF14" s="65">
        <v>7592</v>
      </c>
      <c r="AG14" s="66">
        <f t="shared" si="11"/>
        <v>6.0622805098320418E-3</v>
      </c>
      <c r="AH14" s="77">
        <f t="shared" si="12"/>
        <v>0</v>
      </c>
      <c r="AI14" s="65"/>
      <c r="AJ14" s="65"/>
      <c r="AK14" s="145">
        <f>'Avg master'!T12</f>
        <v>1053</v>
      </c>
      <c r="AL14" s="145">
        <f>'Avg master'!U12</f>
        <v>1555</v>
      </c>
      <c r="AM14" s="65">
        <f t="shared" si="13"/>
        <v>502</v>
      </c>
      <c r="AN14" s="524">
        <f t="shared" si="14"/>
        <v>0.67717041800643085</v>
      </c>
      <c r="AO14" s="66">
        <f t="shared" si="15"/>
        <v>1.8449746686757709E-2</v>
      </c>
      <c r="AP14" s="77">
        <f t="shared" si="16"/>
        <v>771.24113403651984</v>
      </c>
      <c r="AQ14" s="76">
        <f t="shared" si="17"/>
        <v>3749.1038117059352</v>
      </c>
      <c r="AR14" s="144">
        <f t="shared" si="18"/>
        <v>14.818592141130178</v>
      </c>
      <c r="AS14" s="120"/>
      <c r="AT14" s="120">
        <v>1350</v>
      </c>
      <c r="AU14" s="120">
        <v>1375</v>
      </c>
      <c r="AV14" s="145">
        <v>1420</v>
      </c>
      <c r="AW14" s="12"/>
      <c r="AX14" s="12"/>
      <c r="AY14" s="67">
        <v>1659.5361648000001</v>
      </c>
      <c r="AZ14" s="22"/>
      <c r="BA14" s="68">
        <f t="shared" si="40"/>
        <v>1767.4060155120001</v>
      </c>
      <c r="BB14" s="45">
        <f t="shared" si="19"/>
        <v>2.9473140892362428</v>
      </c>
      <c r="BC14" s="22"/>
      <c r="BD14" s="46"/>
      <c r="BE14" s="146">
        <f t="shared" si="20"/>
        <v>497.7233333333333</v>
      </c>
      <c r="BF14" s="523">
        <f t="shared" si="21"/>
        <v>-1269.6826821786667</v>
      </c>
      <c r="BG14" s="44">
        <f t="shared" si="22"/>
        <v>-2.5509808304051114</v>
      </c>
      <c r="BH14" s="149">
        <f t="shared" si="70"/>
        <v>1944.1466170632002</v>
      </c>
      <c r="BI14" s="149">
        <f>SUM(BH14+SUM($BZ14*0.1))</f>
        <v>2138.5612787695204</v>
      </c>
      <c r="BJ14" s="149">
        <f>SUM(BI14+SUM($BZ14*0.05))</f>
        <v>2235.7686096226803</v>
      </c>
      <c r="BK14" s="149">
        <f t="shared" ref="BK14:BL14" si="78">SUM(BJ14*1.03)</f>
        <v>2302.8416679113607</v>
      </c>
      <c r="BL14" s="149">
        <f t="shared" si="78"/>
        <v>2371.9269179487014</v>
      </c>
      <c r="BM14" s="46"/>
      <c r="BN14" s="146">
        <f t="shared" ref="BN14:BN15" si="79">SUM(K14*$BN$2)+(12*100)</f>
        <v>1523.82</v>
      </c>
      <c r="BO14" s="523">
        <f t="shared" si="25"/>
        <v>-243.58601551200013</v>
      </c>
      <c r="BP14" s="44">
        <f t="shared" si="26"/>
        <v>-0.1598522236957122</v>
      </c>
      <c r="BQ14" s="149">
        <f t="shared" ref="BQ14:BQ15" si="80">SUM($BA14+SUM($BA14*0.1))</f>
        <v>1944.1466170632002</v>
      </c>
      <c r="BR14" s="149">
        <f t="shared" ref="BR14:BU14" si="81">SUM(BQ14+SUM($BZ14*0.1))</f>
        <v>2138.5612787695204</v>
      </c>
      <c r="BS14" s="149">
        <f t="shared" si="81"/>
        <v>2332.9759404758406</v>
      </c>
      <c r="BT14" s="149">
        <f t="shared" si="81"/>
        <v>2527.3906021821608</v>
      </c>
      <c r="BU14" s="149">
        <f t="shared" si="81"/>
        <v>2721.805263888481</v>
      </c>
      <c r="BV14" s="526"/>
      <c r="BW14" s="527">
        <f t="shared" ref="BW14:BW15" si="82">SUM(L14*$BA$63)</f>
        <v>1099.3499208468952</v>
      </c>
      <c r="BX14" s="523">
        <f t="shared" si="30"/>
        <v>-668.05609466510487</v>
      </c>
      <c r="BY14" s="44">
        <f t="shared" si="31"/>
        <v>-0.60768285147140522</v>
      </c>
      <c r="BZ14" s="149">
        <f t="shared" si="73"/>
        <v>1944.1466170632002</v>
      </c>
      <c r="CA14" s="149">
        <f t="shared" ref="CA14:CC14" si="83">SUM(BZ14+SUM($BZ14*0.1))</f>
        <v>2138.5612787695204</v>
      </c>
      <c r="CB14" s="149">
        <f t="shared" si="83"/>
        <v>2332.9759404758406</v>
      </c>
      <c r="CC14" s="149">
        <f t="shared" si="83"/>
        <v>2527.3906021821608</v>
      </c>
      <c r="CD14" s="149">
        <f>SUM(CC14*1.03)</f>
        <v>2603.2123202476255</v>
      </c>
      <c r="CE14" s="22"/>
      <c r="CF14" s="149">
        <f t="shared" ref="CF14:CF18" si="84">SUM(T14*$CF$3)</f>
        <v>4096</v>
      </c>
      <c r="CG14" s="145">
        <f t="shared" ref="CG14:CG18" si="85">SUM(CF14-BA14)</f>
        <v>2328.5939844879999</v>
      </c>
    </row>
    <row r="15" spans="1:85" ht="15.75" x14ac:dyDescent="0.5">
      <c r="A15" s="95" t="s">
        <v>93</v>
      </c>
      <c r="B15" s="61" t="s">
        <v>69</v>
      </c>
      <c r="C15" s="82"/>
      <c r="D15" s="62">
        <f>'Avg master'!H13</f>
        <v>1985</v>
      </c>
      <c r="E15" s="66">
        <f t="shared" si="0"/>
        <v>7.3424879135620862E-3</v>
      </c>
      <c r="F15" s="77">
        <f t="shared" si="1"/>
        <v>0</v>
      </c>
      <c r="G15" s="82"/>
      <c r="H15" s="64">
        <v>1699</v>
      </c>
      <c r="I15" s="64">
        <v>1656</v>
      </c>
      <c r="J15" s="64">
        <v>1411</v>
      </c>
      <c r="K15" s="65">
        <f t="shared" si="2"/>
        <v>1588.6666666666667</v>
      </c>
      <c r="L15" s="66">
        <f t="shared" si="3"/>
        <v>1.3643533348791807E-2</v>
      </c>
      <c r="M15" s="77">
        <f t="shared" si="4"/>
        <v>0</v>
      </c>
      <c r="N15" s="66"/>
      <c r="O15" s="65">
        <v>1054</v>
      </c>
      <c r="P15" s="66">
        <f t="shared" si="75"/>
        <v>1.0693125557990422E-2</v>
      </c>
      <c r="Q15" s="77">
        <f t="shared" si="76"/>
        <v>0</v>
      </c>
      <c r="R15" s="65"/>
      <c r="S15" s="66"/>
      <c r="T15" s="145">
        <v>19237</v>
      </c>
      <c r="U15" s="66">
        <f t="shared" si="7"/>
        <v>1.4525440852453175E-2</v>
      </c>
      <c r="V15" s="77">
        <f t="shared" si="8"/>
        <v>2309.1405765377544</v>
      </c>
      <c r="W15" s="77"/>
      <c r="X15" s="75">
        <v>12238</v>
      </c>
      <c r="Y15" s="77">
        <f t="shared" si="77"/>
        <v>0</v>
      </c>
      <c r="Z15" s="77"/>
      <c r="AA15" s="65"/>
      <c r="AB15" s="65"/>
      <c r="AC15" s="77">
        <f t="shared" si="10"/>
        <v>519.51683333333335</v>
      </c>
      <c r="AD15" s="65"/>
      <c r="AE15" s="65"/>
      <c r="AF15" s="65">
        <v>21593</v>
      </c>
      <c r="AG15" s="66">
        <f t="shared" si="11"/>
        <v>1.7242205354162706E-2</v>
      </c>
      <c r="AH15" s="77">
        <f t="shared" si="12"/>
        <v>0</v>
      </c>
      <c r="AI15" s="65"/>
      <c r="AJ15" s="65"/>
      <c r="AK15" s="145">
        <f>'Avg master'!T13</f>
        <v>1131</v>
      </c>
      <c r="AL15" s="145">
        <f>'Avg master'!U13</f>
        <v>2487.5</v>
      </c>
      <c r="AM15" s="65">
        <f t="shared" si="13"/>
        <v>1356.5</v>
      </c>
      <c r="AN15" s="524">
        <f t="shared" si="14"/>
        <v>0.45467336683417087</v>
      </c>
      <c r="AO15" s="66">
        <f t="shared" si="15"/>
        <v>2.9513662304379292E-2</v>
      </c>
      <c r="AP15" s="77">
        <f t="shared" si="16"/>
        <v>1372.1031806532753</v>
      </c>
      <c r="AQ15" s="76">
        <f t="shared" si="17"/>
        <v>4200.7605905243636</v>
      </c>
      <c r="AR15" s="144">
        <f t="shared" si="18"/>
        <v>16.603796800491555</v>
      </c>
      <c r="AS15" s="120"/>
      <c r="AT15" s="120"/>
      <c r="AU15" s="120"/>
      <c r="AV15" s="145"/>
      <c r="AW15" s="12"/>
      <c r="AX15" s="12"/>
      <c r="AY15" s="67"/>
      <c r="AZ15" s="22"/>
      <c r="BA15" s="79">
        <f>SUM(1473*(1+$BA$2))</f>
        <v>1568.7449999999999</v>
      </c>
      <c r="BB15" s="45">
        <f t="shared" si="19"/>
        <v>0.98746013428451518</v>
      </c>
      <c r="BC15" s="22"/>
      <c r="BD15" s="46"/>
      <c r="BE15" s="146">
        <f t="shared" si="20"/>
        <v>1318.5933333333332</v>
      </c>
      <c r="BF15" s="523">
        <f t="shared" si="21"/>
        <v>-250.15166666666664</v>
      </c>
      <c r="BG15" s="44">
        <f t="shared" si="22"/>
        <v>-0.18971100516206665</v>
      </c>
      <c r="BH15" s="149">
        <f>BE15</f>
        <v>1318.5933333333332</v>
      </c>
      <c r="BI15" s="149">
        <f t="shared" ref="BI15:BL15" si="86">SUM(BH15*1.03)</f>
        <v>1358.1511333333333</v>
      </c>
      <c r="BJ15" s="149">
        <f t="shared" si="86"/>
        <v>1398.8956673333332</v>
      </c>
      <c r="BK15" s="149">
        <f t="shared" si="86"/>
        <v>1440.8625373533332</v>
      </c>
      <c r="BL15" s="149">
        <f t="shared" si="86"/>
        <v>1484.0884134739333</v>
      </c>
      <c r="BM15" s="46"/>
      <c r="BN15" s="146">
        <f t="shared" si="79"/>
        <v>2057.88</v>
      </c>
      <c r="BO15" s="523">
        <f t="shared" si="25"/>
        <v>489.13500000000022</v>
      </c>
      <c r="BP15" s="44">
        <f t="shared" si="26"/>
        <v>0.23768878651816441</v>
      </c>
      <c r="BQ15" s="149">
        <f t="shared" si="80"/>
        <v>1725.6194999999998</v>
      </c>
      <c r="BR15" s="149">
        <f t="shared" ref="BR15:BU15" si="87">SUM(BQ15+SUM($BZ15*0.1))</f>
        <v>1898.1814499999998</v>
      </c>
      <c r="BS15" s="149">
        <f t="shared" si="87"/>
        <v>2070.7433999999998</v>
      </c>
      <c r="BT15" s="149">
        <f t="shared" si="87"/>
        <v>2243.3053499999996</v>
      </c>
      <c r="BU15" s="149">
        <f t="shared" si="87"/>
        <v>2415.8672999999994</v>
      </c>
      <c r="BV15" s="526"/>
      <c r="BW15" s="527">
        <f t="shared" si="82"/>
        <v>2912.4523194865496</v>
      </c>
      <c r="BX15" s="523">
        <f t="shared" si="30"/>
        <v>1343.7073194865497</v>
      </c>
      <c r="BY15" s="44">
        <f t="shared" si="31"/>
        <v>0.46136628932810769</v>
      </c>
      <c r="BZ15" s="149">
        <f t="shared" si="73"/>
        <v>1725.6194999999998</v>
      </c>
      <c r="CA15" s="149">
        <f t="shared" ref="CA15:CD15" si="88">SUM(BZ15*1.03)</f>
        <v>1777.3880849999998</v>
      </c>
      <c r="CB15" s="149">
        <f t="shared" si="88"/>
        <v>1830.7097275499998</v>
      </c>
      <c r="CC15" s="149">
        <f t="shared" si="88"/>
        <v>1885.6310193764998</v>
      </c>
      <c r="CD15" s="149">
        <f t="shared" si="88"/>
        <v>1942.1999499577948</v>
      </c>
      <c r="CE15" s="22"/>
      <c r="CF15" s="149">
        <f t="shared" si="84"/>
        <v>3847.4</v>
      </c>
      <c r="CG15" s="145">
        <f t="shared" si="85"/>
        <v>2278.6550000000002</v>
      </c>
    </row>
    <row r="16" spans="1:85" ht="15.75" x14ac:dyDescent="0.5">
      <c r="A16" s="83" t="s">
        <v>95</v>
      </c>
      <c r="B16" s="61" t="s">
        <v>64</v>
      </c>
      <c r="C16" s="85"/>
      <c r="D16" s="62">
        <f>'Avg master'!H14</f>
        <v>475</v>
      </c>
      <c r="E16" s="66">
        <f t="shared" si="0"/>
        <v>1.7570185183586856E-3</v>
      </c>
      <c r="F16" s="77">
        <f t="shared" si="1"/>
        <v>0</v>
      </c>
      <c r="G16" s="85"/>
      <c r="H16" s="64">
        <v>308</v>
      </c>
      <c r="I16" s="64">
        <v>229</v>
      </c>
      <c r="J16" s="64">
        <v>174</v>
      </c>
      <c r="K16" s="65">
        <f t="shared" si="2"/>
        <v>237</v>
      </c>
      <c r="L16" s="66">
        <f t="shared" si="3"/>
        <v>2.0353655499351603E-3</v>
      </c>
      <c r="M16" s="77">
        <f t="shared" si="4"/>
        <v>0</v>
      </c>
      <c r="N16" s="66"/>
      <c r="O16" s="65">
        <v>226</v>
      </c>
      <c r="P16" s="66">
        <f t="shared" si="75"/>
        <v>2.2928333739144552E-3</v>
      </c>
      <c r="Q16" s="77">
        <f t="shared" si="76"/>
        <v>0</v>
      </c>
      <c r="R16" s="65"/>
      <c r="S16" s="66"/>
      <c r="T16" s="145">
        <v>4377</v>
      </c>
      <c r="U16" s="66">
        <f t="shared" si="7"/>
        <v>3.3049776270305943E-3</v>
      </c>
      <c r="V16" s="77">
        <f t="shared" si="8"/>
        <v>525.3994023759293</v>
      </c>
      <c r="W16" s="77"/>
      <c r="X16" s="75">
        <v>3794</v>
      </c>
      <c r="Y16" s="77">
        <f t="shared" si="77"/>
        <v>0</v>
      </c>
      <c r="Z16" s="77"/>
      <c r="AA16" s="65"/>
      <c r="AB16" s="65"/>
      <c r="AC16" s="77">
        <f t="shared" si="10"/>
        <v>519.51683333333335</v>
      </c>
      <c r="AD16" s="65"/>
      <c r="AE16" s="65"/>
      <c r="AF16" s="65">
        <v>1798</v>
      </c>
      <c r="AG16" s="66">
        <f t="shared" si="11"/>
        <v>1.4357192250629624E-3</v>
      </c>
      <c r="AH16" s="77">
        <f t="shared" si="12"/>
        <v>0</v>
      </c>
      <c r="AI16" s="65"/>
      <c r="AJ16" s="65"/>
      <c r="AK16" s="145">
        <f>'Avg master'!T14</f>
        <v>34.5</v>
      </c>
      <c r="AL16" s="145">
        <f>'Avg master'!U14</f>
        <v>215.5</v>
      </c>
      <c r="AM16" s="65">
        <f t="shared" si="13"/>
        <v>181</v>
      </c>
      <c r="AN16" s="524">
        <f t="shared" si="14"/>
        <v>0.16009280742459397</v>
      </c>
      <c r="AO16" s="66">
        <f t="shared" si="15"/>
        <v>2.5568620006406985E-3</v>
      </c>
      <c r="AP16" s="77">
        <f t="shared" si="16"/>
        <v>134.74017002242445</v>
      </c>
      <c r="AQ16" s="76">
        <f t="shared" si="17"/>
        <v>1179.6564057316873</v>
      </c>
      <c r="AR16" s="144">
        <f t="shared" si="18"/>
        <v>4.6626735404414514</v>
      </c>
      <c r="AS16" s="120"/>
      <c r="AT16" s="120">
        <v>1000</v>
      </c>
      <c r="AU16" s="120">
        <v>1020</v>
      </c>
      <c r="AV16" s="145">
        <v>1050</v>
      </c>
      <c r="AW16" s="12"/>
      <c r="AX16" s="12"/>
      <c r="AY16" s="67">
        <v>1227.1218120000001</v>
      </c>
      <c r="AZ16" s="22"/>
      <c r="BA16" s="68">
        <f t="shared" ref="BA16:BA27" si="89">SUM(AY16*(1+$BA$2))</f>
        <v>1306.88472978</v>
      </c>
      <c r="BB16" s="525">
        <f t="shared" si="19"/>
        <v>5.5142815602531652</v>
      </c>
      <c r="BC16" s="22"/>
      <c r="BD16" s="46"/>
      <c r="BE16" s="146">
        <f t="shared" si="20"/>
        <v>196.70999999999998</v>
      </c>
      <c r="BF16" s="523">
        <f t="shared" si="21"/>
        <v>-1110.17472978</v>
      </c>
      <c r="BG16" s="44">
        <f t="shared" si="22"/>
        <v>-5.6437127231965842</v>
      </c>
      <c r="BH16" s="149">
        <f t="shared" ref="BH16:BH17" si="90">SUM($BA16-SUM($BA16*0.1))</f>
        <v>1176.1962568020001</v>
      </c>
      <c r="BI16" s="149">
        <f t="shared" ref="BI16:BL16" si="91">SUM(BH16-SUM($BZ16*0.1))</f>
        <v>1058.5766311218001</v>
      </c>
      <c r="BJ16" s="149">
        <f t="shared" si="91"/>
        <v>940.95700544160013</v>
      </c>
      <c r="BK16" s="149">
        <f t="shared" si="91"/>
        <v>823.33737976140014</v>
      </c>
      <c r="BL16" s="149">
        <f t="shared" si="91"/>
        <v>705.71775408120016</v>
      </c>
      <c r="BM16" s="46"/>
      <c r="BN16" s="146">
        <f>SUM(K16*$BN$2)+(12*50)</f>
        <v>727.98</v>
      </c>
      <c r="BO16" s="523">
        <f t="shared" si="25"/>
        <v>-578.90472978000003</v>
      </c>
      <c r="BP16" s="44">
        <f t="shared" si="26"/>
        <v>-0.79522065136404851</v>
      </c>
      <c r="BQ16" s="149">
        <f>SUM($BA16-SUM($BA16*0.1))</f>
        <v>1176.1962568020001</v>
      </c>
      <c r="BR16" s="149">
        <f t="shared" ref="BR16:BS16" si="92">SUM(BQ16-SUM($BZ16*0.1))</f>
        <v>1058.5766311218001</v>
      </c>
      <c r="BS16" s="149">
        <f t="shared" si="92"/>
        <v>940.95700544160013</v>
      </c>
      <c r="BT16" s="149">
        <f t="shared" ref="BT16:BU16" si="93">SUM(BS16*1.03)</f>
        <v>969.18571560484816</v>
      </c>
      <c r="BU16" s="149">
        <f t="shared" si="93"/>
        <v>998.26128707299358</v>
      </c>
      <c r="BV16" s="526"/>
      <c r="BW16" s="527">
        <f t="shared" ref="BW16:BW17" si="94">SUM(L16*$BA$63)+$BW$2</f>
        <v>884.48459906733876</v>
      </c>
      <c r="BX16" s="523">
        <f t="shared" si="30"/>
        <v>-422.40013071266128</v>
      </c>
      <c r="BY16" s="44">
        <f t="shared" si="31"/>
        <v>-0.47756640551804852</v>
      </c>
      <c r="BZ16" s="149">
        <f>SUM($BA16-SUM($BA16*0.1))</f>
        <v>1176.1962568020001</v>
      </c>
      <c r="CA16" s="149">
        <f t="shared" ref="CA16:CD16" si="95">SUM(BZ16-SUM($BZ16*0.1))</f>
        <v>1058.5766311218001</v>
      </c>
      <c r="CB16" s="149">
        <f t="shared" si="95"/>
        <v>940.95700544160013</v>
      </c>
      <c r="CC16" s="149">
        <f t="shared" si="95"/>
        <v>823.33737976140014</v>
      </c>
      <c r="CD16" s="149">
        <f t="shared" si="95"/>
        <v>705.71775408120016</v>
      </c>
      <c r="CE16" s="22"/>
      <c r="CF16" s="149">
        <f t="shared" si="84"/>
        <v>875.40000000000009</v>
      </c>
      <c r="CG16" s="145">
        <f t="shared" si="85"/>
        <v>-431.48472977999995</v>
      </c>
    </row>
    <row r="17" spans="1:85" ht="15.75" x14ac:dyDescent="0.5">
      <c r="A17" s="83" t="s">
        <v>97</v>
      </c>
      <c r="B17" s="85" t="s">
        <v>69</v>
      </c>
      <c r="C17" s="88"/>
      <c r="D17" s="62">
        <f>'Avg master'!H15</f>
        <v>1378.3333333333333</v>
      </c>
      <c r="E17" s="66">
        <f t="shared" si="0"/>
        <v>5.0984361918688876E-3</v>
      </c>
      <c r="F17" s="77">
        <f t="shared" si="1"/>
        <v>0</v>
      </c>
      <c r="G17" s="88"/>
      <c r="H17" s="64">
        <v>994</v>
      </c>
      <c r="I17" s="64">
        <v>777</v>
      </c>
      <c r="J17" s="64">
        <v>592</v>
      </c>
      <c r="K17" s="65">
        <f t="shared" si="2"/>
        <v>787.66666666666663</v>
      </c>
      <c r="L17" s="66">
        <f t="shared" si="3"/>
        <v>6.7645130724286687E-3</v>
      </c>
      <c r="M17" s="77">
        <f t="shared" si="4"/>
        <v>0</v>
      </c>
      <c r="N17" s="66"/>
      <c r="O17" s="65">
        <v>760</v>
      </c>
      <c r="P17" s="66">
        <f t="shared" si="75"/>
        <v>7.7104131158185216E-3</v>
      </c>
      <c r="Q17" s="77">
        <f t="shared" si="76"/>
        <v>0</v>
      </c>
      <c r="R17" s="65"/>
      <c r="S17" s="66"/>
      <c r="T17" s="145">
        <v>6401</v>
      </c>
      <c r="U17" s="66">
        <f t="shared" si="7"/>
        <v>4.8332560636561196E-3</v>
      </c>
      <c r="V17" s="77">
        <f t="shared" si="8"/>
        <v>768.35311277320613</v>
      </c>
      <c r="W17" s="77"/>
      <c r="X17" s="75">
        <v>5205</v>
      </c>
      <c r="Y17" s="77">
        <f t="shared" si="77"/>
        <v>0</v>
      </c>
      <c r="Z17" s="77"/>
      <c r="AA17" s="65"/>
      <c r="AB17" s="65"/>
      <c r="AC17" s="77">
        <f t="shared" si="10"/>
        <v>519.51683333333335</v>
      </c>
      <c r="AD17" s="65"/>
      <c r="AE17" s="65"/>
      <c r="AF17" s="65">
        <v>5937</v>
      </c>
      <c r="AG17" s="66">
        <f t="shared" si="11"/>
        <v>4.7407480751939981E-3</v>
      </c>
      <c r="AH17" s="77">
        <f t="shared" si="12"/>
        <v>0</v>
      </c>
      <c r="AI17" s="65"/>
      <c r="AJ17" s="65"/>
      <c r="AK17" s="145">
        <f>'Avg master'!T15</f>
        <v>366.5</v>
      </c>
      <c r="AL17" s="145">
        <f>'Avg master'!U15</f>
        <v>796</v>
      </c>
      <c r="AM17" s="65">
        <f t="shared" si="13"/>
        <v>429.5</v>
      </c>
      <c r="AN17" s="524">
        <f t="shared" si="14"/>
        <v>0.46042713567839194</v>
      </c>
      <c r="AO17" s="66">
        <f t="shared" si="15"/>
        <v>9.4443719374013736E-3</v>
      </c>
      <c r="AP17" s="77">
        <f t="shared" si="16"/>
        <v>437.92801780904807</v>
      </c>
      <c r="AQ17" s="76">
        <f t="shared" si="17"/>
        <v>1725.7979639155874</v>
      </c>
      <c r="AR17" s="144">
        <f t="shared" si="18"/>
        <v>6.8213358257533097</v>
      </c>
      <c r="AS17" s="120"/>
      <c r="AT17" s="120">
        <v>1200</v>
      </c>
      <c r="AU17" s="120">
        <v>1220</v>
      </c>
      <c r="AV17" s="145">
        <v>1260</v>
      </c>
      <c r="AW17" s="12"/>
      <c r="AX17" s="12"/>
      <c r="AY17" s="67">
        <v>1472.5461744000004</v>
      </c>
      <c r="AZ17" s="22"/>
      <c r="BA17" s="68">
        <f t="shared" si="89"/>
        <v>1568.2616757360004</v>
      </c>
      <c r="BB17" s="525">
        <f t="shared" si="19"/>
        <v>1.9910220174388495</v>
      </c>
      <c r="BC17" s="22"/>
      <c r="BD17" s="46"/>
      <c r="BE17" s="146">
        <f t="shared" si="20"/>
        <v>653.76333333333332</v>
      </c>
      <c r="BF17" s="523">
        <f t="shared" si="21"/>
        <v>-914.49834240266705</v>
      </c>
      <c r="BG17" s="44">
        <f t="shared" si="22"/>
        <v>-1.3988217077576499</v>
      </c>
      <c r="BH17" s="149">
        <f t="shared" si="90"/>
        <v>1411.4355081624003</v>
      </c>
      <c r="BI17" s="149">
        <f>SUM(BH17-SUM($BZ17*0.1))</f>
        <v>1222.0350710884029</v>
      </c>
      <c r="BJ17" s="149">
        <f t="shared" ref="BJ17:BL17" si="96">SUM(BI17*1.03)</f>
        <v>1258.6961232210551</v>
      </c>
      <c r="BK17" s="149">
        <f t="shared" si="96"/>
        <v>1296.4570069176868</v>
      </c>
      <c r="BL17" s="149">
        <f t="shared" si="96"/>
        <v>1335.3507171252174</v>
      </c>
      <c r="BM17" s="46"/>
      <c r="BN17" s="146">
        <f>SUM(K17*$BN$2)+(12*75)</f>
        <v>1325.3400000000001</v>
      </c>
      <c r="BO17" s="523">
        <f t="shared" si="25"/>
        <v>-242.92167573600022</v>
      </c>
      <c r="BP17" s="44">
        <f t="shared" si="26"/>
        <v>-0.18329008083661566</v>
      </c>
      <c r="BQ17" s="149">
        <f>BN17</f>
        <v>1325.3400000000001</v>
      </c>
      <c r="BR17" s="149">
        <f t="shared" ref="BR17:BU17" si="97">SUM(BQ17*1.03)</f>
        <v>1365.1002000000001</v>
      </c>
      <c r="BS17" s="149">
        <f t="shared" si="97"/>
        <v>1406.053206</v>
      </c>
      <c r="BT17" s="149">
        <f t="shared" si="97"/>
        <v>1448.2348021800001</v>
      </c>
      <c r="BU17" s="149">
        <f t="shared" si="97"/>
        <v>1491.6818462454</v>
      </c>
      <c r="BV17" s="526"/>
      <c r="BW17" s="527">
        <f t="shared" si="94"/>
        <v>1894.0043707399739</v>
      </c>
      <c r="BX17" s="523">
        <f t="shared" si="30"/>
        <v>325.74269500397349</v>
      </c>
      <c r="BY17" s="44">
        <f t="shared" si="31"/>
        <v>0.17198624250096539</v>
      </c>
      <c r="BZ17" s="149">
        <f>BW17</f>
        <v>1894.0043707399739</v>
      </c>
      <c r="CA17" s="149">
        <f t="shared" ref="CA17:CD17" si="98">SUM(BZ17*1.03)</f>
        <v>1950.8245018621731</v>
      </c>
      <c r="CB17" s="149">
        <f t="shared" si="98"/>
        <v>2009.3492369180383</v>
      </c>
      <c r="CC17" s="149">
        <f t="shared" si="98"/>
        <v>2069.6297140255797</v>
      </c>
      <c r="CD17" s="149">
        <f t="shared" si="98"/>
        <v>2131.7186054463473</v>
      </c>
      <c r="CE17" s="22"/>
      <c r="CF17" s="149">
        <f t="shared" si="84"/>
        <v>1280.2</v>
      </c>
      <c r="CG17" s="145">
        <f t="shared" si="85"/>
        <v>-288.06167573600032</v>
      </c>
    </row>
    <row r="18" spans="1:85" ht="15.75" x14ac:dyDescent="0.5">
      <c r="A18" s="417" t="s">
        <v>99</v>
      </c>
      <c r="B18" s="41" t="s">
        <v>101</v>
      </c>
      <c r="C18" s="88"/>
      <c r="D18" s="62">
        <f>'Avg master'!H16</f>
        <v>7391.666666666667</v>
      </c>
      <c r="E18" s="66">
        <f t="shared" si="0"/>
        <v>2.7341674136564107E-2</v>
      </c>
      <c r="F18" s="77">
        <f t="shared" si="1"/>
        <v>0</v>
      </c>
      <c r="G18" s="88"/>
      <c r="H18" s="64">
        <v>2809</v>
      </c>
      <c r="I18" s="64">
        <v>2231</v>
      </c>
      <c r="J18" s="64">
        <v>1582</v>
      </c>
      <c r="K18" s="65">
        <f t="shared" si="2"/>
        <v>2207.3333333333335</v>
      </c>
      <c r="L18" s="66">
        <f t="shared" si="3"/>
        <v>1.8956667611351102E-2</v>
      </c>
      <c r="M18" s="77">
        <f t="shared" si="4"/>
        <v>0</v>
      </c>
      <c r="N18" s="66"/>
      <c r="O18" s="65">
        <v>2466</v>
      </c>
      <c r="P18" s="66">
        <f t="shared" si="75"/>
        <v>2.501826150474799E-2</v>
      </c>
      <c r="Q18" s="77">
        <f t="shared" si="76"/>
        <v>0</v>
      </c>
      <c r="R18" s="65"/>
      <c r="S18" s="66"/>
      <c r="T18" s="145">
        <v>42028</v>
      </c>
      <c r="U18" s="66">
        <f t="shared" si="7"/>
        <v>3.1734429908348599E-2</v>
      </c>
      <c r="V18" s="77">
        <f t="shared" si="8"/>
        <v>5044.8905832889095</v>
      </c>
      <c r="W18" s="77"/>
      <c r="X18" s="75">
        <v>14316</v>
      </c>
      <c r="Y18" s="77">
        <f t="shared" si="77"/>
        <v>0</v>
      </c>
      <c r="Z18" s="77"/>
      <c r="AA18" s="65"/>
      <c r="AB18" s="65"/>
      <c r="AC18" s="77">
        <f t="shared" si="10"/>
        <v>519.51683333333335</v>
      </c>
      <c r="AD18" s="65"/>
      <c r="AE18" s="65"/>
      <c r="AF18" s="65">
        <v>20650</v>
      </c>
      <c r="AG18" s="66">
        <f t="shared" si="11"/>
        <v>1.6489211344577405E-2</v>
      </c>
      <c r="AH18" s="77">
        <f t="shared" si="12"/>
        <v>0</v>
      </c>
      <c r="AI18" s="65"/>
      <c r="AJ18" s="65"/>
      <c r="AK18" s="145">
        <f>'Avg master'!T16</f>
        <v>1582.5</v>
      </c>
      <c r="AL18" s="145">
        <f>'Avg master'!U16</f>
        <v>1049.5</v>
      </c>
      <c r="AM18" s="65">
        <f t="shared" si="13"/>
        <v>-533</v>
      </c>
      <c r="AN18" s="524">
        <f t="shared" si="14"/>
        <v>1.5078608861362555</v>
      </c>
      <c r="AO18" s="66">
        <f t="shared" si="15"/>
        <v>1.2452095914953193E-2</v>
      </c>
      <c r="AP18" s="77">
        <f t="shared" si="16"/>
        <v>302.57335702336178</v>
      </c>
      <c r="AQ18" s="76">
        <f t="shared" si="17"/>
        <v>5866.9807736456041</v>
      </c>
      <c r="AR18" s="144">
        <f t="shared" si="18"/>
        <v>23.189647326662467</v>
      </c>
      <c r="AS18" s="120"/>
      <c r="AT18" s="120">
        <v>3000</v>
      </c>
      <c r="AU18" s="120">
        <v>5000</v>
      </c>
      <c r="AV18" s="74">
        <v>8380</v>
      </c>
      <c r="AW18" s="7" t="s">
        <v>473</v>
      </c>
      <c r="AX18" s="7"/>
      <c r="AY18" s="98">
        <v>5000</v>
      </c>
      <c r="AZ18" s="99"/>
      <c r="BA18" s="100">
        <f t="shared" si="89"/>
        <v>5325</v>
      </c>
      <c r="BB18" s="530">
        <f t="shared" si="19"/>
        <v>2.4124131682271215</v>
      </c>
      <c r="BC18" s="530"/>
      <c r="BD18" s="101" t="e">
        <f>SUM(BA18-#REF!)</f>
        <v>#REF!</v>
      </c>
      <c r="BE18" s="146">
        <f t="shared" si="20"/>
        <v>1832.0866666666668</v>
      </c>
      <c r="BF18" s="523">
        <f t="shared" si="21"/>
        <v>-3492.913333333333</v>
      </c>
      <c r="BG18" s="44">
        <f t="shared" si="22"/>
        <v>-1.9065218894302667</v>
      </c>
      <c r="BH18" s="149">
        <f>SUM($BA18+SUM($BA18*0.1))</f>
        <v>5857.5</v>
      </c>
      <c r="BI18" s="149">
        <f>SUM(BH18+SUM($BZ18*0.1))</f>
        <v>6443.25</v>
      </c>
      <c r="BJ18" s="149">
        <f t="shared" ref="BJ18:BL18" si="99">SUM(BI18*1.03)</f>
        <v>6636.5475000000006</v>
      </c>
      <c r="BK18" s="149">
        <f t="shared" si="99"/>
        <v>6835.6439250000012</v>
      </c>
      <c r="BL18" s="149">
        <f t="shared" si="99"/>
        <v>7040.7132427500019</v>
      </c>
      <c r="BM18" s="531"/>
      <c r="BN18" s="146">
        <f>SUM(K18*$BN$2)+(12*150)</f>
        <v>2991.96</v>
      </c>
      <c r="BO18" s="523">
        <f t="shared" si="25"/>
        <v>-2333.04</v>
      </c>
      <c r="BP18" s="44">
        <f t="shared" si="26"/>
        <v>-0.77976978301848954</v>
      </c>
      <c r="BQ18" s="149">
        <f>SUM($BA18+SUM($BA18*0.1))</f>
        <v>5857.5</v>
      </c>
      <c r="BR18" s="149">
        <f t="shared" ref="BR18:BU18" si="100">SUM(BQ18*1.03)</f>
        <v>6033.2250000000004</v>
      </c>
      <c r="BS18" s="149">
        <f t="shared" si="100"/>
        <v>6214.2217500000006</v>
      </c>
      <c r="BT18" s="149">
        <f t="shared" si="100"/>
        <v>6400.6484025000009</v>
      </c>
      <c r="BU18" s="149">
        <f t="shared" si="100"/>
        <v>6592.667854575001</v>
      </c>
      <c r="BV18" s="526"/>
      <c r="BW18" s="527">
        <f>SUM(L18*$BA$63)</f>
        <v>4046.634338992852</v>
      </c>
      <c r="BX18" s="523">
        <f t="shared" si="30"/>
        <v>-1278.365661007148</v>
      </c>
      <c r="BY18" s="44">
        <f t="shared" si="31"/>
        <v>-0.31590837073885814</v>
      </c>
      <c r="BZ18" s="149">
        <f>SUM($BA18+SUM($BA18*0.1))</f>
        <v>5857.5</v>
      </c>
      <c r="CA18" s="149">
        <f>SUM(BZ18+SUM($BZ18*0.1))</f>
        <v>6443.25</v>
      </c>
      <c r="CB18" s="149">
        <f t="shared" ref="CB18:CD18" si="101">SUM(CA18*1.03)</f>
        <v>6636.5475000000006</v>
      </c>
      <c r="CC18" s="149">
        <f t="shared" si="101"/>
        <v>6835.6439250000012</v>
      </c>
      <c r="CD18" s="149">
        <f t="shared" si="101"/>
        <v>7040.7132427500019</v>
      </c>
      <c r="CE18" s="22"/>
      <c r="CF18" s="149">
        <f t="shared" si="84"/>
        <v>8405.6</v>
      </c>
      <c r="CG18" s="145">
        <f t="shared" si="85"/>
        <v>3080.6000000000004</v>
      </c>
    </row>
    <row r="19" spans="1:85" ht="15.75" x14ac:dyDescent="0.5">
      <c r="A19" s="103" t="s">
        <v>102</v>
      </c>
      <c r="B19" s="84" t="s">
        <v>81</v>
      </c>
      <c r="C19" s="85"/>
      <c r="D19" s="62">
        <f>'Avg master'!H17</f>
        <v>24.333333333333332</v>
      </c>
      <c r="E19" s="66">
        <f t="shared" si="0"/>
        <v>9.000866795802389E-5</v>
      </c>
      <c r="F19" s="77">
        <f t="shared" si="1"/>
        <v>0</v>
      </c>
      <c r="G19" s="85"/>
      <c r="H19" s="64">
        <v>25</v>
      </c>
      <c r="I19" s="64">
        <v>25</v>
      </c>
      <c r="J19" s="64">
        <v>23</v>
      </c>
      <c r="K19" s="65">
        <f t="shared" si="2"/>
        <v>24.333333333333332</v>
      </c>
      <c r="L19" s="66">
        <f t="shared" si="3"/>
        <v>2.0897564718040323E-4</v>
      </c>
      <c r="M19" s="77">
        <f t="shared" si="4"/>
        <v>0</v>
      </c>
      <c r="N19" s="66"/>
      <c r="O19" s="65"/>
      <c r="P19" s="65"/>
      <c r="Q19" s="65"/>
      <c r="R19" s="65"/>
      <c r="S19" s="66"/>
      <c r="T19" s="145">
        <v>14339</v>
      </c>
      <c r="U19" s="66">
        <f t="shared" si="7"/>
        <v>1.0827067442081721E-2</v>
      </c>
      <c r="V19" s="77">
        <f t="shared" si="8"/>
        <v>1721.2022002897991</v>
      </c>
      <c r="W19" s="65"/>
      <c r="X19" s="75"/>
      <c r="Y19" s="76"/>
      <c r="Z19" s="65"/>
      <c r="AA19" s="65"/>
      <c r="AB19" s="65"/>
      <c r="AC19" s="77">
        <f t="shared" si="10"/>
        <v>519.51683333333335</v>
      </c>
      <c r="AD19" s="65"/>
      <c r="AE19" s="65"/>
      <c r="AF19" s="64">
        <v>182</v>
      </c>
      <c r="AG19" s="66">
        <f t="shared" si="11"/>
        <v>1.4532864235898731E-4</v>
      </c>
      <c r="AH19" s="77">
        <f t="shared" si="12"/>
        <v>0</v>
      </c>
      <c r="AI19" s="65"/>
      <c r="AJ19" s="65"/>
      <c r="AK19" s="145">
        <f>'Avg master'!T17</f>
        <v>215</v>
      </c>
      <c r="AL19" s="145">
        <f>'Avg master'!U17</f>
        <v>49</v>
      </c>
      <c r="AM19" s="65">
        <f t="shared" si="13"/>
        <v>-166</v>
      </c>
      <c r="AN19" s="524">
        <f t="shared" si="14"/>
        <v>4.3877551020408161</v>
      </c>
      <c r="AO19" s="66">
        <f t="shared" si="15"/>
        <v>5.8137465443802423E-4</v>
      </c>
      <c r="AP19" s="77">
        <f t="shared" si="16"/>
        <v>-21.151887094669153</v>
      </c>
      <c r="AQ19" s="76">
        <f t="shared" si="17"/>
        <v>2219.5671465284631</v>
      </c>
      <c r="AR19" s="144">
        <f t="shared" si="18"/>
        <v>8.7729926740255468</v>
      </c>
      <c r="AS19" s="120"/>
      <c r="AT19" s="120"/>
      <c r="AU19" s="120"/>
      <c r="AV19" s="145"/>
      <c r="AW19" s="12"/>
      <c r="AX19" s="12"/>
      <c r="AY19" s="67">
        <v>1227.1218120000001</v>
      </c>
      <c r="AZ19" s="22"/>
      <c r="BA19" s="68">
        <f t="shared" si="89"/>
        <v>1306.88472978</v>
      </c>
      <c r="BB19" s="45"/>
      <c r="BC19" s="22"/>
      <c r="BD19" s="46"/>
      <c r="BE19" s="146"/>
      <c r="BF19" s="22"/>
      <c r="BG19" s="22"/>
      <c r="BH19" s="532"/>
      <c r="BI19" s="532"/>
      <c r="BJ19" s="532"/>
      <c r="BK19" s="532"/>
      <c r="BL19" s="532"/>
      <c r="BM19" s="46"/>
      <c r="BN19" s="146"/>
      <c r="BO19" s="523">
        <f t="shared" si="25"/>
        <v>-1306.88472978</v>
      </c>
      <c r="BP19" s="44" t="e">
        <f t="shared" si="26"/>
        <v>#DIV/0!</v>
      </c>
      <c r="BQ19" s="532"/>
      <c r="BR19" s="532"/>
      <c r="BS19" s="532"/>
      <c r="BT19" s="532"/>
      <c r="BU19" s="532"/>
      <c r="BV19" s="526"/>
      <c r="BW19" s="527"/>
      <c r="BX19" s="523"/>
      <c r="BY19" s="44"/>
      <c r="BZ19" s="532"/>
      <c r="CA19" s="532"/>
      <c r="CB19" s="532"/>
      <c r="CC19" s="532"/>
      <c r="CD19" s="532"/>
      <c r="CE19" s="22"/>
      <c r="CF19" s="311"/>
      <c r="CG19" s="22"/>
    </row>
    <row r="20" spans="1:85" ht="15.75" x14ac:dyDescent="0.5">
      <c r="A20" s="83" t="s">
        <v>104</v>
      </c>
      <c r="B20" s="85" t="s">
        <v>101</v>
      </c>
      <c r="C20" s="85"/>
      <c r="D20" s="62">
        <f>'Avg master'!H18</f>
        <v>7366.666666666667</v>
      </c>
      <c r="E20" s="66">
        <f t="shared" si="0"/>
        <v>2.7249199477703125E-2</v>
      </c>
      <c r="F20" s="77">
        <f t="shared" si="1"/>
        <v>0</v>
      </c>
      <c r="G20" s="85"/>
      <c r="H20" s="64">
        <v>5231</v>
      </c>
      <c r="I20" s="64">
        <v>3189</v>
      </c>
      <c r="J20" s="64">
        <v>2307</v>
      </c>
      <c r="K20" s="65">
        <f t="shared" si="2"/>
        <v>3575.6666666666665</v>
      </c>
      <c r="L20" s="66">
        <f t="shared" si="3"/>
        <v>3.0707969415125828E-2</v>
      </c>
      <c r="M20" s="77">
        <f t="shared" si="4"/>
        <v>0</v>
      </c>
      <c r="N20" s="66"/>
      <c r="O20" s="65"/>
      <c r="P20" s="65"/>
      <c r="Q20" s="65"/>
      <c r="R20" s="65"/>
      <c r="S20" s="66"/>
      <c r="T20" s="145">
        <v>32131</v>
      </c>
      <c r="U20" s="66">
        <f t="shared" si="7"/>
        <v>2.426142018143021E-2</v>
      </c>
      <c r="V20" s="77">
        <f t="shared" si="8"/>
        <v>3856.8901525567703</v>
      </c>
      <c r="W20" s="65"/>
      <c r="X20" s="75">
        <v>22723</v>
      </c>
      <c r="Y20" s="77">
        <f t="shared" ref="Y20:Y21" si="102">SUM(X20*$Y$62)</f>
        <v>0</v>
      </c>
      <c r="Z20" s="65"/>
      <c r="AA20" s="65"/>
      <c r="AB20" s="65"/>
      <c r="AC20" s="77">
        <f t="shared" si="10"/>
        <v>519.51683333333335</v>
      </c>
      <c r="AD20" s="65"/>
      <c r="AE20" s="65"/>
      <c r="AF20" s="65">
        <v>43568</v>
      </c>
      <c r="AG20" s="66">
        <f t="shared" si="11"/>
        <v>3.4789441155474499E-2</v>
      </c>
      <c r="AH20" s="77">
        <f t="shared" si="12"/>
        <v>0</v>
      </c>
      <c r="AI20" s="65"/>
      <c r="AJ20" s="65"/>
      <c r="AK20" s="145">
        <f>'Avg master'!T18</f>
        <v>2449</v>
      </c>
      <c r="AL20" s="145">
        <f>'Avg master'!U18</f>
        <v>3109.5</v>
      </c>
      <c r="AM20" s="65">
        <f t="shared" si="13"/>
        <v>660.5</v>
      </c>
      <c r="AN20" s="524">
        <f t="shared" si="14"/>
        <v>0.78758642868628392</v>
      </c>
      <c r="AO20" s="66">
        <f t="shared" si="15"/>
        <v>3.6893560979082377E-2</v>
      </c>
      <c r="AP20" s="77">
        <f t="shared" si="16"/>
        <v>1456.3996342678831</v>
      </c>
      <c r="AQ20" s="76">
        <f t="shared" si="17"/>
        <v>5832.8066201579868</v>
      </c>
      <c r="AR20" s="144">
        <f t="shared" si="18"/>
        <v>23.054571621177814</v>
      </c>
      <c r="AS20" s="120"/>
      <c r="AT20" s="120">
        <v>8000</v>
      </c>
      <c r="AU20" s="120">
        <v>8140</v>
      </c>
      <c r="AV20" s="145">
        <v>8380</v>
      </c>
      <c r="AW20" s="12"/>
      <c r="AX20" s="12"/>
      <c r="AY20" s="98">
        <v>5000</v>
      </c>
      <c r="AZ20" s="102"/>
      <c r="BA20" s="100">
        <f t="shared" si="89"/>
        <v>5325</v>
      </c>
      <c r="BB20" s="533">
        <f t="shared" ref="BB20:BB30" si="103">SUM(BA20/K20)</f>
        <v>1.4892327771045026</v>
      </c>
      <c r="BC20" s="533">
        <f>AVERAGE(BB19:BB20)</f>
        <v>1.4892327771045026</v>
      </c>
      <c r="BD20" s="101" t="e">
        <f>SUM(BA20-#REF!)</f>
        <v>#REF!</v>
      </c>
      <c r="BE20" s="146">
        <f t="shared" ref="BE20:BE30" si="104">SUM(K20*$BE$2)</f>
        <v>2967.8033333333333</v>
      </c>
      <c r="BF20" s="523">
        <f t="shared" ref="BF20:BF30" si="105">SUM(BE20-BA20)</f>
        <v>-2357.1966666666667</v>
      </c>
      <c r="BG20" s="44">
        <f t="shared" ref="BG20:BG30" si="106">SUM(BE20-BA20)/BE20</f>
        <v>-0.79425635795723215</v>
      </c>
      <c r="BH20" s="149">
        <f>SUM($BA20+SUM($BA20*0.1))</f>
        <v>5857.5</v>
      </c>
      <c r="BI20" s="149">
        <f>SUM(BH20+SUM($BZ20*0.1))</f>
        <v>6443.25</v>
      </c>
      <c r="BJ20" s="149">
        <f t="shared" ref="BJ20:BL20" si="107">SUM(BI20*1.03)</f>
        <v>6636.5475000000006</v>
      </c>
      <c r="BK20" s="149">
        <f t="shared" si="107"/>
        <v>6835.6439250000012</v>
      </c>
      <c r="BL20" s="149">
        <f t="shared" si="107"/>
        <v>7040.7132427500019</v>
      </c>
      <c r="BM20" s="46"/>
      <c r="BN20" s="146">
        <f>SUM(K20*$BN$2)+(12*150)</f>
        <v>3730.86</v>
      </c>
      <c r="BO20" s="523">
        <f t="shared" si="25"/>
        <v>-1594.1399999999999</v>
      </c>
      <c r="BP20" s="44">
        <f t="shared" si="26"/>
        <v>-0.42728486193531784</v>
      </c>
      <c r="BQ20" s="149">
        <f>SUM($BA20+SUM($BA20*0.1))</f>
        <v>5857.5</v>
      </c>
      <c r="BR20" s="149">
        <f t="shared" ref="BR20:BU20" si="108">SUM(BQ20*1.03)</f>
        <v>6033.2250000000004</v>
      </c>
      <c r="BS20" s="149">
        <f t="shared" si="108"/>
        <v>6214.2217500000006</v>
      </c>
      <c r="BT20" s="149">
        <f t="shared" si="108"/>
        <v>6400.6484025000009</v>
      </c>
      <c r="BU20" s="149">
        <f t="shared" si="108"/>
        <v>6592.667854575001</v>
      </c>
      <c r="BV20" s="526"/>
      <c r="BW20" s="527">
        <f>SUM(L20*$BA$63)</f>
        <v>6555.1565319203137</v>
      </c>
      <c r="BX20" s="523">
        <f t="shared" ref="BX20:BX30" si="109">SUM(BW20-$BA20)</f>
        <v>1230.1565319203137</v>
      </c>
      <c r="BY20" s="44">
        <f t="shared" ref="BY20:BY30" si="110">SUM(BW20-$BA20)/BW20</f>
        <v>0.18766241903302697</v>
      </c>
      <c r="BZ20" s="149">
        <f>SUM($BA20+SUM($BA20*0.1))</f>
        <v>5857.5</v>
      </c>
      <c r="CA20" s="149">
        <f>SUM(BZ20+SUM($BZ20*0.1))</f>
        <v>6443.25</v>
      </c>
      <c r="CB20" s="149">
        <f t="shared" ref="CB20:CD20" si="111">SUM(CA20*1.03)</f>
        <v>6636.5475000000006</v>
      </c>
      <c r="CC20" s="149">
        <f t="shared" si="111"/>
        <v>6835.6439250000012</v>
      </c>
      <c r="CD20" s="149">
        <f t="shared" si="111"/>
        <v>7040.7132427500019</v>
      </c>
      <c r="CE20" s="22"/>
      <c r="CF20" s="149">
        <f t="shared" ref="CF20:CF21" si="112">SUM(T20*$CF$3)</f>
        <v>6426.2000000000007</v>
      </c>
      <c r="CG20" s="145">
        <f t="shared" ref="CG20:CG21" si="113">SUM(CF20-BA20)</f>
        <v>1101.2000000000007</v>
      </c>
    </row>
    <row r="21" spans="1:85" ht="15.75" customHeight="1" x14ac:dyDescent="0.5">
      <c r="A21" s="80" t="s">
        <v>106</v>
      </c>
      <c r="B21" s="61" t="s">
        <v>64</v>
      </c>
      <c r="C21" s="82"/>
      <c r="D21" s="62">
        <f>'Avg master'!H19</f>
        <v>278.33333333333331</v>
      </c>
      <c r="E21" s="66">
        <f t="shared" si="0"/>
        <v>1.0295512019856156E-3</v>
      </c>
      <c r="F21" s="77">
        <f t="shared" si="1"/>
        <v>0</v>
      </c>
      <c r="G21" s="82"/>
      <c r="H21" s="64">
        <v>266</v>
      </c>
      <c r="I21" s="64">
        <v>207</v>
      </c>
      <c r="J21" s="64">
        <v>128</v>
      </c>
      <c r="K21" s="65">
        <f t="shared" si="2"/>
        <v>200.33333333333334</v>
      </c>
      <c r="L21" s="66">
        <f t="shared" si="3"/>
        <v>1.7204707391153746E-3</v>
      </c>
      <c r="M21" s="77">
        <f t="shared" si="4"/>
        <v>0</v>
      </c>
      <c r="N21" s="66"/>
      <c r="O21" s="65">
        <v>211</v>
      </c>
      <c r="P21" s="66">
        <f>SUM(O21/$O$60)</f>
        <v>2.1406541676811945E-3</v>
      </c>
      <c r="Q21" s="77">
        <f>SUM(P21*$Q$61)</f>
        <v>0</v>
      </c>
      <c r="R21" s="65"/>
      <c r="S21" s="66"/>
      <c r="T21" s="145">
        <v>6060</v>
      </c>
      <c r="U21" s="66">
        <f t="shared" si="7"/>
        <v>4.5757743705289924E-3</v>
      </c>
      <c r="V21" s="77">
        <f t="shared" si="8"/>
        <v>727.42069417366486</v>
      </c>
      <c r="W21" s="77"/>
      <c r="X21" s="75">
        <v>2528</v>
      </c>
      <c r="Y21" s="77">
        <f t="shared" si="102"/>
        <v>0</v>
      </c>
      <c r="Z21" s="77"/>
      <c r="AA21" s="65"/>
      <c r="AB21" s="65"/>
      <c r="AC21" s="77">
        <f t="shared" si="10"/>
        <v>519.51683333333335</v>
      </c>
      <c r="AD21" s="65"/>
      <c r="AE21" s="65"/>
      <c r="AF21" s="65">
        <v>1876</v>
      </c>
      <c r="AG21" s="66">
        <f t="shared" si="11"/>
        <v>1.4980029289310998E-3</v>
      </c>
      <c r="AH21" s="77">
        <f t="shared" si="12"/>
        <v>0</v>
      </c>
      <c r="AI21" s="65"/>
      <c r="AJ21" s="65"/>
      <c r="AK21" s="145">
        <f>'Avg master'!T19</f>
        <v>317.5</v>
      </c>
      <c r="AL21" s="145">
        <f>'Avg master'!U19</f>
        <v>471.5</v>
      </c>
      <c r="AM21" s="65">
        <f t="shared" si="13"/>
        <v>154</v>
      </c>
      <c r="AN21" s="524">
        <f t="shared" si="14"/>
        <v>0.67338282078472955</v>
      </c>
      <c r="AO21" s="66">
        <f t="shared" si="15"/>
        <v>5.5942479503577232E-3</v>
      </c>
      <c r="AP21" s="77">
        <f t="shared" si="16"/>
        <v>234.2986782625203</v>
      </c>
      <c r="AQ21" s="76">
        <f t="shared" si="17"/>
        <v>1481.2362057695186</v>
      </c>
      <c r="AR21" s="144">
        <f t="shared" si="18"/>
        <v>5.8546885603538286</v>
      </c>
      <c r="AS21" s="120"/>
      <c r="AT21" s="120">
        <v>1000</v>
      </c>
      <c r="AU21" s="120">
        <v>1020</v>
      </c>
      <c r="AV21" s="145">
        <v>1050</v>
      </c>
      <c r="AW21" s="12"/>
      <c r="AX21" s="12"/>
      <c r="AY21" s="67">
        <v>1227.1218120000001</v>
      </c>
      <c r="AZ21" s="22"/>
      <c r="BA21" s="68">
        <f t="shared" si="89"/>
        <v>1306.88472978</v>
      </c>
      <c r="BB21" s="525">
        <f t="shared" si="103"/>
        <v>6.5235510637936773</v>
      </c>
      <c r="BC21" s="22"/>
      <c r="BD21" s="46"/>
      <c r="BE21" s="146">
        <f t="shared" si="104"/>
        <v>166.27666666666667</v>
      </c>
      <c r="BF21" s="523">
        <f t="shared" si="105"/>
        <v>-1140.6080631133334</v>
      </c>
      <c r="BG21" s="44">
        <f t="shared" si="106"/>
        <v>-6.8597000768598519</v>
      </c>
      <c r="BH21" s="149">
        <f>SUM($BA21-SUM($BA21*0.1))</f>
        <v>1176.1962568020001</v>
      </c>
      <c r="BI21" s="149">
        <f t="shared" ref="BI21:BL21" si="114">SUM(BH21-SUM($BZ21*0.1))</f>
        <v>1058.5766311218001</v>
      </c>
      <c r="BJ21" s="149">
        <f t="shared" si="114"/>
        <v>940.95700544160013</v>
      </c>
      <c r="BK21" s="149">
        <f t="shared" si="114"/>
        <v>823.33737976140014</v>
      </c>
      <c r="BL21" s="149">
        <f t="shared" si="114"/>
        <v>705.71775408120016</v>
      </c>
      <c r="BM21" s="46"/>
      <c r="BN21" s="146">
        <f>SUM(K21*$BN$2)+(12*50)</f>
        <v>708.18000000000006</v>
      </c>
      <c r="BO21" s="523">
        <f t="shared" si="25"/>
        <v>-598.70472977999998</v>
      </c>
      <c r="BP21" s="44">
        <f t="shared" si="26"/>
        <v>-0.84541321384393786</v>
      </c>
      <c r="BQ21" s="149">
        <f>SUM($BA21-SUM($BA21*0.1))</f>
        <v>1176.1962568020001</v>
      </c>
      <c r="BR21" s="149">
        <f t="shared" ref="BR21:BT21" si="115">SUM(BQ21-SUM($BZ21*0.1))</f>
        <v>1058.5766311218001</v>
      </c>
      <c r="BS21" s="149">
        <f t="shared" si="115"/>
        <v>940.95700544160013</v>
      </c>
      <c r="BT21" s="149">
        <f t="shared" si="115"/>
        <v>823.33737976140014</v>
      </c>
      <c r="BU21" s="149">
        <f>SUM(BT21*1.03)</f>
        <v>848.03750115424214</v>
      </c>
      <c r="BV21" s="526"/>
      <c r="BW21" s="527">
        <f t="shared" ref="BW21:BW22" si="116">SUM(L21*$BA$63)+$BW$2</f>
        <v>817.2647595491851</v>
      </c>
      <c r="BX21" s="523">
        <f t="shared" si="109"/>
        <v>-489.61997023081494</v>
      </c>
      <c r="BY21" s="44">
        <f t="shared" si="110"/>
        <v>-0.59909590436873394</v>
      </c>
      <c r="BZ21" s="149">
        <f>SUM($BA21-SUM($BA21*0.1))</f>
        <v>1176.1962568020001</v>
      </c>
      <c r="CA21" s="149">
        <f t="shared" ref="CA21:CD21" si="117">SUM(BZ21-SUM($BZ21*0.1))</f>
        <v>1058.5766311218001</v>
      </c>
      <c r="CB21" s="149">
        <f t="shared" si="117"/>
        <v>940.95700544160013</v>
      </c>
      <c r="CC21" s="149">
        <f t="shared" si="117"/>
        <v>823.33737976140014</v>
      </c>
      <c r="CD21" s="149">
        <f t="shared" si="117"/>
        <v>705.71775408120016</v>
      </c>
      <c r="CE21" s="22"/>
      <c r="CF21" s="149">
        <f t="shared" si="112"/>
        <v>1212</v>
      </c>
      <c r="CG21" s="145">
        <f t="shared" si="113"/>
        <v>-94.884729780000043</v>
      </c>
    </row>
    <row r="22" spans="1:85" ht="15.75" customHeight="1" x14ac:dyDescent="0.5">
      <c r="A22" s="83" t="s">
        <v>108</v>
      </c>
      <c r="B22" s="85" t="s">
        <v>89</v>
      </c>
      <c r="C22" s="85"/>
      <c r="D22" s="62">
        <f>'Avg master'!H20</f>
        <v>2</v>
      </c>
      <c r="E22" s="66">
        <f t="shared" si="0"/>
        <v>7.3979727088786762E-6</v>
      </c>
      <c r="F22" s="77">
        <f t="shared" si="1"/>
        <v>0</v>
      </c>
      <c r="G22" s="85"/>
      <c r="H22" s="64">
        <v>2</v>
      </c>
      <c r="I22" s="64">
        <v>2</v>
      </c>
      <c r="J22" s="64">
        <v>2</v>
      </c>
      <c r="K22" s="65">
        <f t="shared" si="2"/>
        <v>2</v>
      </c>
      <c r="L22" s="66">
        <f t="shared" si="3"/>
        <v>1.717608059017013E-5</v>
      </c>
      <c r="M22" s="77">
        <f t="shared" si="4"/>
        <v>0</v>
      </c>
      <c r="N22" s="66"/>
      <c r="O22" s="65"/>
      <c r="P22" s="65"/>
      <c r="Q22" s="65"/>
      <c r="R22" s="65"/>
      <c r="S22" s="529"/>
      <c r="T22" s="145">
        <v>11900</v>
      </c>
      <c r="U22" s="66">
        <f t="shared" si="7"/>
        <v>8.9854315196856455E-3</v>
      </c>
      <c r="V22" s="77">
        <f t="shared" si="8"/>
        <v>1428.4333763476257</v>
      </c>
      <c r="W22" s="65"/>
      <c r="X22" s="75"/>
      <c r="Y22" s="76"/>
      <c r="Z22" s="65"/>
      <c r="AA22" s="65"/>
      <c r="AB22" s="65"/>
      <c r="AC22" s="77">
        <f t="shared" si="10"/>
        <v>519.51683333333335</v>
      </c>
      <c r="AD22" s="65"/>
      <c r="AE22" s="65"/>
      <c r="AF22" s="65">
        <v>12</v>
      </c>
      <c r="AG22" s="66">
        <f t="shared" si="11"/>
        <v>9.5821082874057561E-6</v>
      </c>
      <c r="AH22" s="77">
        <f t="shared" si="12"/>
        <v>0</v>
      </c>
      <c r="AI22" s="65"/>
      <c r="AJ22" s="65"/>
      <c r="AK22" s="145">
        <f>'Avg master'!T20</f>
        <v>104</v>
      </c>
      <c r="AL22" s="145">
        <f>'Avg master'!U20</f>
        <v>1</v>
      </c>
      <c r="AM22" s="65">
        <f t="shared" si="13"/>
        <v>-103</v>
      </c>
      <c r="AN22" s="524">
        <f t="shared" si="14"/>
        <v>104</v>
      </c>
      <c r="AO22" s="66">
        <f t="shared" si="15"/>
        <v>1.1864788866082128E-5</v>
      </c>
      <c r="AP22" s="77">
        <f t="shared" si="16"/>
        <v>-25.334732389687126</v>
      </c>
      <c r="AQ22" s="76">
        <f t="shared" si="17"/>
        <v>1922.6154772912719</v>
      </c>
      <c r="AR22" s="144">
        <f t="shared" si="18"/>
        <v>7.5992706612303236</v>
      </c>
      <c r="AS22" s="120"/>
      <c r="AT22" s="120">
        <v>300</v>
      </c>
      <c r="AU22" s="120">
        <v>305</v>
      </c>
      <c r="AV22" s="145">
        <v>315</v>
      </c>
      <c r="AW22" s="12"/>
      <c r="AX22" s="12"/>
      <c r="AY22" s="67">
        <v>368.1365436000001</v>
      </c>
      <c r="AZ22" s="22"/>
      <c r="BA22" s="68">
        <f t="shared" si="89"/>
        <v>392.06541893400009</v>
      </c>
      <c r="BB22" s="45">
        <f t="shared" si="103"/>
        <v>196.03270946700005</v>
      </c>
      <c r="BC22" s="22"/>
      <c r="BD22" s="46"/>
      <c r="BE22" s="146">
        <f t="shared" si="104"/>
        <v>1.66</v>
      </c>
      <c r="BF22" s="523">
        <f t="shared" si="105"/>
        <v>-390.40541893400007</v>
      </c>
      <c r="BG22" s="44">
        <f t="shared" si="106"/>
        <v>-235.18398730963861</v>
      </c>
      <c r="BH22" s="149">
        <f t="shared" ref="BH22:BH23" si="118">SUM($BA22+SUM($BA22*0.1))</f>
        <v>431.27196082740011</v>
      </c>
      <c r="BI22" s="149">
        <f t="shared" ref="BI22:BL22" si="119">SUM(BH22*1.03)</f>
        <v>444.21011965222215</v>
      </c>
      <c r="BJ22" s="149">
        <f t="shared" si="119"/>
        <v>457.53642324178884</v>
      </c>
      <c r="BK22" s="149">
        <f t="shared" si="119"/>
        <v>471.26251593904254</v>
      </c>
      <c r="BL22" s="149">
        <f t="shared" si="119"/>
        <v>485.40039141721383</v>
      </c>
      <c r="BM22" s="46"/>
      <c r="BN22" s="146">
        <f>SUM(K22*$BN$2)+(12*10)</f>
        <v>121.08</v>
      </c>
      <c r="BO22" s="523">
        <f t="shared" si="25"/>
        <v>-270.98541893400011</v>
      </c>
      <c r="BP22" s="44">
        <f t="shared" si="26"/>
        <v>-2.2380692016352834</v>
      </c>
      <c r="BQ22" s="149">
        <f t="shared" ref="BQ22:BQ23" si="120">SUM($BA22+SUM($BA22*0.1))</f>
        <v>431.27196082740011</v>
      </c>
      <c r="BR22" s="149">
        <f t="shared" ref="BR22:BU22" si="121">SUM(BQ22*1.03)</f>
        <v>444.21011965222215</v>
      </c>
      <c r="BS22" s="149">
        <f t="shared" si="121"/>
        <v>457.53642324178884</v>
      </c>
      <c r="BT22" s="149">
        <f t="shared" si="121"/>
        <v>471.26251593904254</v>
      </c>
      <c r="BU22" s="149">
        <f t="shared" si="121"/>
        <v>485.40039141721383</v>
      </c>
      <c r="BV22" s="526"/>
      <c r="BW22" s="527">
        <f t="shared" si="116"/>
        <v>453.66653670099021</v>
      </c>
      <c r="BX22" s="523">
        <f t="shared" si="109"/>
        <v>61.601117766990114</v>
      </c>
      <c r="BY22" s="44">
        <f t="shared" si="110"/>
        <v>0.13578501560848241</v>
      </c>
      <c r="BZ22" s="149">
        <f t="shared" ref="BZ22:BZ23" si="122">SUM($BA22+SUM($BA22*0.1))</f>
        <v>431.27196082740011</v>
      </c>
      <c r="CA22" s="149">
        <f t="shared" ref="CA22:CD22" si="123">SUM(BZ22*1.03)</f>
        <v>444.21011965222215</v>
      </c>
      <c r="CB22" s="149">
        <f t="shared" si="123"/>
        <v>457.53642324178884</v>
      </c>
      <c r="CC22" s="149">
        <f t="shared" si="123"/>
        <v>471.26251593904254</v>
      </c>
      <c r="CD22" s="149">
        <f t="shared" si="123"/>
        <v>485.40039141721383</v>
      </c>
      <c r="CE22" s="22"/>
      <c r="CF22" s="348">
        <f>SUM(BA22*1.05)</f>
        <v>411.66868988070013</v>
      </c>
      <c r="CG22" s="22"/>
    </row>
    <row r="23" spans="1:85" ht="15.75" customHeight="1" x14ac:dyDescent="0.5">
      <c r="A23" s="83" t="s">
        <v>110</v>
      </c>
      <c r="B23" s="85" t="s">
        <v>72</v>
      </c>
      <c r="C23" s="85"/>
      <c r="D23" s="62">
        <f>'Avg master'!H21</f>
        <v>25969.333333333332</v>
      </c>
      <c r="E23" s="66">
        <f t="shared" si="0"/>
        <v>9.6060209633886645E-2</v>
      </c>
      <c r="F23" s="77">
        <f t="shared" si="1"/>
        <v>0</v>
      </c>
      <c r="G23" s="85"/>
      <c r="H23" s="64">
        <v>8260</v>
      </c>
      <c r="I23" s="64">
        <v>8110</v>
      </c>
      <c r="J23" s="64">
        <v>5911</v>
      </c>
      <c r="K23" s="65">
        <f t="shared" si="2"/>
        <v>7427</v>
      </c>
      <c r="L23" s="66">
        <f t="shared" si="3"/>
        <v>6.3783375271596776E-2</v>
      </c>
      <c r="M23" s="77">
        <f t="shared" si="4"/>
        <v>0</v>
      </c>
      <c r="N23" s="66"/>
      <c r="O23" s="65">
        <v>11911</v>
      </c>
      <c r="P23" s="66">
        <f>SUM(O23/$O$60)</f>
        <v>0.12084043502962422</v>
      </c>
      <c r="Q23" s="77">
        <f>SUM(P23*$Q$61)</f>
        <v>0</v>
      </c>
      <c r="R23" s="65"/>
      <c r="S23" s="66"/>
      <c r="T23" s="145">
        <v>35145</v>
      </c>
      <c r="U23" s="66">
        <f t="shared" si="7"/>
        <v>2.6537226114231264E-2</v>
      </c>
      <c r="V23" s="77">
        <f t="shared" si="8"/>
        <v>4218.6799169527148</v>
      </c>
      <c r="W23" s="77"/>
      <c r="X23" s="75">
        <v>38682</v>
      </c>
      <c r="Y23" s="77">
        <f>SUM(X23*$Y$62)</f>
        <v>0</v>
      </c>
      <c r="Z23" s="77"/>
      <c r="AA23" s="65"/>
      <c r="AB23" s="65"/>
      <c r="AC23" s="77">
        <f t="shared" si="10"/>
        <v>519.51683333333335</v>
      </c>
      <c r="AD23" s="65"/>
      <c r="AE23" s="65"/>
      <c r="AF23" s="65">
        <v>66578</v>
      </c>
      <c r="AG23" s="66">
        <f t="shared" si="11"/>
        <v>5.3163133796575036E-2</v>
      </c>
      <c r="AH23" s="77">
        <f t="shared" si="12"/>
        <v>0</v>
      </c>
      <c r="AI23" s="65"/>
      <c r="AJ23" s="65"/>
      <c r="AK23" s="145">
        <f>'Avg master'!T21</f>
        <v>2961</v>
      </c>
      <c r="AL23" s="145">
        <f>'Avg master'!U21</f>
        <v>4773.5</v>
      </c>
      <c r="AM23" s="65">
        <f t="shared" si="13"/>
        <v>1812.5</v>
      </c>
      <c r="AN23" s="524">
        <f t="shared" si="14"/>
        <v>0.62029957054572116</v>
      </c>
      <c r="AO23" s="66">
        <f t="shared" si="15"/>
        <v>5.6636569652243035E-2</v>
      </c>
      <c r="AP23" s="77">
        <f t="shared" si="16"/>
        <v>2435.4049378285063</v>
      </c>
      <c r="AQ23" s="76">
        <f t="shared" si="17"/>
        <v>7173.6016881145542</v>
      </c>
      <c r="AR23" s="144">
        <f t="shared" si="18"/>
        <v>28.354156870018002</v>
      </c>
      <c r="AS23" s="120"/>
      <c r="AT23" s="120">
        <v>10000</v>
      </c>
      <c r="AU23" s="120">
        <v>10200</v>
      </c>
      <c r="AV23" s="145">
        <v>10500</v>
      </c>
      <c r="AW23" s="12"/>
      <c r="AX23" s="12"/>
      <c r="AY23" s="67">
        <v>12271.218120000003</v>
      </c>
      <c r="AZ23" s="22"/>
      <c r="BA23" s="68">
        <f t="shared" si="89"/>
        <v>13068.847297800003</v>
      </c>
      <c r="BB23" s="45">
        <f t="shared" si="103"/>
        <v>1.7596401370405281</v>
      </c>
      <c r="BC23" s="22"/>
      <c r="BD23" s="46"/>
      <c r="BE23" s="146">
        <f t="shared" si="104"/>
        <v>6164.41</v>
      </c>
      <c r="BF23" s="523">
        <f t="shared" si="105"/>
        <v>-6904.4372978000029</v>
      </c>
      <c r="BG23" s="44">
        <f t="shared" si="106"/>
        <v>-1.1200483578801546</v>
      </c>
      <c r="BH23" s="149">
        <f t="shared" si="118"/>
        <v>14375.732027580003</v>
      </c>
      <c r="BI23" s="149">
        <f t="shared" ref="BI23:BL23" si="124">SUM(BH23+SUM($BZ23*0.1))</f>
        <v>15813.305230338003</v>
      </c>
      <c r="BJ23" s="149">
        <f t="shared" si="124"/>
        <v>17250.878433096004</v>
      </c>
      <c r="BK23" s="149">
        <f t="shared" si="124"/>
        <v>18688.451635854006</v>
      </c>
      <c r="BL23" s="149">
        <f t="shared" si="124"/>
        <v>20126.024838612007</v>
      </c>
      <c r="BM23" s="46"/>
      <c r="BN23" s="146">
        <f>SUM(K23*$BN$2)+(12*250)</f>
        <v>7010.58</v>
      </c>
      <c r="BO23" s="523">
        <f t="shared" si="25"/>
        <v>-6058.2672978000028</v>
      </c>
      <c r="BP23" s="44">
        <f t="shared" si="26"/>
        <v>-0.86416063974735369</v>
      </c>
      <c r="BQ23" s="149">
        <f t="shared" si="120"/>
        <v>14375.732027580003</v>
      </c>
      <c r="BR23" s="149">
        <f t="shared" ref="BR23:BS23" si="125">SUM(BQ23+SUM($BZ23*0.1))</f>
        <v>15813.305230338003</v>
      </c>
      <c r="BS23" s="149">
        <f t="shared" si="125"/>
        <v>17250.878433096004</v>
      </c>
      <c r="BT23" s="149">
        <f t="shared" ref="BT23:BU23" si="126">SUM(BS23*1.03)</f>
        <v>17768.404786088886</v>
      </c>
      <c r="BU23" s="149">
        <f t="shared" si="126"/>
        <v>18301.456929671553</v>
      </c>
      <c r="BV23" s="526"/>
      <c r="BW23" s="527">
        <f>SUM(L23*$BA$63)</f>
        <v>13615.684039127111</v>
      </c>
      <c r="BX23" s="523">
        <f t="shared" si="109"/>
        <v>546.83674132710803</v>
      </c>
      <c r="BY23" s="44">
        <f t="shared" si="110"/>
        <v>4.0162267261466593E-2</v>
      </c>
      <c r="BZ23" s="149">
        <f t="shared" si="122"/>
        <v>14375.732027580003</v>
      </c>
      <c r="CA23" s="149">
        <f t="shared" ref="CA23:CD23" si="127">SUM(BZ23+SUM($BZ23*0.1))</f>
        <v>15813.305230338003</v>
      </c>
      <c r="CB23" s="149">
        <f t="shared" si="127"/>
        <v>17250.878433096004</v>
      </c>
      <c r="CC23" s="149">
        <f t="shared" si="127"/>
        <v>18688.451635854006</v>
      </c>
      <c r="CD23" s="149">
        <f t="shared" si="127"/>
        <v>20126.024838612007</v>
      </c>
      <c r="CE23" s="22"/>
      <c r="CF23" s="149">
        <f>SUM(T23*$CF$3)</f>
        <v>7029</v>
      </c>
      <c r="CG23" s="145">
        <f>SUM(CF23-BA23)</f>
        <v>-6039.8472978000027</v>
      </c>
    </row>
    <row r="24" spans="1:85" ht="15.75" customHeight="1" x14ac:dyDescent="0.5">
      <c r="A24" s="103" t="s">
        <v>112</v>
      </c>
      <c r="B24" s="84" t="s">
        <v>81</v>
      </c>
      <c r="C24" s="61"/>
      <c r="D24" s="62">
        <f>'Avg master'!H22</f>
        <v>423.33333333333331</v>
      </c>
      <c r="E24" s="66">
        <f t="shared" si="0"/>
        <v>1.5659042233793197E-3</v>
      </c>
      <c r="F24" s="77">
        <f t="shared" si="1"/>
        <v>0</v>
      </c>
      <c r="G24" s="61"/>
      <c r="H24" s="64">
        <v>424</v>
      </c>
      <c r="I24" s="64">
        <v>424</v>
      </c>
      <c r="J24" s="64">
        <v>422</v>
      </c>
      <c r="K24" s="65">
        <f t="shared" si="2"/>
        <v>423.33333333333331</v>
      </c>
      <c r="L24" s="66">
        <f t="shared" si="3"/>
        <v>3.635603724919344E-3</v>
      </c>
      <c r="M24" s="77">
        <f t="shared" si="4"/>
        <v>0</v>
      </c>
      <c r="N24" s="66"/>
      <c r="O24" s="65"/>
      <c r="P24" s="65"/>
      <c r="Q24" s="65"/>
      <c r="R24" s="65"/>
      <c r="S24" s="66"/>
      <c r="T24" s="145">
        <v>8251</v>
      </c>
      <c r="U24" s="66">
        <f t="shared" si="7"/>
        <v>6.2301508797417025E-3</v>
      </c>
      <c r="V24" s="77">
        <f t="shared" si="8"/>
        <v>990.42048640708072</v>
      </c>
      <c r="W24" s="65"/>
      <c r="X24" s="75"/>
      <c r="Y24" s="76"/>
      <c r="Z24" s="65"/>
      <c r="AA24" s="65"/>
      <c r="AB24" s="65"/>
      <c r="AC24" s="77">
        <f t="shared" si="10"/>
        <v>519.51683333333335</v>
      </c>
      <c r="AD24" s="65"/>
      <c r="AE24" s="65"/>
      <c r="AF24" s="65">
        <v>1279</v>
      </c>
      <c r="AG24" s="66">
        <f t="shared" si="11"/>
        <v>1.0212930416326634E-3</v>
      </c>
      <c r="AH24" s="77">
        <f t="shared" si="12"/>
        <v>0</v>
      </c>
      <c r="AI24" s="65"/>
      <c r="AJ24" s="65"/>
      <c r="AK24" s="145">
        <f>'Avg master'!T22</f>
        <v>116</v>
      </c>
      <c r="AL24" s="145">
        <f>'Avg master'!U22</f>
        <v>111</v>
      </c>
      <c r="AM24" s="65">
        <f t="shared" si="13"/>
        <v>-5</v>
      </c>
      <c r="AN24" s="524">
        <f t="shared" si="14"/>
        <v>1.045045045045045</v>
      </c>
      <c r="AO24" s="66">
        <f t="shared" si="15"/>
        <v>1.3169915641351162E-3</v>
      </c>
      <c r="AP24" s="77">
        <f t="shared" si="16"/>
        <v>44.844704744729064</v>
      </c>
      <c r="AQ24" s="76">
        <f t="shared" si="17"/>
        <v>1554.7820244851432</v>
      </c>
      <c r="AR24" s="144">
        <f t="shared" si="18"/>
        <v>6.1453834959887086</v>
      </c>
      <c r="AS24" s="120"/>
      <c r="AT24" s="120"/>
      <c r="AU24" s="120"/>
      <c r="AV24" s="145"/>
      <c r="AW24" s="12"/>
      <c r="AX24" s="12"/>
      <c r="AY24" s="67">
        <v>1227.1218120000001</v>
      </c>
      <c r="AZ24" s="22"/>
      <c r="BA24" s="68">
        <f t="shared" si="89"/>
        <v>1306.88472978</v>
      </c>
      <c r="BB24" s="45">
        <f t="shared" si="103"/>
        <v>3.0871292829448822</v>
      </c>
      <c r="BC24" s="22"/>
      <c r="BD24" s="46"/>
      <c r="BE24" s="146">
        <f t="shared" si="104"/>
        <v>351.36666666666662</v>
      </c>
      <c r="BF24" s="523">
        <f t="shared" si="105"/>
        <v>-955.51806311333348</v>
      </c>
      <c r="BG24" s="44">
        <f t="shared" si="106"/>
        <v>-2.719432871017931</v>
      </c>
      <c r="BH24" s="149">
        <f>SUM($BA24-SUM($BA24*0.1))</f>
        <v>1176.1962568020001</v>
      </c>
      <c r="BI24" s="149">
        <f t="shared" ref="BI24:BL24" si="128">SUM(BH24-SUM($BZ24*0.1))</f>
        <v>1058.5766311218001</v>
      </c>
      <c r="BJ24" s="149">
        <f t="shared" si="128"/>
        <v>940.95700544160013</v>
      </c>
      <c r="BK24" s="149">
        <f t="shared" si="128"/>
        <v>823.33737976140014</v>
      </c>
      <c r="BL24" s="149">
        <f t="shared" si="128"/>
        <v>705.71775408120016</v>
      </c>
      <c r="BM24" s="46"/>
      <c r="BN24" s="146">
        <f>SUM(K24*$BN$2)+(12*75)</f>
        <v>1128.5999999999999</v>
      </c>
      <c r="BO24" s="523">
        <f t="shared" si="25"/>
        <v>-178.28472978000013</v>
      </c>
      <c r="BP24" s="44">
        <f t="shared" si="26"/>
        <v>-0.15796981196172261</v>
      </c>
      <c r="BQ24" s="149">
        <f>SUM($BA24-SUM($BA24*0.1))</f>
        <v>1176.1962568020001</v>
      </c>
      <c r="BR24" s="149">
        <f>SUM(BQ24-SUM($BZ24*0.1))</f>
        <v>1058.5766311218001</v>
      </c>
      <c r="BS24" s="149">
        <f t="shared" ref="BS24:BU24" si="129">SUM(BR24*1.03)</f>
        <v>1090.3339300554542</v>
      </c>
      <c r="BT24" s="149">
        <f t="shared" si="129"/>
        <v>1123.0439479571178</v>
      </c>
      <c r="BU24" s="149">
        <f t="shared" si="129"/>
        <v>1156.7352663958313</v>
      </c>
      <c r="BV24" s="526"/>
      <c r="BW24" s="527">
        <f>SUM(L24*$BA$63)+$BW$2</f>
        <v>1226.0836017095926</v>
      </c>
      <c r="BX24" s="523">
        <f t="shared" si="109"/>
        <v>-80.801128070407458</v>
      </c>
      <c r="BY24" s="44">
        <f t="shared" si="110"/>
        <v>-6.5901809597438715E-2</v>
      </c>
      <c r="BZ24" s="149">
        <f>SUM($BA24-SUM($BA24*0.1))</f>
        <v>1176.1962568020001</v>
      </c>
      <c r="CA24" s="149">
        <f t="shared" ref="CA24:CD24" si="130">SUM(BZ24-SUM($BZ24*0.1))</f>
        <v>1058.5766311218001</v>
      </c>
      <c r="CB24" s="149">
        <f t="shared" si="130"/>
        <v>940.95700544160013</v>
      </c>
      <c r="CC24" s="149">
        <f t="shared" si="130"/>
        <v>823.33737976140014</v>
      </c>
      <c r="CD24" s="149">
        <f t="shared" si="130"/>
        <v>705.71775408120016</v>
      </c>
      <c r="CE24" s="22"/>
      <c r="CF24" s="348">
        <f>SUM(BA24*1.05)</f>
        <v>1372.228966269</v>
      </c>
      <c r="CG24" s="22"/>
    </row>
    <row r="25" spans="1:85" ht="15.75" customHeight="1" x14ac:dyDescent="0.5">
      <c r="A25" s="83" t="s">
        <v>114</v>
      </c>
      <c r="B25" s="85" t="s">
        <v>72</v>
      </c>
      <c r="C25" s="61"/>
      <c r="D25" s="62">
        <f>'Avg master'!H23</f>
        <v>25311.666666666668</v>
      </c>
      <c r="E25" s="66">
        <f t="shared" si="0"/>
        <v>9.362750960811704E-2</v>
      </c>
      <c r="F25" s="77">
        <f t="shared" si="1"/>
        <v>0</v>
      </c>
      <c r="G25" s="61"/>
      <c r="H25" s="64">
        <v>13810</v>
      </c>
      <c r="I25" s="64">
        <v>10427</v>
      </c>
      <c r="J25" s="64">
        <v>8092</v>
      </c>
      <c r="K25" s="65">
        <f t="shared" si="2"/>
        <v>10776.333333333334</v>
      </c>
      <c r="L25" s="66">
        <f t="shared" si="3"/>
        <v>9.2547584899935018E-2</v>
      </c>
      <c r="M25" s="77">
        <f t="shared" si="4"/>
        <v>0</v>
      </c>
      <c r="N25" s="66"/>
      <c r="O25" s="65">
        <v>10005</v>
      </c>
      <c r="P25" s="66">
        <f>SUM(O25/$O$60)</f>
        <v>0.10150353055758461</v>
      </c>
      <c r="Q25" s="77">
        <f>SUM(P25*$Q$61)</f>
        <v>0</v>
      </c>
      <c r="R25" s="65"/>
      <c r="S25" s="66"/>
      <c r="T25" s="145">
        <v>77048</v>
      </c>
      <c r="U25" s="66">
        <f t="shared" si="7"/>
        <v>5.8177271237709216E-2</v>
      </c>
      <c r="V25" s="77">
        <f t="shared" si="8"/>
        <v>9248.5659479690657</v>
      </c>
      <c r="W25" s="77"/>
      <c r="X25" s="75">
        <v>75861</v>
      </c>
      <c r="Y25" s="77">
        <f>SUM(X25*$Y$62)</f>
        <v>0</v>
      </c>
      <c r="Z25" s="77"/>
      <c r="AA25" s="65"/>
      <c r="AB25" s="65"/>
      <c r="AC25" s="77">
        <f t="shared" si="10"/>
        <v>519.51683333333335</v>
      </c>
      <c r="AD25" s="65"/>
      <c r="AE25" s="65"/>
      <c r="AF25" s="65">
        <v>140067</v>
      </c>
      <c r="AG25" s="66">
        <f t="shared" si="11"/>
        <v>0.11184476345767183</v>
      </c>
      <c r="AH25" s="77">
        <f t="shared" si="12"/>
        <v>0</v>
      </c>
      <c r="AI25" s="65"/>
      <c r="AJ25" s="65"/>
      <c r="AK25" s="145">
        <f>'Avg master'!T23</f>
        <v>11251.5</v>
      </c>
      <c r="AL25" s="145">
        <f>'Avg master'!U23</f>
        <v>11486</v>
      </c>
      <c r="AM25" s="65">
        <f t="shared" si="13"/>
        <v>234.5</v>
      </c>
      <c r="AN25" s="524">
        <f t="shared" si="14"/>
        <v>0.97958384119798014</v>
      </c>
      <c r="AO25" s="66">
        <f t="shared" si="15"/>
        <v>0.13627896491581931</v>
      </c>
      <c r="AP25" s="77">
        <f t="shared" si="16"/>
        <v>4828.3887720536759</v>
      </c>
      <c r="AQ25" s="76">
        <f t="shared" si="17"/>
        <v>14596.471553356074</v>
      </c>
      <c r="AR25" s="144">
        <f t="shared" si="18"/>
        <v>57.693563452000291</v>
      </c>
      <c r="AS25" s="120"/>
      <c r="AT25" s="120">
        <v>10000</v>
      </c>
      <c r="AU25" s="120">
        <v>10200</v>
      </c>
      <c r="AV25" s="145">
        <v>10500</v>
      </c>
      <c r="AW25" s="12"/>
      <c r="AX25" s="12"/>
      <c r="AY25" s="67">
        <v>12271.218120000003</v>
      </c>
      <c r="AZ25" s="22"/>
      <c r="BA25" s="68">
        <f t="shared" si="89"/>
        <v>13068.847297800003</v>
      </c>
      <c r="BB25" s="45">
        <f t="shared" si="103"/>
        <v>1.2127359922484457</v>
      </c>
      <c r="BC25" s="22"/>
      <c r="BD25" s="46"/>
      <c r="BE25" s="146">
        <f t="shared" si="104"/>
        <v>8944.3566666666666</v>
      </c>
      <c r="BF25" s="523">
        <f t="shared" si="105"/>
        <v>-4124.4906311333361</v>
      </c>
      <c r="BG25" s="44">
        <f t="shared" si="106"/>
        <v>-0.46112770150415172</v>
      </c>
      <c r="BH25" s="149">
        <f>SUM($BA25+SUM($BA25*0.1))</f>
        <v>14375.732027580003</v>
      </c>
      <c r="BI25" s="149">
        <f t="shared" ref="BI25:BL25" si="131">SUM(BH25+SUM($BZ25*0.1))</f>
        <v>15813.305230338003</v>
      </c>
      <c r="BJ25" s="149">
        <f t="shared" si="131"/>
        <v>17250.878433096004</v>
      </c>
      <c r="BK25" s="149">
        <f t="shared" si="131"/>
        <v>18688.451635854006</v>
      </c>
      <c r="BL25" s="149">
        <f t="shared" si="131"/>
        <v>20126.024838612007</v>
      </c>
      <c r="BM25" s="46"/>
      <c r="BN25" s="146">
        <f>SUM(K25*$BN$2)+(12*250)</f>
        <v>8819.2200000000012</v>
      </c>
      <c r="BO25" s="523">
        <f t="shared" si="25"/>
        <v>-4249.6272978000015</v>
      </c>
      <c r="BP25" s="44">
        <f t="shared" si="26"/>
        <v>-0.48185976739439551</v>
      </c>
      <c r="BQ25" s="149">
        <f>SUM($BA25+SUM($BA25*0.1))</f>
        <v>14375.732027580003</v>
      </c>
      <c r="BR25" s="149">
        <f t="shared" ref="BR25:BS25" si="132">SUM(BQ25+SUM($BZ25*0.1))</f>
        <v>15813.305230338003</v>
      </c>
      <c r="BS25" s="149">
        <f t="shared" si="132"/>
        <v>17250.878433096004</v>
      </c>
      <c r="BT25" s="149">
        <f t="shared" ref="BT25:BU25" si="133">SUM(BS25*1.03)</f>
        <v>17768.404786088886</v>
      </c>
      <c r="BU25" s="149">
        <f t="shared" si="133"/>
        <v>18301.456929671553</v>
      </c>
      <c r="BV25" s="526"/>
      <c r="BW25" s="527">
        <f>SUM(L25*$BA$63)</f>
        <v>19755.910834385366</v>
      </c>
      <c r="BX25" s="523">
        <f t="shared" si="109"/>
        <v>6687.0635365853632</v>
      </c>
      <c r="BY25" s="44">
        <f t="shared" si="110"/>
        <v>0.33848419304193561</v>
      </c>
      <c r="BZ25" s="149">
        <f>SUM($BA25+SUM($BA25*0.1))</f>
        <v>14375.732027580003</v>
      </c>
      <c r="CA25" s="149">
        <f t="shared" ref="CA25:CD25" si="134">SUM(BZ25+SUM($BZ25*0.1))</f>
        <v>15813.305230338003</v>
      </c>
      <c r="CB25" s="149">
        <f t="shared" si="134"/>
        <v>17250.878433096004</v>
      </c>
      <c r="CC25" s="149">
        <f t="shared" si="134"/>
        <v>18688.451635854006</v>
      </c>
      <c r="CD25" s="149">
        <f t="shared" si="134"/>
        <v>20126.024838612007</v>
      </c>
      <c r="CE25" s="22"/>
      <c r="CF25" s="149">
        <f>SUM(T25*$CF$3)</f>
        <v>15409.6</v>
      </c>
      <c r="CG25" s="145">
        <f>SUM(CF25-BA25)</f>
        <v>2340.7527021999977</v>
      </c>
    </row>
    <row r="26" spans="1:85" ht="15.75" customHeight="1" x14ac:dyDescent="0.5">
      <c r="A26" s="83" t="s">
        <v>116</v>
      </c>
      <c r="B26" s="85" t="s">
        <v>118</v>
      </c>
      <c r="C26" s="85"/>
      <c r="D26" s="62">
        <f>'Avg master'!H24</f>
        <v>2288.3333333333335</v>
      </c>
      <c r="E26" s="66">
        <f t="shared" si="0"/>
        <v>8.4645137744086864E-3</v>
      </c>
      <c r="F26" s="77">
        <f t="shared" si="1"/>
        <v>0</v>
      </c>
      <c r="G26" s="85"/>
      <c r="H26" s="64">
        <v>2373</v>
      </c>
      <c r="I26" s="64">
        <v>2279</v>
      </c>
      <c r="J26" s="64">
        <v>2213</v>
      </c>
      <c r="K26" s="65">
        <f t="shared" si="2"/>
        <v>2288.3333333333335</v>
      </c>
      <c r="L26" s="66">
        <f t="shared" si="3"/>
        <v>1.965229887525299E-2</v>
      </c>
      <c r="M26" s="77">
        <f t="shared" si="4"/>
        <v>0</v>
      </c>
      <c r="N26" s="66"/>
      <c r="O26" s="65"/>
      <c r="P26" s="65"/>
      <c r="Q26" s="65"/>
      <c r="R26" s="65"/>
      <c r="S26" s="66"/>
      <c r="T26" s="145">
        <v>19561</v>
      </c>
      <c r="U26" s="66">
        <f t="shared" si="7"/>
        <v>1.4770086214837892E-2</v>
      </c>
      <c r="V26" s="77">
        <f t="shared" si="8"/>
        <v>2348.0323760282276</v>
      </c>
      <c r="W26" s="65"/>
      <c r="X26" s="75"/>
      <c r="Y26" s="76"/>
      <c r="Z26" s="65"/>
      <c r="AA26" s="65"/>
      <c r="AB26" s="65"/>
      <c r="AC26" s="77">
        <f t="shared" si="10"/>
        <v>519.51683333333335</v>
      </c>
      <c r="AD26" s="65"/>
      <c r="AE26" s="65"/>
      <c r="AF26" s="65">
        <v>3860</v>
      </c>
      <c r="AG26" s="66">
        <f t="shared" si="11"/>
        <v>3.0822448324488516E-3</v>
      </c>
      <c r="AH26" s="77">
        <f t="shared" si="12"/>
        <v>0</v>
      </c>
      <c r="AI26" s="65"/>
      <c r="AJ26" s="65"/>
      <c r="AK26" s="145">
        <f>'Avg master'!T24</f>
        <v>337</v>
      </c>
      <c r="AL26" s="145">
        <f>'Avg master'!U24</f>
        <v>231</v>
      </c>
      <c r="AM26" s="65">
        <f t="shared" si="13"/>
        <v>-106</v>
      </c>
      <c r="AN26" s="524">
        <f t="shared" si="14"/>
        <v>1.4588744588744589</v>
      </c>
      <c r="AO26" s="66">
        <f t="shared" si="15"/>
        <v>2.7407662280649714E-3</v>
      </c>
      <c r="AP26" s="77">
        <f t="shared" si="16"/>
        <v>69.426817982274002</v>
      </c>
      <c r="AQ26" s="76">
        <f t="shared" si="17"/>
        <v>2936.9760273438351</v>
      </c>
      <c r="AR26" s="144">
        <f t="shared" si="18"/>
        <v>11.608600898592233</v>
      </c>
      <c r="AS26" s="120"/>
      <c r="AT26" s="120">
        <v>2000</v>
      </c>
      <c r="AU26" s="120">
        <v>2035</v>
      </c>
      <c r="AV26" s="145">
        <v>2100</v>
      </c>
      <c r="AW26" s="12"/>
      <c r="AX26" s="12"/>
      <c r="AY26" s="67">
        <v>2454.2436240000002</v>
      </c>
      <c r="AZ26" s="22"/>
      <c r="BA26" s="68">
        <f t="shared" si="89"/>
        <v>2613.7694595600001</v>
      </c>
      <c r="BB26" s="45">
        <f t="shared" si="103"/>
        <v>1.1422153501354697</v>
      </c>
      <c r="BC26" s="22"/>
      <c r="BD26" s="46"/>
      <c r="BE26" s="146">
        <f t="shared" si="104"/>
        <v>1899.3166666666666</v>
      </c>
      <c r="BF26" s="523">
        <f t="shared" si="105"/>
        <v>-714.45279289333348</v>
      </c>
      <c r="BG26" s="44">
        <f t="shared" si="106"/>
        <v>-0.37616307245237329</v>
      </c>
      <c r="BH26" s="149">
        <f t="shared" ref="BH26:BH28" si="135">SUM($BA26-SUM($BA26*0.1))</f>
        <v>2352.3925136040002</v>
      </c>
      <c r="BI26" s="149">
        <f t="shared" ref="BI26:BL26" si="136">SUM(BH26-SUM($BZ26*0.1))</f>
        <v>2117.1532622436002</v>
      </c>
      <c r="BJ26" s="149">
        <f t="shared" si="136"/>
        <v>1881.9140108832003</v>
      </c>
      <c r="BK26" s="149">
        <f t="shared" si="136"/>
        <v>1646.6747595228003</v>
      </c>
      <c r="BL26" s="149">
        <f t="shared" si="136"/>
        <v>1411.4355081624003</v>
      </c>
      <c r="BM26" s="46"/>
      <c r="BN26" s="146">
        <f>SUM(K26*$BN$2)+(12*150)</f>
        <v>3035.7000000000003</v>
      </c>
      <c r="BO26" s="523">
        <f t="shared" si="25"/>
        <v>421.93054044000019</v>
      </c>
      <c r="BP26" s="44">
        <f t="shared" si="26"/>
        <v>0.13898953797806113</v>
      </c>
      <c r="BQ26" s="149">
        <f>SUM($BA26-SUM($BA26*0.05))</f>
        <v>2483.0809865820002</v>
      </c>
      <c r="BR26" s="149">
        <f t="shared" ref="BR26:BU26" si="137">SUM(BQ26*1.03)</f>
        <v>2557.5734161794603</v>
      </c>
      <c r="BS26" s="149">
        <f t="shared" si="137"/>
        <v>2634.300618664844</v>
      </c>
      <c r="BT26" s="149">
        <f t="shared" si="137"/>
        <v>2713.3296372247896</v>
      </c>
      <c r="BU26" s="149">
        <f t="shared" si="137"/>
        <v>2794.7295263415335</v>
      </c>
      <c r="BV26" s="526"/>
      <c r="BW26" s="527">
        <f t="shared" ref="BW26:BW30" si="138">SUM(L26*$BA$63)+$BW$2</f>
        <v>4645.1290753829544</v>
      </c>
      <c r="BX26" s="523">
        <f t="shared" si="109"/>
        <v>2031.3596158229543</v>
      </c>
      <c r="BY26" s="44">
        <f t="shared" si="110"/>
        <v>0.43730961677431635</v>
      </c>
      <c r="BZ26" s="149">
        <f t="shared" ref="BZ26:BZ28" si="139">SUM($BA26-SUM($BA26*0.1))</f>
        <v>2352.3925136040002</v>
      </c>
      <c r="CA26" s="149">
        <f t="shared" ref="CA26:CD26" si="140">SUM(BZ26-SUM($BZ26*0.1))</f>
        <v>2117.1532622436002</v>
      </c>
      <c r="CB26" s="149">
        <f t="shared" si="140"/>
        <v>1881.9140108832003</v>
      </c>
      <c r="CC26" s="149">
        <f t="shared" si="140"/>
        <v>1646.6747595228003</v>
      </c>
      <c r="CD26" s="149">
        <f t="shared" si="140"/>
        <v>1411.4355081624003</v>
      </c>
      <c r="CE26" s="22"/>
      <c r="CF26" s="348">
        <f t="shared" ref="CF26:CF27" si="141">SUM(BA26*1.05)</f>
        <v>2744.457932538</v>
      </c>
      <c r="CG26" s="22"/>
    </row>
    <row r="27" spans="1:85" ht="17.25" customHeight="1" x14ac:dyDescent="0.5">
      <c r="A27" s="105" t="s">
        <v>119</v>
      </c>
      <c r="B27" s="534" t="s">
        <v>84</v>
      </c>
      <c r="C27" s="41"/>
      <c r="D27" s="62">
        <f>'Avg master'!H25</f>
        <v>128.33333333333334</v>
      </c>
      <c r="E27" s="66">
        <f t="shared" si="0"/>
        <v>4.7470324881971509E-4</v>
      </c>
      <c r="F27" s="77">
        <f t="shared" si="1"/>
        <v>0</v>
      </c>
      <c r="G27" s="41"/>
      <c r="H27" s="64">
        <v>131</v>
      </c>
      <c r="I27" s="64">
        <v>128</v>
      </c>
      <c r="J27" s="64">
        <v>126</v>
      </c>
      <c r="K27" s="65">
        <f t="shared" si="2"/>
        <v>128.33333333333334</v>
      </c>
      <c r="L27" s="66">
        <f t="shared" si="3"/>
        <v>1.10213183786925E-3</v>
      </c>
      <c r="M27" s="77">
        <f t="shared" si="4"/>
        <v>0</v>
      </c>
      <c r="N27" s="66"/>
      <c r="O27" s="65"/>
      <c r="P27" s="65"/>
      <c r="Q27" s="65"/>
      <c r="R27" s="65"/>
      <c r="S27" s="63"/>
      <c r="T27" s="145">
        <v>11169</v>
      </c>
      <c r="U27" s="66">
        <f t="shared" si="7"/>
        <v>8.4334692977620987E-3</v>
      </c>
      <c r="V27" s="77">
        <f t="shared" si="8"/>
        <v>1340.6867546577002</v>
      </c>
      <c r="W27" s="65"/>
      <c r="X27" s="75"/>
      <c r="Y27" s="76"/>
      <c r="Z27" s="65"/>
      <c r="AA27" s="65"/>
      <c r="AB27" s="65"/>
      <c r="AC27" s="77">
        <f t="shared" si="10"/>
        <v>519.51683333333335</v>
      </c>
      <c r="AD27" s="65"/>
      <c r="AE27" s="65"/>
      <c r="AF27" s="65">
        <v>1013</v>
      </c>
      <c r="AG27" s="66">
        <f t="shared" si="11"/>
        <v>8.0888964126183587E-4</v>
      </c>
      <c r="AH27" s="77">
        <f t="shared" si="12"/>
        <v>0</v>
      </c>
      <c r="AI27" s="65"/>
      <c r="AJ27" s="65"/>
      <c r="AK27" s="145">
        <f>'Avg master'!T25</f>
        <v>0</v>
      </c>
      <c r="AL27" s="145">
        <f>'Avg master'!U25</f>
        <v>6</v>
      </c>
      <c r="AM27" s="65">
        <f t="shared" si="13"/>
        <v>6</v>
      </c>
      <c r="AN27" s="524">
        <f t="shared" si="14"/>
        <v>0</v>
      </c>
      <c r="AO27" s="66">
        <f t="shared" si="15"/>
        <v>7.1188733196492774E-5</v>
      </c>
      <c r="AP27" s="77">
        <f t="shared" si="16"/>
        <v>3.9916056618772471</v>
      </c>
      <c r="AQ27" s="76">
        <f t="shared" si="17"/>
        <v>1864.1951936529108</v>
      </c>
      <c r="AR27" s="144">
        <f t="shared" si="18"/>
        <v>7.3683604492209911</v>
      </c>
      <c r="AS27" s="535"/>
      <c r="AT27" s="535">
        <v>750</v>
      </c>
      <c r="AU27" s="535">
        <v>765</v>
      </c>
      <c r="AV27" s="536">
        <v>790</v>
      </c>
      <c r="AW27" s="537"/>
      <c r="AX27" s="537"/>
      <c r="AY27" s="67">
        <v>923.26307760000009</v>
      </c>
      <c r="AZ27" s="22"/>
      <c r="BA27" s="68">
        <f t="shared" si="89"/>
        <v>983.275177644</v>
      </c>
      <c r="BB27" s="45">
        <f t="shared" si="103"/>
        <v>7.6618845011220778</v>
      </c>
      <c r="BC27" s="22"/>
      <c r="BD27" s="46"/>
      <c r="BE27" s="146">
        <f t="shared" si="104"/>
        <v>106.51666666666667</v>
      </c>
      <c r="BF27" s="523">
        <f t="shared" si="105"/>
        <v>-876.75851097733334</v>
      </c>
      <c r="BG27" s="44">
        <f t="shared" si="106"/>
        <v>-8.2311861459302147</v>
      </c>
      <c r="BH27" s="149">
        <f t="shared" si="135"/>
        <v>884.9476598796</v>
      </c>
      <c r="BI27" s="149">
        <f t="shared" ref="BI27:BL27" si="142">SUM(BH27-SUM($BZ27*0.1))</f>
        <v>796.45289389163997</v>
      </c>
      <c r="BJ27" s="149">
        <f t="shared" si="142"/>
        <v>707.95812790367995</v>
      </c>
      <c r="BK27" s="149">
        <f t="shared" si="142"/>
        <v>619.46336191571993</v>
      </c>
      <c r="BL27" s="149">
        <f t="shared" si="142"/>
        <v>530.96859592775991</v>
      </c>
      <c r="BM27" s="46"/>
      <c r="BN27" s="146">
        <f t="shared" ref="BN27:BN28" si="143">SUM(K27*$BN$2)+(12*50)</f>
        <v>669.3</v>
      </c>
      <c r="BO27" s="523">
        <f t="shared" si="25"/>
        <v>-313.97517764400004</v>
      </c>
      <c r="BP27" s="44">
        <f t="shared" si="26"/>
        <v>-0.46910978282384591</v>
      </c>
      <c r="BQ27" s="149">
        <f t="shared" ref="BQ27:BQ29" si="144">SUM($BA27-SUM($BA27*0.1))</f>
        <v>884.9476598796</v>
      </c>
      <c r="BR27" s="149">
        <f t="shared" ref="BR27:BT27" si="145">SUM(BQ27-SUM($BZ27*0.1))</f>
        <v>796.45289389163997</v>
      </c>
      <c r="BS27" s="149">
        <f t="shared" si="145"/>
        <v>707.95812790367995</v>
      </c>
      <c r="BT27" s="149">
        <f t="shared" si="145"/>
        <v>619.46336191571993</v>
      </c>
      <c r="BU27" s="149">
        <f>SUM(BT27*1.03)</f>
        <v>638.04726277319151</v>
      </c>
      <c r="BV27" s="526"/>
      <c r="BW27" s="527">
        <f t="shared" si="138"/>
        <v>685.26943831353788</v>
      </c>
      <c r="BX27" s="523">
        <f t="shared" si="109"/>
        <v>-298.00573933046212</v>
      </c>
      <c r="BY27" s="44">
        <f t="shared" si="110"/>
        <v>-0.43487382140353487</v>
      </c>
      <c r="BZ27" s="149">
        <f t="shared" si="139"/>
        <v>884.9476598796</v>
      </c>
      <c r="CA27" s="149">
        <f t="shared" ref="CA27:CD27" si="146">SUM(BZ27-SUM($BZ27*0.1))</f>
        <v>796.45289389163997</v>
      </c>
      <c r="CB27" s="149">
        <f t="shared" si="146"/>
        <v>707.95812790367995</v>
      </c>
      <c r="CC27" s="149">
        <f t="shared" si="146"/>
        <v>619.46336191571993</v>
      </c>
      <c r="CD27" s="149">
        <f t="shared" si="146"/>
        <v>530.96859592775991</v>
      </c>
      <c r="CE27" s="22"/>
      <c r="CF27" s="348">
        <f t="shared" si="141"/>
        <v>1032.4389365262</v>
      </c>
      <c r="CG27" s="22"/>
    </row>
    <row r="28" spans="1:85" ht="15.75" customHeight="1" x14ac:dyDescent="0.5">
      <c r="A28" s="538" t="s">
        <v>121</v>
      </c>
      <c r="B28" s="539" t="s">
        <v>69</v>
      </c>
      <c r="C28" s="84"/>
      <c r="D28" s="62">
        <f>'Avg master'!H26</f>
        <v>860</v>
      </c>
      <c r="E28" s="66">
        <f t="shared" si="0"/>
        <v>3.1811282648178305E-3</v>
      </c>
      <c r="F28" s="77">
        <f t="shared" si="1"/>
        <v>0</v>
      </c>
      <c r="G28" s="84"/>
      <c r="H28" s="64">
        <v>385</v>
      </c>
      <c r="I28" s="64">
        <v>316</v>
      </c>
      <c r="J28" s="64">
        <v>237</v>
      </c>
      <c r="K28" s="65">
        <f t="shared" si="2"/>
        <v>312.66666666666669</v>
      </c>
      <c r="L28" s="66">
        <f t="shared" si="3"/>
        <v>2.6851939322632638E-3</v>
      </c>
      <c r="M28" s="77">
        <f t="shared" si="4"/>
        <v>0</v>
      </c>
      <c r="N28" s="66"/>
      <c r="O28" s="65">
        <v>345</v>
      </c>
      <c r="P28" s="66">
        <f>SUM(O28/$O$60)</f>
        <v>3.5001217433649865E-3</v>
      </c>
      <c r="Q28" s="77">
        <f>SUM(P28*$Q$61)</f>
        <v>0</v>
      </c>
      <c r="R28" s="65"/>
      <c r="S28" s="66"/>
      <c r="T28" s="145">
        <v>4000</v>
      </c>
      <c r="U28" s="66">
        <f t="shared" si="7"/>
        <v>3.0203131158607214E-3</v>
      </c>
      <c r="V28" s="77">
        <f t="shared" si="8"/>
        <v>480.14567272189106</v>
      </c>
      <c r="W28" s="77"/>
      <c r="X28" s="75">
        <v>3629</v>
      </c>
      <c r="Y28" s="77">
        <f>SUM(X28*$Y$62)</f>
        <v>0</v>
      </c>
      <c r="Z28" s="77"/>
      <c r="AA28" s="65"/>
      <c r="AB28" s="65"/>
      <c r="AC28" s="77">
        <f t="shared" si="10"/>
        <v>519.51683333333335</v>
      </c>
      <c r="AD28" s="65"/>
      <c r="AE28" s="65"/>
      <c r="AF28" s="65">
        <v>2395</v>
      </c>
      <c r="AG28" s="66">
        <f t="shared" si="11"/>
        <v>1.9124291123613988E-3</v>
      </c>
      <c r="AH28" s="77">
        <f t="shared" si="12"/>
        <v>0</v>
      </c>
      <c r="AI28" s="65"/>
      <c r="AJ28" s="65"/>
      <c r="AK28" s="145">
        <f>'Avg master'!T26</f>
        <v>331.5</v>
      </c>
      <c r="AL28" s="145">
        <f>'Avg master'!U26</f>
        <v>463</v>
      </c>
      <c r="AM28" s="65">
        <f t="shared" si="13"/>
        <v>131.5</v>
      </c>
      <c r="AN28" s="524">
        <f t="shared" si="14"/>
        <v>0.71598272138228947</v>
      </c>
      <c r="AO28" s="66">
        <f t="shared" si="15"/>
        <v>5.4933972449960249E-3</v>
      </c>
      <c r="AP28" s="77">
        <f t="shared" si="16"/>
        <v>225.14390357486087</v>
      </c>
      <c r="AQ28" s="76">
        <f t="shared" si="17"/>
        <v>1224.8064096300852</v>
      </c>
      <c r="AR28" s="144">
        <f t="shared" si="18"/>
        <v>4.8411320538738547</v>
      </c>
      <c r="AS28" s="535"/>
      <c r="AT28" s="535"/>
      <c r="AU28" s="535"/>
      <c r="AV28" s="536"/>
      <c r="AW28" s="537"/>
      <c r="AX28" s="537"/>
      <c r="AY28" s="110"/>
      <c r="AZ28" s="22"/>
      <c r="BA28" s="111">
        <f>SUM(1473*(1+$BA$2))</f>
        <v>1568.7449999999999</v>
      </c>
      <c r="BB28" s="525">
        <f t="shared" si="103"/>
        <v>5.0173081023454147</v>
      </c>
      <c r="BC28" s="22"/>
      <c r="BD28" s="46"/>
      <c r="BE28" s="146">
        <f t="shared" si="104"/>
        <v>259.51333333333332</v>
      </c>
      <c r="BF28" s="523">
        <f t="shared" si="105"/>
        <v>-1309.2316666666666</v>
      </c>
      <c r="BG28" s="44">
        <f t="shared" si="106"/>
        <v>-5.0449495208980908</v>
      </c>
      <c r="BH28" s="149">
        <f t="shared" si="135"/>
        <v>1411.8705</v>
      </c>
      <c r="BI28" s="149">
        <f t="shared" ref="BI28:BL28" si="147">SUM(BH28-SUM($BZ28*0.1))</f>
        <v>1270.68345</v>
      </c>
      <c r="BJ28" s="149">
        <f t="shared" si="147"/>
        <v>1129.4964</v>
      </c>
      <c r="BK28" s="149">
        <f t="shared" si="147"/>
        <v>988.30934999999999</v>
      </c>
      <c r="BL28" s="149">
        <f t="shared" si="147"/>
        <v>847.1223</v>
      </c>
      <c r="BM28" s="46"/>
      <c r="BN28" s="146">
        <f t="shared" si="143"/>
        <v>768.84</v>
      </c>
      <c r="BO28" s="523">
        <f t="shared" si="25"/>
        <v>-799.90499999999986</v>
      </c>
      <c r="BP28" s="44">
        <f t="shared" si="26"/>
        <v>-1.0404050257530824</v>
      </c>
      <c r="BQ28" s="149">
        <f t="shared" si="144"/>
        <v>1411.8705</v>
      </c>
      <c r="BR28" s="149">
        <f t="shared" ref="BR28:BS28" si="148">SUM(BQ28-SUM($BZ28*0.1))</f>
        <v>1270.68345</v>
      </c>
      <c r="BS28" s="149">
        <f t="shared" si="148"/>
        <v>1129.4964</v>
      </c>
      <c r="BT28" s="149">
        <f t="shared" ref="BT28:BU28" si="149">SUM(BS28*1.03)</f>
        <v>1163.381292</v>
      </c>
      <c r="BU28" s="149">
        <f t="shared" si="149"/>
        <v>1198.28273076</v>
      </c>
      <c r="BV28" s="526"/>
      <c r="BW28" s="527">
        <f t="shared" si="138"/>
        <v>1023.2019042548014</v>
      </c>
      <c r="BX28" s="523">
        <f t="shared" si="109"/>
        <v>-545.54309574519846</v>
      </c>
      <c r="BY28" s="44">
        <f t="shared" si="110"/>
        <v>-0.53317247893759323</v>
      </c>
      <c r="BZ28" s="149">
        <f t="shared" si="139"/>
        <v>1411.8705</v>
      </c>
      <c r="CA28" s="149">
        <f t="shared" ref="CA28:CD28" si="150">SUM(BZ28-SUM($BZ28*0.1))</f>
        <v>1270.68345</v>
      </c>
      <c r="CB28" s="149">
        <f t="shared" si="150"/>
        <v>1129.4964</v>
      </c>
      <c r="CC28" s="149">
        <f t="shared" si="150"/>
        <v>988.30934999999999</v>
      </c>
      <c r="CD28" s="149">
        <f t="shared" si="150"/>
        <v>847.1223</v>
      </c>
      <c r="CE28" s="22"/>
      <c r="CF28" s="149">
        <f>SUM(T28*$CF$3)</f>
        <v>800</v>
      </c>
      <c r="CG28" s="145">
        <f>SUM(CF28-BA28)</f>
        <v>-768.74499999999989</v>
      </c>
    </row>
    <row r="29" spans="1:85" ht="15.75" customHeight="1" x14ac:dyDescent="0.5">
      <c r="A29" s="83" t="s">
        <v>123</v>
      </c>
      <c r="B29" s="85" t="s">
        <v>89</v>
      </c>
      <c r="C29" s="85"/>
      <c r="D29" s="62">
        <f>'Avg master'!H27</f>
        <v>2</v>
      </c>
      <c r="E29" s="66">
        <f t="shared" si="0"/>
        <v>7.3979727088786762E-6</v>
      </c>
      <c r="F29" s="77">
        <f t="shared" si="1"/>
        <v>0</v>
      </c>
      <c r="G29" s="85"/>
      <c r="H29" s="64">
        <v>2</v>
      </c>
      <c r="I29" s="64">
        <v>2</v>
      </c>
      <c r="J29" s="64">
        <v>2</v>
      </c>
      <c r="K29" s="65">
        <f t="shared" si="2"/>
        <v>2</v>
      </c>
      <c r="L29" s="66">
        <f t="shared" si="3"/>
        <v>1.717608059017013E-5</v>
      </c>
      <c r="M29" s="77">
        <f t="shared" si="4"/>
        <v>0</v>
      </c>
      <c r="N29" s="66"/>
      <c r="O29" s="65"/>
      <c r="P29" s="65"/>
      <c r="Q29" s="65"/>
      <c r="R29" s="65"/>
      <c r="S29" s="529"/>
      <c r="T29" s="145">
        <v>1954</v>
      </c>
      <c r="U29" s="66">
        <f t="shared" si="7"/>
        <v>1.4754229570979624E-3</v>
      </c>
      <c r="V29" s="77">
        <f t="shared" si="8"/>
        <v>234.55116112464378</v>
      </c>
      <c r="W29" s="65"/>
      <c r="X29" s="75"/>
      <c r="Y29" s="76"/>
      <c r="Z29" s="65"/>
      <c r="AA29" s="65"/>
      <c r="AB29" s="65"/>
      <c r="AC29" s="77">
        <f t="shared" si="10"/>
        <v>519.51683333333335</v>
      </c>
      <c r="AD29" s="65"/>
      <c r="AE29" s="65"/>
      <c r="AF29" s="65">
        <v>38</v>
      </c>
      <c r="AG29" s="66">
        <f t="shared" si="11"/>
        <v>3.0343342910118226E-5</v>
      </c>
      <c r="AH29" s="77">
        <f t="shared" si="12"/>
        <v>0</v>
      </c>
      <c r="AI29" s="65"/>
      <c r="AJ29" s="65"/>
      <c r="AK29" s="145">
        <f>'Avg master'!T27</f>
        <v>1</v>
      </c>
      <c r="AL29" s="145">
        <f>'Avg master'!U27</f>
        <v>65</v>
      </c>
      <c r="AM29" s="65">
        <f t="shared" si="13"/>
        <v>64</v>
      </c>
      <c r="AN29" s="524">
        <f t="shared" si="14"/>
        <v>1.5384615384615385E-2</v>
      </c>
      <c r="AO29" s="66">
        <f t="shared" si="15"/>
        <v>7.7121127629533833E-4</v>
      </c>
      <c r="AP29" s="77">
        <f t="shared" si="16"/>
        <v>42.992394670336843</v>
      </c>
      <c r="AQ29" s="76">
        <f t="shared" si="17"/>
        <v>797.060389128314</v>
      </c>
      <c r="AR29" s="144">
        <f t="shared" si="18"/>
        <v>3.1504363206652726</v>
      </c>
      <c r="AS29" s="120"/>
      <c r="AT29" s="120">
        <v>300</v>
      </c>
      <c r="AU29" s="120">
        <v>305</v>
      </c>
      <c r="AV29" s="145">
        <v>315</v>
      </c>
      <c r="AW29" s="12"/>
      <c r="AX29" s="12"/>
      <c r="AY29" s="67">
        <v>368.1365436000001</v>
      </c>
      <c r="AZ29" s="22"/>
      <c r="BA29" s="68">
        <f t="shared" ref="BA29:BA53" si="151">SUM(AY29*(1+$BA$2))</f>
        <v>392.06541893400009</v>
      </c>
      <c r="BB29" s="45">
        <f t="shared" si="103"/>
        <v>196.03270946700005</v>
      </c>
      <c r="BC29" s="22"/>
      <c r="BD29" s="46"/>
      <c r="BE29" s="146">
        <f t="shared" si="104"/>
        <v>1.66</v>
      </c>
      <c r="BF29" s="523">
        <f t="shared" si="105"/>
        <v>-390.40541893400007</v>
      </c>
      <c r="BG29" s="44">
        <f t="shared" si="106"/>
        <v>-235.18398730963861</v>
      </c>
      <c r="BH29" s="149">
        <f>SUM($BA29+SUM($BA29*0.1))</f>
        <v>431.27196082740011</v>
      </c>
      <c r="BI29" s="149">
        <f t="shared" ref="BI29:BL29" si="152">SUM(BH29*1.03)</f>
        <v>444.21011965222215</v>
      </c>
      <c r="BJ29" s="149">
        <f t="shared" si="152"/>
        <v>457.53642324178884</v>
      </c>
      <c r="BK29" s="149">
        <f t="shared" si="152"/>
        <v>471.26251593904254</v>
      </c>
      <c r="BL29" s="149">
        <f t="shared" si="152"/>
        <v>485.40039141721383</v>
      </c>
      <c r="BM29" s="46"/>
      <c r="BN29" s="146">
        <f>SUM(K29*$BN$2)+(12*10)</f>
        <v>121.08</v>
      </c>
      <c r="BO29" s="523">
        <f t="shared" si="25"/>
        <v>-270.98541893400011</v>
      </c>
      <c r="BP29" s="44">
        <f t="shared" si="26"/>
        <v>-2.2380692016352834</v>
      </c>
      <c r="BQ29" s="149">
        <f t="shared" si="144"/>
        <v>352.85887704060008</v>
      </c>
      <c r="BR29" s="149">
        <f t="shared" ref="BR29:BT29" si="153">SUM(BQ29-SUM($BZ29*0.1))</f>
        <v>309.73168095786008</v>
      </c>
      <c r="BS29" s="149">
        <f t="shared" si="153"/>
        <v>266.60448487512008</v>
      </c>
      <c r="BT29" s="149">
        <f t="shared" si="153"/>
        <v>223.47728879238008</v>
      </c>
      <c r="BU29" s="149">
        <f>SUM(BT29*1.03)</f>
        <v>230.18160745615148</v>
      </c>
      <c r="BV29" s="526"/>
      <c r="BW29" s="527">
        <f t="shared" si="138"/>
        <v>453.66653670099021</v>
      </c>
      <c r="BX29" s="523">
        <f t="shared" si="109"/>
        <v>61.601117766990114</v>
      </c>
      <c r="BY29" s="44">
        <f t="shared" si="110"/>
        <v>0.13578501560848241</v>
      </c>
      <c r="BZ29" s="149">
        <f>SUM($BA29+SUM($BA29*0.1))</f>
        <v>431.27196082740011</v>
      </c>
      <c r="CA29" s="149">
        <f t="shared" ref="CA29:CD29" si="154">SUM(BZ29*1.03)</f>
        <v>444.21011965222215</v>
      </c>
      <c r="CB29" s="149">
        <f t="shared" si="154"/>
        <v>457.53642324178884</v>
      </c>
      <c r="CC29" s="149">
        <f t="shared" si="154"/>
        <v>471.26251593904254</v>
      </c>
      <c r="CD29" s="149">
        <f t="shared" si="154"/>
        <v>485.40039141721383</v>
      </c>
      <c r="CE29" s="22"/>
      <c r="CF29" s="348">
        <f>SUM(BA29*1.05)</f>
        <v>411.66868988070013</v>
      </c>
      <c r="CG29" s="22"/>
    </row>
    <row r="30" spans="1:85" ht="15.75" customHeight="1" x14ac:dyDescent="0.5">
      <c r="A30" s="83" t="s">
        <v>125</v>
      </c>
      <c r="B30" s="85" t="s">
        <v>69</v>
      </c>
      <c r="C30" s="61"/>
      <c r="D30" s="62">
        <f>'Avg master'!H28</f>
        <v>1120</v>
      </c>
      <c r="E30" s="66">
        <f t="shared" si="0"/>
        <v>4.1428647169720586E-3</v>
      </c>
      <c r="F30" s="77">
        <f t="shared" si="1"/>
        <v>0</v>
      </c>
      <c r="G30" s="61"/>
      <c r="H30" s="64">
        <v>827</v>
      </c>
      <c r="I30" s="64">
        <v>608</v>
      </c>
      <c r="J30" s="64">
        <v>475</v>
      </c>
      <c r="K30" s="65">
        <f t="shared" si="2"/>
        <v>636.66666666666663</v>
      </c>
      <c r="L30" s="66">
        <f t="shared" si="3"/>
        <v>5.4677189878708241E-3</v>
      </c>
      <c r="M30" s="77">
        <f t="shared" si="4"/>
        <v>0</v>
      </c>
      <c r="N30" s="66"/>
      <c r="O30" s="65">
        <v>764</v>
      </c>
      <c r="P30" s="66">
        <f>SUM(O30/$O$60)</f>
        <v>7.7509942374807241E-3</v>
      </c>
      <c r="Q30" s="77">
        <f>SUM(P30*$Q$61)</f>
        <v>0</v>
      </c>
      <c r="R30" s="65"/>
      <c r="S30" s="66"/>
      <c r="T30" s="145">
        <v>14307</v>
      </c>
      <c r="U30" s="66">
        <f t="shared" si="7"/>
        <v>1.0802904937154835E-2</v>
      </c>
      <c r="V30" s="77">
        <f t="shared" si="8"/>
        <v>1717.3610349080238</v>
      </c>
      <c r="W30" s="77"/>
      <c r="X30" s="75">
        <v>9004</v>
      </c>
      <c r="Y30" s="77">
        <f>SUM(X30*$Y$62)</f>
        <v>0</v>
      </c>
      <c r="Z30" s="77"/>
      <c r="AA30" s="65"/>
      <c r="AB30" s="65"/>
      <c r="AC30" s="77">
        <f t="shared" si="10"/>
        <v>519.51683333333335</v>
      </c>
      <c r="AD30" s="65"/>
      <c r="AE30" s="65"/>
      <c r="AF30" s="65">
        <v>10461</v>
      </c>
      <c r="AG30" s="66">
        <f t="shared" si="11"/>
        <v>8.3532028995459678E-3</v>
      </c>
      <c r="AH30" s="77">
        <f t="shared" si="12"/>
        <v>0</v>
      </c>
      <c r="AI30" s="65"/>
      <c r="AJ30" s="65"/>
      <c r="AK30" s="145">
        <f>'Avg master'!T28</f>
        <v>959</v>
      </c>
      <c r="AL30" s="145">
        <f>'Avg master'!U28</f>
        <v>1492.5</v>
      </c>
      <c r="AM30" s="65">
        <f t="shared" si="13"/>
        <v>533.5</v>
      </c>
      <c r="AN30" s="524">
        <f t="shared" si="14"/>
        <v>0.64254606365159128</v>
      </c>
      <c r="AO30" s="66">
        <f t="shared" si="15"/>
        <v>1.7708197382627577E-2</v>
      </c>
      <c r="AP30" s="77">
        <f t="shared" si="16"/>
        <v>753.1619083919652</v>
      </c>
      <c r="AQ30" s="76">
        <f t="shared" si="17"/>
        <v>2990.0397766333226</v>
      </c>
      <c r="AR30" s="144">
        <f t="shared" si="18"/>
        <v>11.818339038076374</v>
      </c>
      <c r="AS30" s="120"/>
      <c r="AT30" s="42">
        <v>1220</v>
      </c>
      <c r="AU30" s="65">
        <v>1260</v>
      </c>
      <c r="AV30" s="145">
        <v>1260</v>
      </c>
      <c r="AW30" s="511"/>
      <c r="AX30" s="128"/>
      <c r="AY30" s="67">
        <v>1473</v>
      </c>
      <c r="AZ30" s="22"/>
      <c r="BA30" s="68">
        <f t="shared" si="151"/>
        <v>1568.7449999999999</v>
      </c>
      <c r="BB30" s="525">
        <f t="shared" si="103"/>
        <v>2.4639973821989529</v>
      </c>
      <c r="BC30" s="22"/>
      <c r="BD30" s="46"/>
      <c r="BE30" s="146">
        <f t="shared" si="104"/>
        <v>528.43333333333328</v>
      </c>
      <c r="BF30" s="523">
        <f t="shared" si="105"/>
        <v>-1040.3116666666665</v>
      </c>
      <c r="BG30" s="44">
        <f t="shared" si="106"/>
        <v>-1.9686715448180154</v>
      </c>
      <c r="BH30" s="149">
        <f>SUM($BA30-SUM($BA30*0.1))</f>
        <v>1411.8705</v>
      </c>
      <c r="BI30" s="149">
        <f t="shared" ref="BI30:BK30" si="155">SUM(BH30-SUM($BZ30*0.1))</f>
        <v>1270.68345</v>
      </c>
      <c r="BJ30" s="149">
        <f t="shared" si="155"/>
        <v>1129.4964</v>
      </c>
      <c r="BK30" s="149">
        <f t="shared" si="155"/>
        <v>988.30934999999999</v>
      </c>
      <c r="BL30" s="149">
        <f>SUM(BK30*1.03)</f>
        <v>1017.9586305</v>
      </c>
      <c r="BM30" s="46"/>
      <c r="BN30" s="146">
        <f>SUM(K30*$BN$2)+(12*100)</f>
        <v>1543.8</v>
      </c>
      <c r="BO30" s="523">
        <f t="shared" si="25"/>
        <v>-24.944999999999936</v>
      </c>
      <c r="BP30" s="44">
        <f t="shared" si="26"/>
        <v>-1.6158181111542904E-2</v>
      </c>
      <c r="BQ30" s="149">
        <f>SUM($BA30+SUM($BA30*0.1))</f>
        <v>1725.6194999999998</v>
      </c>
      <c r="BR30" s="149">
        <f>SUM(BQ30+SUM($BZ30*0.1))</f>
        <v>1866.8065499999998</v>
      </c>
      <c r="BS30" s="149">
        <f t="shared" ref="BS30:BU30" si="156">SUM(BR30*1.03)</f>
        <v>1922.8107464999998</v>
      </c>
      <c r="BT30" s="149">
        <f t="shared" si="156"/>
        <v>1980.4950688949998</v>
      </c>
      <c r="BU30" s="149">
        <f t="shared" si="156"/>
        <v>2039.9099209618498</v>
      </c>
      <c r="BV30" s="526"/>
      <c r="BW30" s="527">
        <f t="shared" si="138"/>
        <v>1617.1808498152138</v>
      </c>
      <c r="BX30" s="523">
        <f t="shared" si="109"/>
        <v>48.435849815213942</v>
      </c>
      <c r="BY30" s="44">
        <f t="shared" si="110"/>
        <v>2.9950793580537659E-2</v>
      </c>
      <c r="BZ30" s="149">
        <f>SUM($BA30-SUM($BA30*0.1))</f>
        <v>1411.8705</v>
      </c>
      <c r="CA30" s="149">
        <f t="shared" ref="CA30:CD30" si="157">SUM(BZ30*1.03)</f>
        <v>1454.226615</v>
      </c>
      <c r="CB30" s="149">
        <f t="shared" si="157"/>
        <v>1497.8534134500001</v>
      </c>
      <c r="CC30" s="149">
        <f t="shared" si="157"/>
        <v>1542.7890158535001</v>
      </c>
      <c r="CD30" s="149">
        <f t="shared" si="157"/>
        <v>1589.0726863291052</v>
      </c>
      <c r="CE30" s="22"/>
      <c r="CF30" s="149">
        <f>SUM(T30*$CF$3)</f>
        <v>2861.4</v>
      </c>
      <c r="CG30" s="145">
        <f>SUM(CF30-BA30)</f>
        <v>1292.6550000000002</v>
      </c>
    </row>
    <row r="31" spans="1:85" ht="15.75" customHeight="1" x14ac:dyDescent="0.5">
      <c r="A31" s="95" t="s">
        <v>127</v>
      </c>
      <c r="B31" s="61" t="s">
        <v>89</v>
      </c>
      <c r="C31" s="85"/>
      <c r="D31" s="62">
        <f>'Avg master'!H29</f>
        <v>1</v>
      </c>
      <c r="E31" s="66">
        <f t="shared" si="0"/>
        <v>3.6989863544393381E-6</v>
      </c>
      <c r="F31" s="77">
        <f t="shared" si="1"/>
        <v>0</v>
      </c>
      <c r="G31" s="85"/>
      <c r="H31" s="64">
        <v>1</v>
      </c>
      <c r="I31" s="64">
        <v>1</v>
      </c>
      <c r="J31" s="64">
        <v>1</v>
      </c>
      <c r="K31" s="65">
        <f t="shared" si="2"/>
        <v>1</v>
      </c>
      <c r="L31" s="66">
        <f t="shared" si="3"/>
        <v>8.5880402950850649E-6</v>
      </c>
      <c r="M31" s="77">
        <f t="shared" si="4"/>
        <v>0</v>
      </c>
      <c r="N31" s="66"/>
      <c r="O31" s="65"/>
      <c r="P31" s="65"/>
      <c r="Q31" s="65"/>
      <c r="R31" s="65"/>
      <c r="S31" s="529"/>
      <c r="T31" s="145">
        <v>1916</v>
      </c>
      <c r="U31" s="66">
        <f t="shared" si="7"/>
        <v>1.4467299824972855E-3</v>
      </c>
      <c r="V31" s="77">
        <f t="shared" si="8"/>
        <v>229.98977723378579</v>
      </c>
      <c r="W31" s="65"/>
      <c r="X31" s="75"/>
      <c r="Y31" s="76"/>
      <c r="Z31" s="65"/>
      <c r="AA31" s="65"/>
      <c r="AB31" s="65"/>
      <c r="AC31" s="77">
        <f t="shared" si="10"/>
        <v>519.51683333333335</v>
      </c>
      <c r="AD31" s="65"/>
      <c r="AE31" s="65"/>
      <c r="AF31" s="65">
        <v>0</v>
      </c>
      <c r="AG31" s="66">
        <f t="shared" si="11"/>
        <v>0</v>
      </c>
      <c r="AH31" s="77">
        <f t="shared" si="12"/>
        <v>0</v>
      </c>
      <c r="AI31" s="65"/>
      <c r="AJ31" s="65"/>
      <c r="AK31" s="145">
        <f>'Avg master'!T29</f>
        <v>0</v>
      </c>
      <c r="AL31" s="145">
        <f>'Avg master'!U29</f>
        <v>0</v>
      </c>
      <c r="AM31" s="65">
        <f t="shared" si="13"/>
        <v>0</v>
      </c>
      <c r="AN31" s="524" t="e">
        <f t="shared" si="14"/>
        <v>#DIV/0!</v>
      </c>
      <c r="AO31" s="66">
        <f t="shared" si="15"/>
        <v>0</v>
      </c>
      <c r="AP31" s="77">
        <f t="shared" si="16"/>
        <v>0</v>
      </c>
      <c r="AQ31" s="76">
        <f t="shared" si="17"/>
        <v>749.5066105671192</v>
      </c>
      <c r="AR31" s="144">
        <f t="shared" si="18"/>
        <v>2.9624767216091668</v>
      </c>
      <c r="AS31" s="120"/>
      <c r="AT31" s="120">
        <v>300</v>
      </c>
      <c r="AU31" s="120">
        <v>305</v>
      </c>
      <c r="AV31" s="145">
        <v>315</v>
      </c>
      <c r="AW31" s="12"/>
      <c r="AX31" s="12"/>
      <c r="AY31" s="67">
        <v>368.1365436000001</v>
      </c>
      <c r="AZ31" s="22"/>
      <c r="BA31" s="68">
        <f t="shared" si="151"/>
        <v>392.06541893400009</v>
      </c>
      <c r="BB31" s="45"/>
      <c r="BC31" s="22"/>
      <c r="BD31" s="46"/>
      <c r="BE31" s="52"/>
      <c r="BF31" s="22"/>
      <c r="BG31" s="22"/>
      <c r="BH31" s="149">
        <f>SUM($BA31+SUM($BA31*0.1))</f>
        <v>431.27196082740011</v>
      </c>
      <c r="BI31" s="149">
        <f t="shared" ref="BI31:BL31" si="158">SUM(BH31*1.03)</f>
        <v>444.21011965222215</v>
      </c>
      <c r="BJ31" s="149">
        <f t="shared" si="158"/>
        <v>457.53642324178884</v>
      </c>
      <c r="BK31" s="149">
        <f t="shared" si="158"/>
        <v>471.26251593904254</v>
      </c>
      <c r="BL31" s="149">
        <f t="shared" si="158"/>
        <v>485.40039141721383</v>
      </c>
      <c r="BM31" s="46"/>
      <c r="BN31" s="540">
        <v>400</v>
      </c>
      <c r="BO31" s="22"/>
      <c r="BP31" s="22"/>
      <c r="BQ31" s="149">
        <f t="shared" ref="BQ31:BQ32" si="159">SUM($BA31-SUM($BA31*0.1))</f>
        <v>352.85887704060008</v>
      </c>
      <c r="BR31" s="149">
        <f t="shared" ref="BR31:BT31" si="160">SUM(BQ31-SUM($BZ31*0.1))</f>
        <v>309.73168095786008</v>
      </c>
      <c r="BS31" s="149">
        <f t="shared" si="160"/>
        <v>266.60448487512008</v>
      </c>
      <c r="BT31" s="149">
        <f t="shared" si="160"/>
        <v>223.47728879238008</v>
      </c>
      <c r="BU31" s="149">
        <f>SUM(BT31*1.03)</f>
        <v>230.18160745615148</v>
      </c>
      <c r="BV31" s="521"/>
      <c r="BW31" s="22">
        <v>450</v>
      </c>
      <c r="BX31" s="22"/>
      <c r="BY31" s="22"/>
      <c r="BZ31" s="149">
        <f>SUM($BA31+SUM($BA31*0.1))</f>
        <v>431.27196082740011</v>
      </c>
      <c r="CA31" s="149">
        <f t="shared" ref="CA31:CD31" si="161">SUM(BZ31*1.03)</f>
        <v>444.21011965222215</v>
      </c>
      <c r="CB31" s="149">
        <f t="shared" si="161"/>
        <v>457.53642324178884</v>
      </c>
      <c r="CC31" s="149">
        <f t="shared" si="161"/>
        <v>471.26251593904254</v>
      </c>
      <c r="CD31" s="149">
        <f t="shared" si="161"/>
        <v>485.40039141721383</v>
      </c>
      <c r="CE31" s="22"/>
      <c r="CF31" s="348">
        <f>SUM(BA31*1.05)</f>
        <v>411.66868988070013</v>
      </c>
      <c r="CG31" s="22"/>
    </row>
    <row r="32" spans="1:85" ht="15.75" customHeight="1" x14ac:dyDescent="0.5">
      <c r="A32" s="541" t="s">
        <v>129</v>
      </c>
      <c r="B32" s="114" t="s">
        <v>78</v>
      </c>
      <c r="C32" s="85"/>
      <c r="D32" s="62">
        <f>'Avg master'!H30</f>
        <v>1470</v>
      </c>
      <c r="E32" s="66">
        <f t="shared" si="0"/>
        <v>5.4375099410258268E-3</v>
      </c>
      <c r="F32" s="77">
        <f t="shared" si="1"/>
        <v>0</v>
      </c>
      <c r="G32" s="85"/>
      <c r="H32" s="64">
        <v>2443</v>
      </c>
      <c r="I32" s="64">
        <v>1271</v>
      </c>
      <c r="J32" s="64">
        <v>696</v>
      </c>
      <c r="K32" s="65">
        <f t="shared" si="2"/>
        <v>1470</v>
      </c>
      <c r="L32" s="66">
        <f t="shared" si="3"/>
        <v>1.2624419233775044E-2</v>
      </c>
      <c r="M32" s="77">
        <f t="shared" si="4"/>
        <v>0</v>
      </c>
      <c r="N32" s="66"/>
      <c r="O32" s="65"/>
      <c r="P32" s="65"/>
      <c r="Q32" s="65"/>
      <c r="R32" s="65"/>
      <c r="S32" s="66"/>
      <c r="T32" s="145">
        <v>7633</v>
      </c>
      <c r="U32" s="66">
        <f t="shared" si="7"/>
        <v>5.7635125033412213E-3</v>
      </c>
      <c r="V32" s="77">
        <f t="shared" si="8"/>
        <v>916.2379799715485</v>
      </c>
      <c r="W32" s="65"/>
      <c r="X32" s="75"/>
      <c r="Y32" s="76"/>
      <c r="Z32" s="65"/>
      <c r="AA32" s="65"/>
      <c r="AB32" s="65"/>
      <c r="AC32" s="77">
        <f t="shared" si="10"/>
        <v>519.51683333333335</v>
      </c>
      <c r="AD32" s="65"/>
      <c r="AE32" s="65"/>
      <c r="AF32" s="65">
        <v>2170</v>
      </c>
      <c r="AG32" s="66">
        <f t="shared" si="11"/>
        <v>1.7327645819725408E-3</v>
      </c>
      <c r="AH32" s="77">
        <f t="shared" si="12"/>
        <v>0</v>
      </c>
      <c r="AI32" s="65"/>
      <c r="AJ32" s="65"/>
      <c r="AK32" s="145">
        <f>'Avg master'!T30</f>
        <v>415</v>
      </c>
      <c r="AL32" s="145">
        <f>'Avg master'!U30</f>
        <v>61</v>
      </c>
      <c r="AM32" s="65">
        <f t="shared" si="13"/>
        <v>-354</v>
      </c>
      <c r="AN32" s="524">
        <f t="shared" si="14"/>
        <v>6.8032786885245899</v>
      </c>
      <c r="AO32" s="66">
        <f t="shared" si="15"/>
        <v>7.2375212083100984E-4</v>
      </c>
      <c r="AP32" s="77">
        <f t="shared" si="16"/>
        <v>-63.16867577091466</v>
      </c>
      <c r="AQ32" s="76">
        <f t="shared" si="17"/>
        <v>1372.5861375339671</v>
      </c>
      <c r="AR32" s="144">
        <f t="shared" si="18"/>
        <v>5.4252416503318859</v>
      </c>
      <c r="AS32" s="542"/>
      <c r="AT32" s="542">
        <v>2500</v>
      </c>
      <c r="AU32" s="542">
        <v>3500</v>
      </c>
      <c r="AV32" s="543">
        <v>4200</v>
      </c>
      <c r="AW32" s="544" t="s">
        <v>474</v>
      </c>
      <c r="AX32" s="12"/>
      <c r="AY32" s="67">
        <v>4908.4872480000004</v>
      </c>
      <c r="AZ32" s="22"/>
      <c r="BA32" s="68">
        <f t="shared" si="151"/>
        <v>5227.5389191200002</v>
      </c>
      <c r="BB32" s="45">
        <f t="shared" ref="BB32:BB47" si="162">SUM(BA32/K32)</f>
        <v>3.5561489245714286</v>
      </c>
      <c r="BC32" s="45">
        <f>AVERAGE(BB31:BB32)</f>
        <v>3.5561489245714286</v>
      </c>
      <c r="BD32" s="46"/>
      <c r="BE32" s="146">
        <f t="shared" ref="BE32:BE47" si="163">SUM(K32*$BE$2)</f>
        <v>1220.0999999999999</v>
      </c>
      <c r="BF32" s="523">
        <f t="shared" ref="BF32:BF47" si="164">SUM(BE32-BA32)</f>
        <v>-4007.4389191200003</v>
      </c>
      <c r="BG32" s="44">
        <f t="shared" ref="BG32:BG47" si="165">SUM(BE32-BA32)/BE32</f>
        <v>-3.2845167765920831</v>
      </c>
      <c r="BH32" s="149">
        <f>SUM($BA32-SUM($BA32*0.1))</f>
        <v>4704.7850272080004</v>
      </c>
      <c r="BI32" s="149">
        <f t="shared" ref="BI32:BL32" si="166">SUM(BH32-SUM($BZ32*0.1))</f>
        <v>4234.3065244872005</v>
      </c>
      <c r="BJ32" s="149">
        <f t="shared" si="166"/>
        <v>3763.8280217664005</v>
      </c>
      <c r="BK32" s="149">
        <f t="shared" si="166"/>
        <v>3293.3495190456006</v>
      </c>
      <c r="BL32" s="149">
        <f t="shared" si="166"/>
        <v>2822.8710163248006</v>
      </c>
      <c r="BM32" s="46"/>
      <c r="BN32" s="146">
        <f>SUM(K32*$BN$2)+(12*300)</f>
        <v>4393.8</v>
      </c>
      <c r="BO32" s="523">
        <f t="shared" ref="BO32:BO47" si="167">SUM(BN32-BA32)</f>
        <v>-833.73891911999999</v>
      </c>
      <c r="BP32" s="44">
        <f t="shared" ref="BP32:BP47" si="168">SUM(BN32-BA32)/BN32</f>
        <v>-0.18975349791069232</v>
      </c>
      <c r="BQ32" s="149">
        <f t="shared" si="159"/>
        <v>4704.7850272080004</v>
      </c>
      <c r="BR32" s="149">
        <f t="shared" ref="BR32:BU32" si="169">SUM(BQ32*1.03)</f>
        <v>4845.9285780242408</v>
      </c>
      <c r="BS32" s="149">
        <f t="shared" si="169"/>
        <v>4991.3064353649679</v>
      </c>
      <c r="BT32" s="149">
        <f t="shared" si="169"/>
        <v>5141.0456284259171</v>
      </c>
      <c r="BU32" s="149">
        <f t="shared" si="169"/>
        <v>5295.2769972786946</v>
      </c>
      <c r="BV32" s="526"/>
      <c r="BW32" s="527">
        <f t="shared" ref="BW32:BW35" si="170">SUM(L32*$BA$63)</f>
        <v>2694.9044752277973</v>
      </c>
      <c r="BX32" s="523">
        <f t="shared" ref="BX32:BX47" si="171">SUM(BW32-$BA32)</f>
        <v>-2532.6344438922029</v>
      </c>
      <c r="BY32" s="44">
        <f t="shared" ref="BY32:BY47" si="172">SUM(BW32-$BA32)/BW32</f>
        <v>-0.93978635130587407</v>
      </c>
      <c r="BZ32" s="149">
        <f>SUM($BA32-SUM($BA32*0.1))</f>
        <v>4704.7850272080004</v>
      </c>
      <c r="CA32" s="149">
        <f t="shared" ref="CA32:CD32" si="173">SUM(BZ32-SUM($BZ32*0.1))</f>
        <v>4234.3065244872005</v>
      </c>
      <c r="CB32" s="149">
        <f t="shared" si="173"/>
        <v>3763.8280217664005</v>
      </c>
      <c r="CC32" s="149">
        <f t="shared" si="173"/>
        <v>3293.3495190456006</v>
      </c>
      <c r="CD32" s="149">
        <f t="shared" si="173"/>
        <v>2822.8710163248006</v>
      </c>
      <c r="CE32" s="22"/>
      <c r="CF32" s="22"/>
      <c r="CG32" s="145"/>
    </row>
    <row r="33" spans="1:85" ht="15.75" customHeight="1" x14ac:dyDescent="0.5">
      <c r="A33" s="83" t="s">
        <v>131</v>
      </c>
      <c r="B33" s="85" t="s">
        <v>72</v>
      </c>
      <c r="C33" s="84"/>
      <c r="D33" s="62">
        <f>'Avg master'!H31</f>
        <v>20858.333333333332</v>
      </c>
      <c r="E33" s="66">
        <f t="shared" si="0"/>
        <v>7.7154690376347188E-2</v>
      </c>
      <c r="F33" s="77">
        <f t="shared" si="1"/>
        <v>0</v>
      </c>
      <c r="G33" s="84"/>
      <c r="H33" s="64">
        <v>14795</v>
      </c>
      <c r="I33" s="64">
        <v>9432</v>
      </c>
      <c r="J33" s="64">
        <v>7407</v>
      </c>
      <c r="K33" s="65">
        <f t="shared" si="2"/>
        <v>10544.666666666666</v>
      </c>
      <c r="L33" s="66">
        <f t="shared" si="3"/>
        <v>9.0558022231573637E-2</v>
      </c>
      <c r="M33" s="77">
        <f t="shared" si="4"/>
        <v>0</v>
      </c>
      <c r="N33" s="66"/>
      <c r="O33" s="65">
        <v>10034</v>
      </c>
      <c r="P33" s="66">
        <f t="shared" ref="P33:P38" si="174">SUM(O33/$O$60)</f>
        <v>0.10179774368963558</v>
      </c>
      <c r="Q33" s="77">
        <f t="shared" ref="Q33:Q38" si="175">SUM(P33*$Q$61)</f>
        <v>0</v>
      </c>
      <c r="R33" s="65"/>
      <c r="S33" s="66"/>
      <c r="T33" s="145">
        <v>59097</v>
      </c>
      <c r="U33" s="66">
        <f t="shared" si="7"/>
        <v>4.4622861052005261E-2</v>
      </c>
      <c r="V33" s="77">
        <f t="shared" si="8"/>
        <v>7093.7922052113981</v>
      </c>
      <c r="W33" s="77"/>
      <c r="X33" s="75">
        <v>56102</v>
      </c>
      <c r="Y33" s="77">
        <f t="shared" ref="Y33:Y38" si="176">SUM(X33*$Y$62)</f>
        <v>0</v>
      </c>
      <c r="Z33" s="77"/>
      <c r="AA33" s="65"/>
      <c r="AB33" s="65"/>
      <c r="AC33" s="77">
        <f t="shared" si="10"/>
        <v>519.51683333333335</v>
      </c>
      <c r="AD33" s="65"/>
      <c r="AE33" s="65"/>
      <c r="AF33" s="65">
        <v>129557</v>
      </c>
      <c r="AG33" s="66">
        <f t="shared" si="11"/>
        <v>0.1034524336159523</v>
      </c>
      <c r="AH33" s="77">
        <f t="shared" si="12"/>
        <v>0</v>
      </c>
      <c r="AI33" s="65"/>
      <c r="AJ33" s="65"/>
      <c r="AK33" s="145">
        <f>'Avg master'!T31</f>
        <v>3888</v>
      </c>
      <c r="AL33" s="145">
        <f>'Avg master'!U31</f>
        <v>7807.5</v>
      </c>
      <c r="AM33" s="65">
        <f t="shared" si="13"/>
        <v>3919.5</v>
      </c>
      <c r="AN33" s="524">
        <f t="shared" si="14"/>
        <v>0.4979827089337176</v>
      </c>
      <c r="AO33" s="66">
        <f t="shared" si="15"/>
        <v>9.2634339071936217E-2</v>
      </c>
      <c r="AP33" s="77">
        <f t="shared" si="16"/>
        <v>4222.0768675177678</v>
      </c>
      <c r="AQ33" s="76">
        <f t="shared" si="17"/>
        <v>11835.3859060625</v>
      </c>
      <c r="AR33" s="144">
        <f t="shared" si="18"/>
        <v>46.780181446887354</v>
      </c>
      <c r="AS33" s="120"/>
      <c r="AT33" s="120">
        <v>10000</v>
      </c>
      <c r="AU33" s="120">
        <v>10200</v>
      </c>
      <c r="AV33" s="145">
        <v>10500</v>
      </c>
      <c r="AW33" s="12"/>
      <c r="AX33" s="12"/>
      <c r="AY33" s="67">
        <v>12271.218120000003</v>
      </c>
      <c r="AZ33" s="22"/>
      <c r="BA33" s="68">
        <f t="shared" si="151"/>
        <v>13068.847297800003</v>
      </c>
      <c r="BB33" s="45">
        <f t="shared" si="162"/>
        <v>1.239379841101347</v>
      </c>
      <c r="BC33" s="22"/>
      <c r="BD33" s="46"/>
      <c r="BE33" s="146">
        <f t="shared" si="163"/>
        <v>8752.0733333333319</v>
      </c>
      <c r="BF33" s="523">
        <f t="shared" si="164"/>
        <v>-4316.7739644666708</v>
      </c>
      <c r="BG33" s="44">
        <f t="shared" si="165"/>
        <v>-0.49322872421849051</v>
      </c>
      <c r="BH33" s="149">
        <f>SUM($BA33+SUM($BA33*0.1))</f>
        <v>14375.732027580003</v>
      </c>
      <c r="BI33" s="149">
        <f t="shared" ref="BI33:BJ33" si="177">SUM(BH33+SUM($BZ33*0.1))</f>
        <v>15813.305230338003</v>
      </c>
      <c r="BJ33" s="149">
        <f t="shared" si="177"/>
        <v>17250.878433096004</v>
      </c>
      <c r="BK33" s="149">
        <f t="shared" ref="BK33:BL33" si="178">SUM(BJ33*1.03)</f>
        <v>17768.404786088886</v>
      </c>
      <c r="BL33" s="149">
        <f t="shared" si="178"/>
        <v>18301.456929671553</v>
      </c>
      <c r="BM33" s="46"/>
      <c r="BN33" s="146">
        <f>SUM(K33*$BN$2)+(12*250)</f>
        <v>8694.119999999999</v>
      </c>
      <c r="BO33" s="523">
        <f t="shared" si="167"/>
        <v>-4374.7272978000037</v>
      </c>
      <c r="BP33" s="44">
        <f t="shared" si="168"/>
        <v>-0.50318229996825492</v>
      </c>
      <c r="BQ33" s="149">
        <f>BN33</f>
        <v>8694.119999999999</v>
      </c>
      <c r="BR33" s="149">
        <f t="shared" ref="BR33:BU33" si="179">SUM(BQ33*1.03)</f>
        <v>8954.9435999999987</v>
      </c>
      <c r="BS33" s="149">
        <f t="shared" si="179"/>
        <v>9223.5919079999985</v>
      </c>
      <c r="BT33" s="149">
        <f t="shared" si="179"/>
        <v>9500.2996652399979</v>
      </c>
      <c r="BU33" s="149">
        <f t="shared" si="179"/>
        <v>9785.3086551971974</v>
      </c>
      <c r="BV33" s="526"/>
      <c r="BW33" s="527">
        <f t="shared" si="170"/>
        <v>19331.203666520665</v>
      </c>
      <c r="BX33" s="523">
        <f t="shared" si="171"/>
        <v>6262.3563687206624</v>
      </c>
      <c r="BY33" s="44">
        <f t="shared" si="172"/>
        <v>0.32395066943329121</v>
      </c>
      <c r="BZ33" s="149">
        <f>SUM($BA33+SUM($BA33*0.1))</f>
        <v>14375.732027580003</v>
      </c>
      <c r="CA33" s="149">
        <f t="shared" ref="CA33:CB33" si="180">SUM(BZ33+SUM($BZ33*0.1))</f>
        <v>15813.305230338003</v>
      </c>
      <c r="CB33" s="149">
        <f t="shared" si="180"/>
        <v>17250.878433096004</v>
      </c>
      <c r="CC33" s="149">
        <f t="shared" ref="CC33:CD33" si="181">SUM(CB33*1.03)</f>
        <v>17768.404786088886</v>
      </c>
      <c r="CD33" s="149">
        <f t="shared" si="181"/>
        <v>18301.456929671553</v>
      </c>
      <c r="CE33" s="22"/>
      <c r="CF33" s="149">
        <f t="shared" ref="CF33:CF38" si="182">SUM(T33*$CF$3)</f>
        <v>11819.400000000001</v>
      </c>
      <c r="CG33" s="145">
        <f t="shared" ref="CG33:CG38" si="183">SUM(CF33-BA33)</f>
        <v>-1249.4472978000013</v>
      </c>
    </row>
    <row r="34" spans="1:85" ht="15.75" customHeight="1" x14ac:dyDescent="0.5">
      <c r="A34" s="83" t="s">
        <v>133</v>
      </c>
      <c r="B34" s="85" t="s">
        <v>135</v>
      </c>
      <c r="C34" s="85"/>
      <c r="D34" s="62">
        <f>'Avg master'!H32</f>
        <v>8105</v>
      </c>
      <c r="E34" s="66">
        <f t="shared" si="0"/>
        <v>2.9980284402730834E-2</v>
      </c>
      <c r="F34" s="77">
        <f t="shared" si="1"/>
        <v>0</v>
      </c>
      <c r="G34" s="85"/>
      <c r="H34" s="64">
        <v>3859</v>
      </c>
      <c r="I34" s="64">
        <v>3089</v>
      </c>
      <c r="J34" s="64">
        <v>2117</v>
      </c>
      <c r="K34" s="65">
        <f t="shared" si="2"/>
        <v>3021.6666666666665</v>
      </c>
      <c r="L34" s="66">
        <f t="shared" si="3"/>
        <v>2.5950195091648701E-2</v>
      </c>
      <c r="M34" s="77">
        <f t="shared" si="4"/>
        <v>0</v>
      </c>
      <c r="N34" s="66"/>
      <c r="O34" s="65">
        <v>3334</v>
      </c>
      <c r="P34" s="66">
        <f t="shared" si="174"/>
        <v>3.3824364905445985E-2</v>
      </c>
      <c r="Q34" s="77">
        <f t="shared" si="175"/>
        <v>0</v>
      </c>
      <c r="R34" s="65"/>
      <c r="S34" s="66"/>
      <c r="T34" s="145">
        <v>48109</v>
      </c>
      <c r="U34" s="66">
        <f t="shared" si="7"/>
        <v>3.632606092273586E-2</v>
      </c>
      <c r="V34" s="77">
        <f t="shared" si="8"/>
        <v>5774.8320422443639</v>
      </c>
      <c r="W34" s="77"/>
      <c r="X34" s="75">
        <v>24794</v>
      </c>
      <c r="Y34" s="77">
        <f t="shared" si="176"/>
        <v>0</v>
      </c>
      <c r="Z34" s="77"/>
      <c r="AA34" s="65"/>
      <c r="AB34" s="65"/>
      <c r="AC34" s="77">
        <f t="shared" si="10"/>
        <v>519.51683333333335</v>
      </c>
      <c r="AD34" s="65"/>
      <c r="AE34" s="65"/>
      <c r="AF34" s="65">
        <v>38317</v>
      </c>
      <c r="AG34" s="66">
        <f t="shared" si="11"/>
        <v>3.0596470270710531E-2</v>
      </c>
      <c r="AH34" s="77">
        <f t="shared" si="12"/>
        <v>0</v>
      </c>
      <c r="AI34" s="65"/>
      <c r="AJ34" s="65"/>
      <c r="AK34" s="145">
        <f>'Avg master'!T32</f>
        <v>2209.5</v>
      </c>
      <c r="AL34" s="145">
        <f>'Avg master'!U32</f>
        <v>3397</v>
      </c>
      <c r="AM34" s="65">
        <f t="shared" si="13"/>
        <v>1187.5</v>
      </c>
      <c r="AN34" s="524">
        <f t="shared" si="14"/>
        <v>0.6504268472181336</v>
      </c>
      <c r="AO34" s="66">
        <f t="shared" si="15"/>
        <v>4.0304687778080987E-2</v>
      </c>
      <c r="AP34" s="77">
        <f t="shared" si="16"/>
        <v>1707.5390722328345</v>
      </c>
      <c r="AQ34" s="76">
        <f t="shared" si="17"/>
        <v>8001.8879478105318</v>
      </c>
      <c r="AR34" s="144">
        <f t="shared" si="18"/>
        <v>31.628015603994196</v>
      </c>
      <c r="AS34" s="120"/>
      <c r="AT34" s="120">
        <v>8000</v>
      </c>
      <c r="AU34" s="120">
        <v>8140</v>
      </c>
      <c r="AV34" s="145">
        <v>8380</v>
      </c>
      <c r="AW34" s="12"/>
      <c r="AX34" s="12"/>
      <c r="AY34" s="67">
        <v>9793.6007472000019</v>
      </c>
      <c r="AZ34" s="22"/>
      <c r="BA34" s="68">
        <f t="shared" si="151"/>
        <v>10430.184795768002</v>
      </c>
      <c r="BB34" s="525">
        <f t="shared" si="162"/>
        <v>3.4517986086380592</v>
      </c>
      <c r="BC34" s="45">
        <f>AVERAGE(BB31:BB34)</f>
        <v>2.7491091247702784</v>
      </c>
      <c r="BD34" s="46"/>
      <c r="BE34" s="146">
        <f t="shared" si="163"/>
        <v>2507.9833333333331</v>
      </c>
      <c r="BF34" s="523">
        <f t="shared" si="164"/>
        <v>-7922.2014624346684</v>
      </c>
      <c r="BG34" s="44">
        <f t="shared" si="165"/>
        <v>-3.1587935043832038</v>
      </c>
      <c r="BH34" s="149">
        <f t="shared" ref="BH34:BH36" si="184">SUM($BA34-SUM($BA34*0.1))</f>
        <v>9387.166316191202</v>
      </c>
      <c r="BI34" s="149">
        <f t="shared" ref="BI34:BK34" si="185">SUM(BH34-SUM($BZ34*0.1))</f>
        <v>8448.4496845720823</v>
      </c>
      <c r="BJ34" s="149">
        <f t="shared" si="185"/>
        <v>7509.7330529529618</v>
      </c>
      <c r="BK34" s="149">
        <f t="shared" si="185"/>
        <v>6571.0164213338412</v>
      </c>
      <c r="BL34" s="149">
        <f>SUM(BK34*1.03)</f>
        <v>6768.1469139738565</v>
      </c>
      <c r="BM34" s="46"/>
      <c r="BN34" s="146">
        <f t="shared" ref="BN34:BN35" si="186">SUM(K34*$BN$2)+(12*200)</f>
        <v>4031.7</v>
      </c>
      <c r="BO34" s="523">
        <f t="shared" si="167"/>
        <v>-6398.4847957680022</v>
      </c>
      <c r="BP34" s="44">
        <f t="shared" si="168"/>
        <v>-1.587043876222934</v>
      </c>
      <c r="BQ34" s="149">
        <f t="shared" ref="BQ34:BQ36" si="187">SUM($BA34-SUM($BA34*0.1))</f>
        <v>9387.166316191202</v>
      </c>
      <c r="BR34" s="149">
        <f t="shared" ref="BR34:BT34" si="188">SUM(BQ34-SUM($BZ34*0.1))</f>
        <v>8448.4496845720823</v>
      </c>
      <c r="BS34" s="149">
        <f t="shared" si="188"/>
        <v>7509.7330529529618</v>
      </c>
      <c r="BT34" s="149">
        <f t="shared" si="188"/>
        <v>6571.0164213338412</v>
      </c>
      <c r="BU34" s="149">
        <f>SUM(BT34*1.03)</f>
        <v>6768.1469139738565</v>
      </c>
      <c r="BV34" s="526"/>
      <c r="BW34" s="527">
        <f t="shared" si="170"/>
        <v>5539.5258657460281</v>
      </c>
      <c r="BX34" s="523">
        <f t="shared" si="171"/>
        <v>-4890.6589300219739</v>
      </c>
      <c r="BY34" s="44">
        <f t="shared" si="172"/>
        <v>-0.88286597960732349</v>
      </c>
      <c r="BZ34" s="149">
        <f t="shared" ref="BZ34:BZ36" si="189">SUM($BA34-SUM($BA34*0.1))</f>
        <v>9387.166316191202</v>
      </c>
      <c r="CA34" s="149">
        <f t="shared" ref="CA34:CB34" si="190">SUM(BZ34-SUM($BZ34*0.1))</f>
        <v>8448.4496845720823</v>
      </c>
      <c r="CB34" s="149">
        <f t="shared" si="190"/>
        <v>7509.7330529529618</v>
      </c>
      <c r="CC34" s="149">
        <f t="shared" ref="CC34:CD34" si="191">SUM(CB34*1.03)</f>
        <v>7735.0250445415504</v>
      </c>
      <c r="CD34" s="149">
        <f t="shared" si="191"/>
        <v>7967.0757958777967</v>
      </c>
      <c r="CE34" s="22"/>
      <c r="CF34" s="149">
        <f t="shared" si="182"/>
        <v>9621.8000000000011</v>
      </c>
      <c r="CG34" s="145">
        <f t="shared" si="183"/>
        <v>-808.38479576800091</v>
      </c>
    </row>
    <row r="35" spans="1:85" ht="15.75" customHeight="1" x14ac:dyDescent="0.5">
      <c r="A35" s="80" t="s">
        <v>136</v>
      </c>
      <c r="B35" s="82" t="s">
        <v>135</v>
      </c>
      <c r="C35" s="85"/>
      <c r="D35" s="62">
        <f>'Avg master'!H33</f>
        <v>10140.333333333334</v>
      </c>
      <c r="E35" s="66">
        <f t="shared" si="0"/>
        <v>3.7508954629466372E-2</v>
      </c>
      <c r="F35" s="77">
        <f t="shared" si="1"/>
        <v>0</v>
      </c>
      <c r="G35" s="85"/>
      <c r="H35" s="64">
        <v>4864</v>
      </c>
      <c r="I35" s="64">
        <v>4164</v>
      </c>
      <c r="J35" s="64">
        <v>3092</v>
      </c>
      <c r="K35" s="65">
        <f t="shared" si="2"/>
        <v>4040</v>
      </c>
      <c r="L35" s="66">
        <f t="shared" si="3"/>
        <v>3.4695682792143662E-2</v>
      </c>
      <c r="M35" s="77">
        <f t="shared" si="4"/>
        <v>0</v>
      </c>
      <c r="N35" s="66"/>
      <c r="O35" s="65">
        <v>4100</v>
      </c>
      <c r="P35" s="66">
        <f t="shared" si="174"/>
        <v>4.1595649703757814E-2</v>
      </c>
      <c r="Q35" s="77">
        <f t="shared" si="175"/>
        <v>0</v>
      </c>
      <c r="R35" s="65"/>
      <c r="S35" s="66"/>
      <c r="T35" s="145">
        <v>33599</v>
      </c>
      <c r="U35" s="66">
        <f t="shared" si="7"/>
        <v>2.5369875094951092E-2</v>
      </c>
      <c r="V35" s="77">
        <f t="shared" si="8"/>
        <v>4033.1036144457039</v>
      </c>
      <c r="W35" s="77"/>
      <c r="X35" s="75">
        <v>18600</v>
      </c>
      <c r="Y35" s="77">
        <f t="shared" si="176"/>
        <v>0</v>
      </c>
      <c r="Z35" s="77"/>
      <c r="AA35" s="65"/>
      <c r="AB35" s="65"/>
      <c r="AC35" s="77">
        <f t="shared" si="10"/>
        <v>519.51683333333335</v>
      </c>
      <c r="AD35" s="65"/>
      <c r="AE35" s="65"/>
      <c r="AF35" s="65">
        <v>46073</v>
      </c>
      <c r="AG35" s="66">
        <f t="shared" si="11"/>
        <v>3.6789706260470449E-2</v>
      </c>
      <c r="AH35" s="77">
        <f t="shared" si="12"/>
        <v>0</v>
      </c>
      <c r="AI35" s="65"/>
      <c r="AJ35" s="65"/>
      <c r="AK35" s="145">
        <f>'Avg master'!T33</f>
        <v>3020</v>
      </c>
      <c r="AL35" s="145">
        <f>'Avg master'!U33</f>
        <v>3735</v>
      </c>
      <c r="AM35" s="65">
        <f t="shared" si="13"/>
        <v>715</v>
      </c>
      <c r="AN35" s="524">
        <f t="shared" si="14"/>
        <v>0.80856760374832659</v>
      </c>
      <c r="AO35" s="66">
        <f t="shared" si="15"/>
        <v>4.4314986414816751E-2</v>
      </c>
      <c r="AP35" s="77">
        <f t="shared" si="16"/>
        <v>1729.7745245185863</v>
      </c>
      <c r="AQ35" s="76">
        <f t="shared" si="17"/>
        <v>6282.3949722976231</v>
      </c>
      <c r="AR35" s="144">
        <f t="shared" si="18"/>
        <v>24.831600681018273</v>
      </c>
      <c r="AS35" s="120"/>
      <c r="AT35" s="120">
        <v>8000</v>
      </c>
      <c r="AU35" s="120">
        <v>8140</v>
      </c>
      <c r="AV35" s="145">
        <v>8380</v>
      </c>
      <c r="AW35" s="12"/>
      <c r="AX35" s="12"/>
      <c r="AY35" s="67">
        <v>9793.6007472000019</v>
      </c>
      <c r="AZ35" s="22"/>
      <c r="BA35" s="68">
        <f t="shared" si="151"/>
        <v>10430.184795768002</v>
      </c>
      <c r="BB35" s="525">
        <f t="shared" si="162"/>
        <v>2.581728909843565</v>
      </c>
      <c r="BC35" s="22"/>
      <c r="BD35" s="46"/>
      <c r="BE35" s="146">
        <f t="shared" si="163"/>
        <v>3353.2</v>
      </c>
      <c r="BF35" s="523">
        <f t="shared" si="164"/>
        <v>-7076.9847957680022</v>
      </c>
      <c r="BG35" s="44">
        <f t="shared" si="165"/>
        <v>-2.1105167588476688</v>
      </c>
      <c r="BH35" s="149">
        <f t="shared" si="184"/>
        <v>9387.166316191202</v>
      </c>
      <c r="BI35" s="149">
        <f t="shared" ref="BI35:BJ35" si="192">SUM(BH35-SUM($BZ35*0.1))</f>
        <v>8448.4496845720823</v>
      </c>
      <c r="BJ35" s="149">
        <f t="shared" si="192"/>
        <v>7509.7330529529618</v>
      </c>
      <c r="BK35" s="149">
        <f t="shared" ref="BK35:BL35" si="193">SUM(BJ35*1.03)</f>
        <v>7735.0250445415504</v>
      </c>
      <c r="BL35" s="149">
        <f t="shared" si="193"/>
        <v>7967.0757958777967</v>
      </c>
      <c r="BM35" s="46"/>
      <c r="BN35" s="146">
        <f t="shared" si="186"/>
        <v>4581.6000000000004</v>
      </c>
      <c r="BO35" s="523">
        <f t="shared" si="167"/>
        <v>-5848.5847957680016</v>
      </c>
      <c r="BP35" s="44">
        <f t="shared" si="168"/>
        <v>-1.2765376278522789</v>
      </c>
      <c r="BQ35" s="149">
        <f t="shared" si="187"/>
        <v>9387.166316191202</v>
      </c>
      <c r="BR35" s="149">
        <f t="shared" ref="BR35:BS35" si="194">SUM(BQ35-SUM($BZ35*0.1))</f>
        <v>8448.4496845720823</v>
      </c>
      <c r="BS35" s="149">
        <f t="shared" si="194"/>
        <v>7509.7330529529618</v>
      </c>
      <c r="BT35" s="149">
        <f t="shared" ref="BT35:BU35" si="195">SUM(BS35*1.03)</f>
        <v>7735.0250445415504</v>
      </c>
      <c r="BU35" s="149">
        <f t="shared" si="195"/>
        <v>7967.0757958777967</v>
      </c>
      <c r="BV35" s="526"/>
      <c r="BW35" s="527">
        <f t="shared" si="170"/>
        <v>7406.4041360002057</v>
      </c>
      <c r="BX35" s="523">
        <f t="shared" si="171"/>
        <v>-3023.7806597677964</v>
      </c>
      <c r="BY35" s="44">
        <f t="shared" si="172"/>
        <v>-0.40826568524260615</v>
      </c>
      <c r="BZ35" s="149">
        <f t="shared" si="189"/>
        <v>9387.166316191202</v>
      </c>
      <c r="CA35" s="149">
        <f t="shared" ref="CA35:CA36" si="196">SUM(BZ35-SUM($BZ35*0.1))</f>
        <v>8448.4496845720823</v>
      </c>
      <c r="CB35" s="149">
        <f t="shared" ref="CB35:CD35" si="197">SUM(CA35*1.03)</f>
        <v>8701.9031751092443</v>
      </c>
      <c r="CC35" s="149">
        <f t="shared" si="197"/>
        <v>8962.9602703625224</v>
      </c>
      <c r="CD35" s="149">
        <f t="shared" si="197"/>
        <v>9231.8490784733985</v>
      </c>
      <c r="CE35" s="22"/>
      <c r="CF35" s="149">
        <f t="shared" si="182"/>
        <v>6719.8</v>
      </c>
      <c r="CG35" s="145">
        <f t="shared" si="183"/>
        <v>-3710.3847957680018</v>
      </c>
    </row>
    <row r="36" spans="1:85" ht="15.75" customHeight="1" x14ac:dyDescent="0.5">
      <c r="A36" s="83" t="s">
        <v>138</v>
      </c>
      <c r="B36" s="61" t="s">
        <v>64</v>
      </c>
      <c r="C36" s="85"/>
      <c r="D36" s="62">
        <f>'Avg master'!H34</f>
        <v>699</v>
      </c>
      <c r="E36" s="66">
        <f t="shared" si="0"/>
        <v>2.5855914617530971E-3</v>
      </c>
      <c r="F36" s="77">
        <f t="shared" si="1"/>
        <v>0</v>
      </c>
      <c r="G36" s="85"/>
      <c r="H36" s="64">
        <v>126</v>
      </c>
      <c r="I36" s="64">
        <v>126</v>
      </c>
      <c r="J36" s="64">
        <v>112</v>
      </c>
      <c r="K36" s="65">
        <f t="shared" si="2"/>
        <v>121.33333333333333</v>
      </c>
      <c r="L36" s="66">
        <f t="shared" si="3"/>
        <v>1.0420155558036545E-3</v>
      </c>
      <c r="M36" s="77">
        <f t="shared" si="4"/>
        <v>0</v>
      </c>
      <c r="N36" s="66"/>
      <c r="O36" s="65">
        <v>101</v>
      </c>
      <c r="P36" s="66">
        <f t="shared" si="174"/>
        <v>1.0246733219706193E-3</v>
      </c>
      <c r="Q36" s="77">
        <f t="shared" si="175"/>
        <v>0</v>
      </c>
      <c r="R36" s="65"/>
      <c r="S36" s="66"/>
      <c r="T36" s="145">
        <v>6254</v>
      </c>
      <c r="U36" s="66">
        <f t="shared" si="7"/>
        <v>4.7222595566482374E-3</v>
      </c>
      <c r="V36" s="77">
        <f t="shared" si="8"/>
        <v>750.70775930067657</v>
      </c>
      <c r="W36" s="77"/>
      <c r="X36" s="75">
        <v>2772</v>
      </c>
      <c r="Y36" s="77">
        <f t="shared" si="176"/>
        <v>0</v>
      </c>
      <c r="Z36" s="77"/>
      <c r="AA36" s="65"/>
      <c r="AB36" s="65"/>
      <c r="AC36" s="77">
        <f t="shared" si="10"/>
        <v>519.51683333333335</v>
      </c>
      <c r="AD36" s="65"/>
      <c r="AE36" s="65"/>
      <c r="AF36" s="65">
        <v>2263</v>
      </c>
      <c r="AG36" s="66">
        <f t="shared" si="11"/>
        <v>1.8070259211999354E-3</v>
      </c>
      <c r="AH36" s="77">
        <f t="shared" si="12"/>
        <v>0</v>
      </c>
      <c r="AI36" s="65"/>
      <c r="AJ36" s="65"/>
      <c r="AK36" s="145">
        <f>'Avg master'!T34</f>
        <v>309</v>
      </c>
      <c r="AL36" s="145">
        <f>'Avg master'!U34</f>
        <v>245.5</v>
      </c>
      <c r="AM36" s="65">
        <f t="shared" si="13"/>
        <v>-63.5</v>
      </c>
      <c r="AN36" s="524">
        <f t="shared" si="14"/>
        <v>1.2586558044806517</v>
      </c>
      <c r="AO36" s="66">
        <f t="shared" si="15"/>
        <v>2.9128056666231626E-3</v>
      </c>
      <c r="AP36" s="77">
        <f t="shared" si="16"/>
        <v>86.073198331810687</v>
      </c>
      <c r="AQ36" s="76">
        <f t="shared" si="17"/>
        <v>1356.2977909658207</v>
      </c>
      <c r="AR36" s="144">
        <f t="shared" si="18"/>
        <v>5.3608608338569992</v>
      </c>
      <c r="AS36" s="120"/>
      <c r="AT36" s="120">
        <v>300</v>
      </c>
      <c r="AU36" s="120">
        <v>305</v>
      </c>
      <c r="AV36" s="145">
        <v>315</v>
      </c>
      <c r="AW36" s="12"/>
      <c r="AX36" s="12"/>
      <c r="AY36" s="67">
        <v>1227.1218120000001</v>
      </c>
      <c r="AZ36" s="22"/>
      <c r="BA36" s="68">
        <f t="shared" si="151"/>
        <v>1306.88472978</v>
      </c>
      <c r="BB36" s="525">
        <f t="shared" si="162"/>
        <v>10.771027992692309</v>
      </c>
      <c r="BC36" s="22"/>
      <c r="BD36" s="46"/>
      <c r="BE36" s="146">
        <f t="shared" si="163"/>
        <v>100.70666666666666</v>
      </c>
      <c r="BF36" s="523">
        <f t="shared" si="164"/>
        <v>-1206.1780631133333</v>
      </c>
      <c r="BG36" s="44">
        <f t="shared" si="165"/>
        <v>-11.977142159870251</v>
      </c>
      <c r="BH36" s="149">
        <f t="shared" si="184"/>
        <v>1176.1962568020001</v>
      </c>
      <c r="BI36" s="149">
        <f t="shared" ref="BI36:BL36" si="198">SUM(BH36-SUM($BZ36*0.1))</f>
        <v>1058.5766311218001</v>
      </c>
      <c r="BJ36" s="149">
        <f t="shared" si="198"/>
        <v>940.95700544160013</v>
      </c>
      <c r="BK36" s="149">
        <f t="shared" si="198"/>
        <v>823.33737976140014</v>
      </c>
      <c r="BL36" s="149">
        <f t="shared" si="198"/>
        <v>705.71775408120016</v>
      </c>
      <c r="BM36" s="46"/>
      <c r="BN36" s="146">
        <f>SUM(K36*$BN$2)+(12*50)</f>
        <v>665.52</v>
      </c>
      <c r="BO36" s="523">
        <f t="shared" si="167"/>
        <v>-641.36472978000006</v>
      </c>
      <c r="BP36" s="44">
        <f t="shared" si="168"/>
        <v>-0.9637046666967185</v>
      </c>
      <c r="BQ36" s="149">
        <f t="shared" si="187"/>
        <v>1176.1962568020001</v>
      </c>
      <c r="BR36" s="149">
        <f t="shared" ref="BR36:BS36" si="199">SUM(BQ36-SUM($BZ36*0.1))</f>
        <v>1058.5766311218001</v>
      </c>
      <c r="BS36" s="149">
        <f t="shared" si="199"/>
        <v>940.95700544160013</v>
      </c>
      <c r="BT36" s="149">
        <f t="shared" ref="BT36:BU36" si="200">SUM(BS36*1.03)</f>
        <v>969.18571560484816</v>
      </c>
      <c r="BU36" s="149">
        <f t="shared" si="200"/>
        <v>998.26128707299358</v>
      </c>
      <c r="BV36" s="526"/>
      <c r="BW36" s="527">
        <f>SUM(L36*$BA$63)+$BW$2</f>
        <v>672.43655986007218</v>
      </c>
      <c r="BX36" s="523">
        <f t="shared" si="171"/>
        <v>-634.44816991992786</v>
      </c>
      <c r="BY36" s="44">
        <f t="shared" si="172"/>
        <v>-0.94350635850607323</v>
      </c>
      <c r="BZ36" s="149">
        <f t="shared" si="189"/>
        <v>1176.1962568020001</v>
      </c>
      <c r="CA36" s="149">
        <f t="shared" si="196"/>
        <v>1058.5766311218001</v>
      </c>
      <c r="CB36" s="149">
        <f t="shared" ref="CB36:CD36" si="201">SUM(CA36-SUM($BZ36*0.1))</f>
        <v>940.95700544160013</v>
      </c>
      <c r="CC36" s="149">
        <f t="shared" si="201"/>
        <v>823.33737976140014</v>
      </c>
      <c r="CD36" s="149">
        <f t="shared" si="201"/>
        <v>705.71775408120016</v>
      </c>
      <c r="CE36" s="22"/>
      <c r="CF36" s="149">
        <f t="shared" si="182"/>
        <v>1250.8000000000002</v>
      </c>
      <c r="CG36" s="145">
        <f t="shared" si="183"/>
        <v>-56.084729779999861</v>
      </c>
    </row>
    <row r="37" spans="1:85" ht="15.75" customHeight="1" x14ac:dyDescent="0.5">
      <c r="A37" s="83" t="s">
        <v>140</v>
      </c>
      <c r="B37" s="85" t="s">
        <v>92</v>
      </c>
      <c r="C37" s="61"/>
      <c r="D37" s="62">
        <f>'Avg master'!H35</f>
        <v>3305</v>
      </c>
      <c r="E37" s="66">
        <f t="shared" si="0"/>
        <v>1.2225149901422011E-2</v>
      </c>
      <c r="F37" s="77">
        <f t="shared" si="1"/>
        <v>0</v>
      </c>
      <c r="G37" s="61"/>
      <c r="H37" s="64">
        <v>1348</v>
      </c>
      <c r="I37" s="64">
        <v>1119</v>
      </c>
      <c r="J37" s="64">
        <v>807</v>
      </c>
      <c r="K37" s="65">
        <f t="shared" si="2"/>
        <v>1091.3333333333333</v>
      </c>
      <c r="L37" s="66">
        <f t="shared" si="3"/>
        <v>9.3724146420361663E-3</v>
      </c>
      <c r="M37" s="77">
        <f t="shared" si="4"/>
        <v>0</v>
      </c>
      <c r="N37" s="66"/>
      <c r="O37" s="65">
        <v>1189</v>
      </c>
      <c r="P37" s="66">
        <f t="shared" si="174"/>
        <v>1.2062738414089766E-2</v>
      </c>
      <c r="Q37" s="77">
        <f t="shared" si="175"/>
        <v>0</v>
      </c>
      <c r="R37" s="65"/>
      <c r="S37" s="66"/>
      <c r="T37" s="145">
        <v>28221</v>
      </c>
      <c r="U37" s="66">
        <f t="shared" si="7"/>
        <v>2.1309064110676353E-2</v>
      </c>
      <c r="V37" s="77">
        <f t="shared" si="8"/>
        <v>3387.5477574711213</v>
      </c>
      <c r="W37" s="77"/>
      <c r="X37" s="75">
        <v>6100</v>
      </c>
      <c r="Y37" s="77">
        <f t="shared" si="176"/>
        <v>0</v>
      </c>
      <c r="Z37" s="77"/>
      <c r="AA37" s="65"/>
      <c r="AB37" s="65"/>
      <c r="AC37" s="77">
        <f t="shared" si="10"/>
        <v>519.51683333333335</v>
      </c>
      <c r="AD37" s="65"/>
      <c r="AE37" s="65"/>
      <c r="AF37" s="65">
        <v>14272</v>
      </c>
      <c r="AG37" s="66">
        <f t="shared" si="11"/>
        <v>1.1396320789821246E-2</v>
      </c>
      <c r="AH37" s="77">
        <f t="shared" si="12"/>
        <v>0</v>
      </c>
      <c r="AI37" s="65"/>
      <c r="AJ37" s="65"/>
      <c r="AK37" s="145">
        <f>'Avg master'!T35</f>
        <v>952.5</v>
      </c>
      <c r="AL37" s="145">
        <f>'Avg master'!U35</f>
        <v>1282.5</v>
      </c>
      <c r="AM37" s="65">
        <f t="shared" si="13"/>
        <v>330</v>
      </c>
      <c r="AN37" s="524">
        <f t="shared" si="14"/>
        <v>0.74269005847953218</v>
      </c>
      <c r="AO37" s="66">
        <f t="shared" si="15"/>
        <v>1.5216591720750329E-2</v>
      </c>
      <c r="AP37" s="77">
        <f t="shared" si="16"/>
        <v>615.08071022626154</v>
      </c>
      <c r="AQ37" s="76">
        <f t="shared" si="17"/>
        <v>4522.1453010307159</v>
      </c>
      <c r="AR37" s="144">
        <f t="shared" si="18"/>
        <v>17.874092098935638</v>
      </c>
      <c r="AS37" s="120"/>
      <c r="AT37" s="120">
        <v>1350</v>
      </c>
      <c r="AU37" s="120">
        <v>1375</v>
      </c>
      <c r="AV37" s="145">
        <v>1420</v>
      </c>
      <c r="AW37" s="12"/>
      <c r="AX37" s="12"/>
      <c r="AY37" s="67">
        <v>1659.5361648000001</v>
      </c>
      <c r="AZ37" s="22"/>
      <c r="BA37" s="68">
        <f t="shared" si="151"/>
        <v>1767.4060155120001</v>
      </c>
      <c r="BB37" s="45">
        <f t="shared" si="162"/>
        <v>1.6194923782944413</v>
      </c>
      <c r="BC37" s="22"/>
      <c r="BD37" s="46"/>
      <c r="BE37" s="146">
        <f t="shared" si="163"/>
        <v>905.80666666666662</v>
      </c>
      <c r="BF37" s="523">
        <f t="shared" si="164"/>
        <v>-861.59934884533345</v>
      </c>
      <c r="BG37" s="44">
        <f t="shared" si="165"/>
        <v>-0.9511956364993267</v>
      </c>
      <c r="BH37" s="149">
        <f t="shared" ref="BH37:BH38" si="202">SUM($BA37+SUM($BA37*0.1))</f>
        <v>1944.1466170632002</v>
      </c>
      <c r="BI37" s="149">
        <f t="shared" ref="BI37:BL37" si="203">SUM(BH37+SUM($BZ37*0.1))</f>
        <v>2138.5612787695204</v>
      </c>
      <c r="BJ37" s="149">
        <f t="shared" si="203"/>
        <v>2332.9759404758406</v>
      </c>
      <c r="BK37" s="149">
        <f t="shared" si="203"/>
        <v>2527.3906021821608</v>
      </c>
      <c r="BL37" s="149">
        <f t="shared" si="203"/>
        <v>2721.805263888481</v>
      </c>
      <c r="BM37" s="46"/>
      <c r="BN37" s="146">
        <f>SUM(K37*$BN$2)+(12*100)</f>
        <v>1789.3200000000002</v>
      </c>
      <c r="BO37" s="523">
        <f t="shared" si="167"/>
        <v>21.913984488000096</v>
      </c>
      <c r="BP37" s="44">
        <f t="shared" si="168"/>
        <v>1.2247101964992341E-2</v>
      </c>
      <c r="BQ37" s="149">
        <f t="shared" ref="BQ37:BQ38" si="204">SUM($BA37+SUM($BA37*0.1))</f>
        <v>1944.1466170632002</v>
      </c>
      <c r="BR37" s="149">
        <f t="shared" ref="BR37:BU37" si="205">SUM(BQ37+SUM($BZ37*0.1))</f>
        <v>2138.5612787695204</v>
      </c>
      <c r="BS37" s="149">
        <f t="shared" si="205"/>
        <v>2332.9759404758406</v>
      </c>
      <c r="BT37" s="149">
        <f t="shared" si="205"/>
        <v>2527.3906021821608</v>
      </c>
      <c r="BU37" s="348">
        <f t="shared" si="205"/>
        <v>2721.805263888481</v>
      </c>
      <c r="BV37" s="526"/>
      <c r="BW37" s="527">
        <f t="shared" ref="BW37:BW38" si="206">SUM(L37*$BA$63)</f>
        <v>2000.7068598403193</v>
      </c>
      <c r="BX37" s="523">
        <f t="shared" si="171"/>
        <v>233.30084432831927</v>
      </c>
      <c r="BY37" s="44">
        <f t="shared" si="172"/>
        <v>0.11660920898073969</v>
      </c>
      <c r="BZ37" s="149">
        <f t="shared" ref="BZ37:BZ38" si="207">SUM($BA37+SUM($BA37*0.1))</f>
        <v>1944.1466170632002</v>
      </c>
      <c r="CA37" s="149">
        <f t="shared" ref="CA37:CC37" si="208">SUM(BZ37+SUM($BZ37*0.1))</f>
        <v>2138.5612787695204</v>
      </c>
      <c r="CB37" s="149">
        <f t="shared" si="208"/>
        <v>2332.9759404758406</v>
      </c>
      <c r="CC37" s="149">
        <f t="shared" si="208"/>
        <v>2527.3906021821608</v>
      </c>
      <c r="CD37" s="149">
        <f>SUM(CC37*1.03)</f>
        <v>2603.2123202476255</v>
      </c>
      <c r="CE37" s="22"/>
      <c r="CF37" s="149">
        <f t="shared" si="182"/>
        <v>5644.2000000000007</v>
      </c>
      <c r="CG37" s="145">
        <f t="shared" si="183"/>
        <v>3876.7939844880007</v>
      </c>
    </row>
    <row r="38" spans="1:85" ht="15.75" customHeight="1" x14ac:dyDescent="0.5">
      <c r="A38" s="83" t="s">
        <v>142</v>
      </c>
      <c r="B38" s="85" t="s">
        <v>72</v>
      </c>
      <c r="C38" s="85"/>
      <c r="D38" s="62">
        <f>'Avg master'!H36</f>
        <v>26715</v>
      </c>
      <c r="E38" s="66">
        <f t="shared" si="0"/>
        <v>9.8818420458846909E-2</v>
      </c>
      <c r="F38" s="77">
        <f t="shared" si="1"/>
        <v>0</v>
      </c>
      <c r="G38" s="85"/>
      <c r="H38" s="64">
        <v>7591</v>
      </c>
      <c r="I38" s="64">
        <v>5625</v>
      </c>
      <c r="J38" s="64">
        <v>3928</v>
      </c>
      <c r="K38" s="65">
        <f t="shared" si="2"/>
        <v>5714.666666666667</v>
      </c>
      <c r="L38" s="66">
        <f t="shared" si="3"/>
        <v>4.9077787606312782E-2</v>
      </c>
      <c r="M38" s="77">
        <f t="shared" si="4"/>
        <v>0</v>
      </c>
      <c r="N38" s="66"/>
      <c r="O38" s="65">
        <v>6007</v>
      </c>
      <c r="P38" s="66">
        <f t="shared" si="174"/>
        <v>6.0942699456212973E-2</v>
      </c>
      <c r="Q38" s="77">
        <f t="shared" si="175"/>
        <v>0</v>
      </c>
      <c r="R38" s="65"/>
      <c r="S38" s="66"/>
      <c r="T38" s="145">
        <v>122264</v>
      </c>
      <c r="U38" s="66">
        <f t="shared" si="7"/>
        <v>9.2318890699398803E-2</v>
      </c>
      <c r="V38" s="77">
        <f t="shared" si="8"/>
        <v>14676.132632417321</v>
      </c>
      <c r="W38" s="77"/>
      <c r="X38" s="75">
        <v>39298</v>
      </c>
      <c r="Y38" s="77">
        <f t="shared" si="176"/>
        <v>0</v>
      </c>
      <c r="Z38" s="77"/>
      <c r="AA38" s="65"/>
      <c r="AB38" s="65"/>
      <c r="AC38" s="77">
        <f t="shared" si="10"/>
        <v>519.51683333333335</v>
      </c>
      <c r="AD38" s="65"/>
      <c r="AE38" s="65"/>
      <c r="AF38" s="65">
        <v>78418</v>
      </c>
      <c r="AG38" s="66">
        <f t="shared" si="11"/>
        <v>6.2617480640148715E-2</v>
      </c>
      <c r="AH38" s="77">
        <f t="shared" si="12"/>
        <v>0</v>
      </c>
      <c r="AI38" s="65"/>
      <c r="AJ38" s="65"/>
      <c r="AK38" s="145">
        <f>'Avg master'!T36</f>
        <v>4688</v>
      </c>
      <c r="AL38" s="145">
        <f>'Avg master'!U36</f>
        <v>3140.5</v>
      </c>
      <c r="AM38" s="65">
        <f t="shared" si="13"/>
        <v>-1547.5</v>
      </c>
      <c r="AN38" s="524">
        <f t="shared" si="14"/>
        <v>1.4927559305843019</v>
      </c>
      <c r="AO38" s="66">
        <f t="shared" si="15"/>
        <v>3.7261369433930921E-2</v>
      </c>
      <c r="AP38" s="77">
        <f t="shared" si="16"/>
        <v>917.27293018758223</v>
      </c>
      <c r="AQ38" s="76">
        <f t="shared" si="17"/>
        <v>16112.922395938236</v>
      </c>
      <c r="AR38" s="144">
        <f t="shared" si="18"/>
        <v>63.687440300151131</v>
      </c>
      <c r="AS38" s="120"/>
      <c r="AT38" s="120">
        <v>10000</v>
      </c>
      <c r="AU38" s="120">
        <v>10200</v>
      </c>
      <c r="AV38" s="145">
        <v>10500</v>
      </c>
      <c r="AW38" s="12"/>
      <c r="AX38" s="12"/>
      <c r="AY38" s="67">
        <v>12271.218120000003</v>
      </c>
      <c r="AZ38" s="22"/>
      <c r="BA38" s="68">
        <f t="shared" si="151"/>
        <v>13068.847297800003</v>
      </c>
      <c r="BB38" s="45">
        <f t="shared" si="162"/>
        <v>2.286895817393841</v>
      </c>
      <c r="BC38" s="22"/>
      <c r="BD38" s="46"/>
      <c r="BE38" s="146">
        <f t="shared" si="163"/>
        <v>4743.1733333333332</v>
      </c>
      <c r="BF38" s="523">
        <f t="shared" si="164"/>
        <v>-8325.6739644666704</v>
      </c>
      <c r="BG38" s="44">
        <f t="shared" si="165"/>
        <v>-1.7552961655347483</v>
      </c>
      <c r="BH38" s="149">
        <f t="shared" si="202"/>
        <v>14375.732027580003</v>
      </c>
      <c r="BI38" s="149">
        <f t="shared" ref="BI38:BL38" si="209">SUM(BH38+SUM($BZ38*0.1))</f>
        <v>15813.305230338003</v>
      </c>
      <c r="BJ38" s="149">
        <f t="shared" si="209"/>
        <v>17250.878433096004</v>
      </c>
      <c r="BK38" s="149">
        <f t="shared" si="209"/>
        <v>18688.451635854006</v>
      </c>
      <c r="BL38" s="149">
        <f t="shared" si="209"/>
        <v>20126.024838612007</v>
      </c>
      <c r="BM38" s="46"/>
      <c r="BN38" s="146">
        <f>SUM(K38*$BN$2)+(12*250)</f>
        <v>6085.92</v>
      </c>
      <c r="BO38" s="523">
        <f t="shared" si="167"/>
        <v>-6982.9272978000026</v>
      </c>
      <c r="BP38" s="44">
        <f t="shared" si="168"/>
        <v>-1.1473905831493023</v>
      </c>
      <c r="BQ38" s="149">
        <f t="shared" si="204"/>
        <v>14375.732027580003</v>
      </c>
      <c r="BR38" s="149">
        <f t="shared" ref="BR38:BT38" si="210">SUM(BQ38+SUM($BZ38*0.1))</f>
        <v>15813.305230338003</v>
      </c>
      <c r="BS38" s="149">
        <f t="shared" si="210"/>
        <v>17250.878433096004</v>
      </c>
      <c r="BT38" s="149">
        <f t="shared" si="210"/>
        <v>18688.451635854006</v>
      </c>
      <c r="BU38" s="149">
        <f>SUM(BT38*1.03)</f>
        <v>19249.105184929627</v>
      </c>
      <c r="BV38" s="526"/>
      <c r="BW38" s="527">
        <f t="shared" si="206"/>
        <v>10476.517533629334</v>
      </c>
      <c r="BX38" s="523">
        <f t="shared" si="171"/>
        <v>-2592.3297641706686</v>
      </c>
      <c r="BY38" s="44">
        <f t="shared" si="172"/>
        <v>-0.24744193438796441</v>
      </c>
      <c r="BZ38" s="149">
        <f t="shared" si="207"/>
        <v>14375.732027580003</v>
      </c>
      <c r="CA38" s="149">
        <f t="shared" ref="CA38:CD38" si="211">SUM(BZ38+SUM($BZ38*0.1))</f>
        <v>15813.305230338003</v>
      </c>
      <c r="CB38" s="149">
        <f t="shared" si="211"/>
        <v>17250.878433096004</v>
      </c>
      <c r="CC38" s="149">
        <f t="shared" si="211"/>
        <v>18688.451635854006</v>
      </c>
      <c r="CD38" s="149">
        <f t="shared" si="211"/>
        <v>20126.024838612007</v>
      </c>
      <c r="CE38" s="22"/>
      <c r="CF38" s="149">
        <f t="shared" si="182"/>
        <v>24452.800000000003</v>
      </c>
      <c r="CG38" s="145">
        <f t="shared" si="183"/>
        <v>11383.9527022</v>
      </c>
    </row>
    <row r="39" spans="1:85" ht="15.75" customHeight="1" x14ac:dyDescent="0.5">
      <c r="A39" s="83" t="s">
        <v>144</v>
      </c>
      <c r="B39" s="85" t="s">
        <v>118</v>
      </c>
      <c r="C39" s="85"/>
      <c r="D39" s="62">
        <f>'Avg master'!H37</f>
        <v>914.33333333333337</v>
      </c>
      <c r="E39" s="66">
        <f t="shared" si="0"/>
        <v>3.3821065234090346E-3</v>
      </c>
      <c r="F39" s="77">
        <f t="shared" si="1"/>
        <v>0</v>
      </c>
      <c r="G39" s="85"/>
      <c r="H39" s="64">
        <v>952</v>
      </c>
      <c r="I39" s="64">
        <v>904</v>
      </c>
      <c r="J39" s="64">
        <v>887</v>
      </c>
      <c r="K39" s="65">
        <f t="shared" si="2"/>
        <v>914.33333333333337</v>
      </c>
      <c r="L39" s="66">
        <f t="shared" si="3"/>
        <v>7.8523315098061111E-3</v>
      </c>
      <c r="M39" s="77">
        <f t="shared" si="4"/>
        <v>0</v>
      </c>
      <c r="N39" s="66"/>
      <c r="O39" s="65"/>
      <c r="P39" s="65"/>
      <c r="Q39" s="65"/>
      <c r="R39" s="65"/>
      <c r="S39" s="66"/>
      <c r="T39" s="145">
        <v>13136</v>
      </c>
      <c r="U39" s="66">
        <f t="shared" si="7"/>
        <v>9.918708272486608E-3</v>
      </c>
      <c r="V39" s="77">
        <f t="shared" si="8"/>
        <v>1576.7983892186901</v>
      </c>
      <c r="W39" s="65"/>
      <c r="X39" s="75"/>
      <c r="Y39" s="76"/>
      <c r="Z39" s="65"/>
      <c r="AA39" s="65"/>
      <c r="AB39" s="65"/>
      <c r="AC39" s="77">
        <f t="shared" si="10"/>
        <v>519.51683333333335</v>
      </c>
      <c r="AD39" s="65"/>
      <c r="AE39" s="65"/>
      <c r="AF39" s="65">
        <v>1683</v>
      </c>
      <c r="AG39" s="66">
        <f t="shared" si="11"/>
        <v>1.3438906873086572E-3</v>
      </c>
      <c r="AH39" s="77">
        <f t="shared" si="12"/>
        <v>0</v>
      </c>
      <c r="AI39" s="65"/>
      <c r="AJ39" s="65"/>
      <c r="AK39" s="145">
        <f>'Avg master'!T37</f>
        <v>160</v>
      </c>
      <c r="AL39" s="145">
        <f>'Avg master'!U37</f>
        <v>213</v>
      </c>
      <c r="AM39" s="65">
        <f t="shared" si="13"/>
        <v>53</v>
      </c>
      <c r="AN39" s="524">
        <f t="shared" si="14"/>
        <v>0.75117370892018775</v>
      </c>
      <c r="AO39" s="66">
        <f t="shared" si="15"/>
        <v>2.5272000284754931E-3</v>
      </c>
      <c r="AP39" s="77">
        <f t="shared" si="16"/>
        <v>101.70200099664225</v>
      </c>
      <c r="AQ39" s="76">
        <f t="shared" si="17"/>
        <v>2198.0172235486657</v>
      </c>
      <c r="AR39" s="144">
        <f t="shared" si="18"/>
        <v>8.6878151128405765</v>
      </c>
      <c r="AS39" s="120"/>
      <c r="AT39" s="120">
        <v>2000</v>
      </c>
      <c r="AU39" s="120">
        <v>2035</v>
      </c>
      <c r="AV39" s="145">
        <v>2100</v>
      </c>
      <c r="AW39" s="12"/>
      <c r="AX39" s="12"/>
      <c r="AY39" s="67">
        <v>2454.2436240000002</v>
      </c>
      <c r="AZ39" s="22"/>
      <c r="BA39" s="68">
        <f t="shared" si="151"/>
        <v>2613.7694595600001</v>
      </c>
      <c r="BB39" s="45">
        <f t="shared" si="162"/>
        <v>2.8586614577761575</v>
      </c>
      <c r="BC39" s="22"/>
      <c r="BD39" s="46"/>
      <c r="BE39" s="146">
        <f t="shared" si="163"/>
        <v>758.89666666666665</v>
      </c>
      <c r="BF39" s="523">
        <f t="shared" si="164"/>
        <v>-1854.8727928933336</v>
      </c>
      <c r="BG39" s="44">
        <f t="shared" si="165"/>
        <v>-2.4441704310556118</v>
      </c>
      <c r="BH39" s="149">
        <f t="shared" ref="BH39:BH41" si="212">SUM($BA39-SUM($BA39*0.1))</f>
        <v>2352.3925136040002</v>
      </c>
      <c r="BI39" s="149">
        <f t="shared" ref="BI39:BL39" si="213">SUM(BH39-SUM($BZ39*0.1))</f>
        <v>2117.1532622436002</v>
      </c>
      <c r="BJ39" s="149">
        <f t="shared" si="213"/>
        <v>1881.9140108832003</v>
      </c>
      <c r="BK39" s="149">
        <f t="shared" si="213"/>
        <v>1646.6747595228003</v>
      </c>
      <c r="BL39" s="149">
        <f t="shared" si="213"/>
        <v>1411.4355081624003</v>
      </c>
      <c r="BM39" s="46"/>
      <c r="BN39" s="146">
        <f>SUM(K39*$BN$2)+(12*150)</f>
        <v>2293.7400000000002</v>
      </c>
      <c r="BO39" s="523">
        <f t="shared" si="167"/>
        <v>-320.02945955999985</v>
      </c>
      <c r="BP39" s="44">
        <f t="shared" si="168"/>
        <v>-0.13952298846425482</v>
      </c>
      <c r="BQ39" s="149">
        <f t="shared" ref="BQ39:BQ41" si="214">SUM($BA39-SUM($BA39*0.1))</f>
        <v>2352.3925136040002</v>
      </c>
      <c r="BR39" s="149">
        <f t="shared" ref="BR39:BR41" si="215">SUM(BQ39-SUM($BZ39*0.1))</f>
        <v>2117.1532622436002</v>
      </c>
      <c r="BS39" s="149">
        <f t="shared" ref="BS39:BU39" si="216">SUM(BR39*1.03)</f>
        <v>2180.6678601109084</v>
      </c>
      <c r="BT39" s="149">
        <f t="shared" si="216"/>
        <v>2246.0878959142356</v>
      </c>
      <c r="BU39" s="149">
        <f t="shared" si="216"/>
        <v>2313.4705327916627</v>
      </c>
      <c r="BV39" s="526"/>
      <c r="BW39" s="527">
        <f t="shared" ref="BW39:BW40" si="217">SUM(L39*$BA$63)+$BW$2</f>
        <v>2126.2183618026866</v>
      </c>
      <c r="BX39" s="523">
        <f t="shared" si="171"/>
        <v>-487.55109775731353</v>
      </c>
      <c r="BY39" s="44">
        <f t="shared" si="172"/>
        <v>-0.22930433981576082</v>
      </c>
      <c r="BZ39" s="149">
        <f t="shared" ref="BZ39:BZ41" si="218">SUM($BA39-SUM($BA39*0.1))</f>
        <v>2352.3925136040002</v>
      </c>
      <c r="CA39" s="149">
        <f t="shared" ref="CA39:CD39" si="219">SUM(BZ39-SUM($BZ39*0.1))</f>
        <v>2117.1532622436002</v>
      </c>
      <c r="CB39" s="149">
        <f t="shared" si="219"/>
        <v>1881.9140108832003</v>
      </c>
      <c r="CC39" s="149">
        <f t="shared" si="219"/>
        <v>1646.6747595228003</v>
      </c>
      <c r="CD39" s="149">
        <f t="shared" si="219"/>
        <v>1411.4355081624003</v>
      </c>
      <c r="CE39" s="22"/>
      <c r="CF39" s="348">
        <f t="shared" ref="CF39:CF40" si="220">SUM(BA39*1.05)</f>
        <v>2744.457932538</v>
      </c>
      <c r="CG39" s="22"/>
    </row>
    <row r="40" spans="1:85" ht="15.75" customHeight="1" x14ac:dyDescent="0.5">
      <c r="A40" s="83" t="s">
        <v>146</v>
      </c>
      <c r="B40" s="85" t="s">
        <v>81</v>
      </c>
      <c r="C40" s="61"/>
      <c r="D40" s="62">
        <f>'Avg master'!H38</f>
        <v>369.33333333333331</v>
      </c>
      <c r="E40" s="66">
        <f t="shared" si="0"/>
        <v>1.3661589602395954E-3</v>
      </c>
      <c r="F40" s="77">
        <f t="shared" si="1"/>
        <v>0</v>
      </c>
      <c r="G40" s="61"/>
      <c r="H40" s="64">
        <v>371</v>
      </c>
      <c r="I40" s="64">
        <v>369</v>
      </c>
      <c r="J40" s="64">
        <v>368</v>
      </c>
      <c r="K40" s="65">
        <f t="shared" si="2"/>
        <v>369.33333333333331</v>
      </c>
      <c r="L40" s="66">
        <f t="shared" si="3"/>
        <v>3.1718495489847505E-3</v>
      </c>
      <c r="M40" s="77">
        <f t="shared" si="4"/>
        <v>0</v>
      </c>
      <c r="N40" s="66"/>
      <c r="O40" s="65"/>
      <c r="P40" s="65"/>
      <c r="Q40" s="65"/>
      <c r="R40" s="65"/>
      <c r="S40" s="66"/>
      <c r="T40" s="145">
        <v>14223</v>
      </c>
      <c r="U40" s="66">
        <f t="shared" si="7"/>
        <v>1.073947836172176E-2</v>
      </c>
      <c r="V40" s="77">
        <f t="shared" si="8"/>
        <v>1707.2779757808642</v>
      </c>
      <c r="W40" s="65"/>
      <c r="X40" s="75"/>
      <c r="Y40" s="76"/>
      <c r="Z40" s="65"/>
      <c r="AA40" s="65"/>
      <c r="AB40" s="65"/>
      <c r="AC40" s="77">
        <f t="shared" si="10"/>
        <v>519.51683333333335</v>
      </c>
      <c r="AD40" s="65"/>
      <c r="AE40" s="65"/>
      <c r="AF40" s="65">
        <v>1627</v>
      </c>
      <c r="AG40" s="66">
        <f t="shared" si="11"/>
        <v>1.2991741819674304E-3</v>
      </c>
      <c r="AH40" s="77">
        <f t="shared" si="12"/>
        <v>0</v>
      </c>
      <c r="AI40" s="65"/>
      <c r="AJ40" s="65"/>
      <c r="AK40" s="145">
        <f>'Avg master'!T38</f>
        <v>16</v>
      </c>
      <c r="AL40" s="145">
        <f>'Avg master'!U38</f>
        <v>4</v>
      </c>
      <c r="AM40" s="65">
        <f t="shared" si="13"/>
        <v>-12</v>
      </c>
      <c r="AN40" s="524">
        <f t="shared" si="14"/>
        <v>4</v>
      </c>
      <c r="AO40" s="66">
        <f t="shared" si="15"/>
        <v>4.7459155464328511E-5</v>
      </c>
      <c r="AP40" s="77">
        <f t="shared" si="16"/>
        <v>-1.3389295587485022</v>
      </c>
      <c r="AQ40" s="76">
        <f t="shared" si="17"/>
        <v>2225.455879555449</v>
      </c>
      <c r="AR40" s="144">
        <f t="shared" si="18"/>
        <v>8.7962682986381378</v>
      </c>
      <c r="AS40" s="120"/>
      <c r="AT40" s="120">
        <v>2000</v>
      </c>
      <c r="AU40" s="120">
        <v>2035</v>
      </c>
      <c r="AV40" s="145">
        <v>2100</v>
      </c>
      <c r="AW40" s="12"/>
      <c r="AX40" s="12"/>
      <c r="AY40" s="67">
        <v>1227.1218120000001</v>
      </c>
      <c r="AZ40" s="22"/>
      <c r="BA40" s="68">
        <f t="shared" si="151"/>
        <v>1306.88472978</v>
      </c>
      <c r="BB40" s="45">
        <f t="shared" si="162"/>
        <v>3.5384965607761738</v>
      </c>
      <c r="BC40" s="22"/>
      <c r="BD40" s="46"/>
      <c r="BE40" s="146">
        <f t="shared" si="163"/>
        <v>306.54666666666662</v>
      </c>
      <c r="BF40" s="523">
        <f t="shared" si="164"/>
        <v>-1000.3380631133334</v>
      </c>
      <c r="BG40" s="44">
        <f t="shared" si="165"/>
        <v>-3.2632488684050287</v>
      </c>
      <c r="BH40" s="149">
        <f t="shared" si="212"/>
        <v>1176.1962568020001</v>
      </c>
      <c r="BI40" s="149">
        <f t="shared" ref="BI40:BL40" si="221">SUM(BH40-SUM($BZ40*0.1))</f>
        <v>1058.5766311218001</v>
      </c>
      <c r="BJ40" s="149">
        <f t="shared" si="221"/>
        <v>940.95700544160013</v>
      </c>
      <c r="BK40" s="149">
        <f t="shared" si="221"/>
        <v>823.33737976140014</v>
      </c>
      <c r="BL40" s="149">
        <f t="shared" si="221"/>
        <v>705.71775408120016</v>
      </c>
      <c r="BM40" s="46"/>
      <c r="BN40" s="146">
        <f>SUM(K40*$BN$2)+(12*75)</f>
        <v>1099.44</v>
      </c>
      <c r="BO40" s="523">
        <f t="shared" si="167"/>
        <v>-207.44472977999999</v>
      </c>
      <c r="BP40" s="44">
        <f t="shared" si="168"/>
        <v>-0.18868217436149309</v>
      </c>
      <c r="BQ40" s="149">
        <f t="shared" si="214"/>
        <v>1176.1962568020001</v>
      </c>
      <c r="BR40" s="149">
        <f t="shared" si="215"/>
        <v>1058.5766311218001</v>
      </c>
      <c r="BS40" s="149">
        <f t="shared" ref="BS40:BU40" si="222">SUM(BR40*1.03)</f>
        <v>1090.3339300554542</v>
      </c>
      <c r="BT40" s="149">
        <f t="shared" si="222"/>
        <v>1123.0439479571178</v>
      </c>
      <c r="BU40" s="149">
        <f t="shared" si="222"/>
        <v>1156.7352663958313</v>
      </c>
      <c r="BV40" s="526"/>
      <c r="BW40" s="527">
        <f t="shared" si="217"/>
        <v>1127.0871107828571</v>
      </c>
      <c r="BX40" s="523">
        <f t="shared" si="171"/>
        <v>-179.79761899714299</v>
      </c>
      <c r="BY40" s="44">
        <f t="shared" si="172"/>
        <v>-0.15952415503381845</v>
      </c>
      <c r="BZ40" s="149">
        <f t="shared" si="218"/>
        <v>1176.1962568020001</v>
      </c>
      <c r="CA40" s="149">
        <f t="shared" ref="CA40:CD40" si="223">SUM(BZ40-SUM($BZ40*0.1))</f>
        <v>1058.5766311218001</v>
      </c>
      <c r="CB40" s="149">
        <f t="shared" si="223"/>
        <v>940.95700544160013</v>
      </c>
      <c r="CC40" s="149">
        <f t="shared" si="223"/>
        <v>823.33737976140014</v>
      </c>
      <c r="CD40" s="149">
        <f t="shared" si="223"/>
        <v>705.71775408120016</v>
      </c>
      <c r="CE40" s="22"/>
      <c r="CF40" s="348">
        <f t="shared" si="220"/>
        <v>1372.228966269</v>
      </c>
      <c r="CG40" s="22"/>
    </row>
    <row r="41" spans="1:85" ht="15.75" customHeight="1" x14ac:dyDescent="0.5">
      <c r="A41" s="83" t="s">
        <v>148</v>
      </c>
      <c r="B41" s="85" t="s">
        <v>135</v>
      </c>
      <c r="C41" s="114"/>
      <c r="D41" s="62">
        <f>'Avg master'!H39</f>
        <v>10354</v>
      </c>
      <c r="E41" s="66">
        <f t="shared" si="0"/>
        <v>3.8299304713864904E-2</v>
      </c>
      <c r="F41" s="77">
        <f t="shared" si="1"/>
        <v>0</v>
      </c>
      <c r="G41" s="114"/>
      <c r="H41" s="64">
        <v>4494</v>
      </c>
      <c r="I41" s="64">
        <v>3364</v>
      </c>
      <c r="J41" s="64">
        <v>2719</v>
      </c>
      <c r="K41" s="65">
        <f t="shared" si="2"/>
        <v>3525.6666666666665</v>
      </c>
      <c r="L41" s="66">
        <f t="shared" si="3"/>
        <v>3.0278567400371575E-2</v>
      </c>
      <c r="M41" s="77">
        <f t="shared" si="4"/>
        <v>0</v>
      </c>
      <c r="N41" s="66"/>
      <c r="O41" s="65">
        <v>3296</v>
      </c>
      <c r="P41" s="66">
        <f t="shared" ref="P41:P44" si="224">SUM(O41/$O$60)</f>
        <v>3.3438844249655063E-2</v>
      </c>
      <c r="Q41" s="77">
        <f t="shared" ref="Q41:Q44" si="225">SUM(P41*$Q$61)</f>
        <v>0</v>
      </c>
      <c r="R41" s="65"/>
      <c r="S41" s="66"/>
      <c r="T41" s="145">
        <v>43484</v>
      </c>
      <c r="U41" s="66">
        <f t="shared" si="7"/>
        <v>3.2833823882521901E-2</v>
      </c>
      <c r="V41" s="77">
        <f t="shared" si="8"/>
        <v>5219.6636081596771</v>
      </c>
      <c r="W41" s="77"/>
      <c r="X41" s="75">
        <v>39298</v>
      </c>
      <c r="Y41" s="77">
        <f t="shared" ref="Y41:Y44" si="226">SUM(X41*$Y$62)</f>
        <v>0</v>
      </c>
      <c r="Z41" s="77"/>
      <c r="AA41" s="65"/>
      <c r="AB41" s="65"/>
      <c r="AC41" s="77">
        <f t="shared" si="10"/>
        <v>519.51683333333335</v>
      </c>
      <c r="AD41" s="65"/>
      <c r="AE41" s="65"/>
      <c r="AF41" s="65">
        <v>25903</v>
      </c>
      <c r="AG41" s="66">
        <f t="shared" si="11"/>
        <v>2.0683779247389275E-2</v>
      </c>
      <c r="AH41" s="77">
        <f t="shared" si="12"/>
        <v>0</v>
      </c>
      <c r="AI41" s="65"/>
      <c r="AJ41" s="65"/>
      <c r="AK41" s="145">
        <f>'Avg master'!T39</f>
        <v>3353</v>
      </c>
      <c r="AL41" s="145">
        <f>'Avg master'!U39</f>
        <v>3649</v>
      </c>
      <c r="AM41" s="65">
        <f t="shared" si="13"/>
        <v>296</v>
      </c>
      <c r="AN41" s="524">
        <f t="shared" si="14"/>
        <v>0.91888188544806793</v>
      </c>
      <c r="AO41" s="66">
        <f t="shared" si="15"/>
        <v>4.3294614572333683E-2</v>
      </c>
      <c r="AP41" s="77">
        <f t="shared" si="16"/>
        <v>1589.3115100316788</v>
      </c>
      <c r="AQ41" s="76">
        <f t="shared" si="17"/>
        <v>7328.4919515246893</v>
      </c>
      <c r="AR41" s="144">
        <f t="shared" si="18"/>
        <v>28.966371349899958</v>
      </c>
      <c r="AS41" s="120"/>
      <c r="AT41" s="120">
        <v>8000</v>
      </c>
      <c r="AU41" s="120">
        <v>8140</v>
      </c>
      <c r="AV41" s="145">
        <v>8380</v>
      </c>
      <c r="AW41" s="12"/>
      <c r="AX41" s="12"/>
      <c r="AY41" s="67">
        <v>9793.6007472000019</v>
      </c>
      <c r="AZ41" s="22"/>
      <c r="BA41" s="68">
        <f t="shared" si="151"/>
        <v>10430.184795768002</v>
      </c>
      <c r="BB41" s="525">
        <f t="shared" si="162"/>
        <v>2.9583581721947629</v>
      </c>
      <c r="BC41" s="22"/>
      <c r="BD41" s="46"/>
      <c r="BE41" s="146">
        <f t="shared" si="163"/>
        <v>2926.3033333333333</v>
      </c>
      <c r="BF41" s="523">
        <f t="shared" si="164"/>
        <v>-7503.8814624346687</v>
      </c>
      <c r="BG41" s="44">
        <f t="shared" si="165"/>
        <v>-2.5642869544515214</v>
      </c>
      <c r="BH41" s="149">
        <f t="shared" si="212"/>
        <v>9387.166316191202</v>
      </c>
      <c r="BI41" s="149">
        <f t="shared" ref="BI41:BJ41" si="227">SUM(BH41-SUM($BZ41*0.1))</f>
        <v>8448.4496845720823</v>
      </c>
      <c r="BJ41" s="149">
        <f t="shared" si="227"/>
        <v>7509.7330529529618</v>
      </c>
      <c r="BK41" s="149">
        <f t="shared" ref="BK41:BL41" si="228">SUM(BJ41*1.03)</f>
        <v>7735.0250445415504</v>
      </c>
      <c r="BL41" s="149">
        <f t="shared" si="228"/>
        <v>7967.0757958777967</v>
      </c>
      <c r="BM41" s="46"/>
      <c r="BN41" s="146">
        <f>SUM(K41*$BN$2)+(12*200)</f>
        <v>4303.8600000000006</v>
      </c>
      <c r="BO41" s="523">
        <f t="shared" si="167"/>
        <v>-6126.3247957680014</v>
      </c>
      <c r="BP41" s="44">
        <f t="shared" si="168"/>
        <v>-1.4234489030237973</v>
      </c>
      <c r="BQ41" s="149">
        <f t="shared" si="214"/>
        <v>9387.166316191202</v>
      </c>
      <c r="BR41" s="149">
        <f t="shared" si="215"/>
        <v>8448.4496845720823</v>
      </c>
      <c r="BS41" s="149">
        <f>SUM(BR41-SUM($BZ41*0.1))</f>
        <v>7509.7330529529618</v>
      </c>
      <c r="BT41" s="149">
        <f t="shared" ref="BT41:BU41" si="229">SUM(BS41*1.03)</f>
        <v>7735.0250445415504</v>
      </c>
      <c r="BU41" s="149">
        <f t="shared" si="229"/>
        <v>7967.0757958777967</v>
      </c>
      <c r="BV41" s="526"/>
      <c r="BW41" s="527">
        <f t="shared" ref="BW41:BW44" si="230">SUM(L41*$BA$63)</f>
        <v>6463.4931143955582</v>
      </c>
      <c r="BX41" s="523">
        <f t="shared" si="171"/>
        <v>-3966.6916813724438</v>
      </c>
      <c r="BY41" s="44">
        <f t="shared" si="172"/>
        <v>-0.61370711025247127</v>
      </c>
      <c r="BZ41" s="149">
        <f t="shared" si="218"/>
        <v>9387.166316191202</v>
      </c>
      <c r="CA41" s="149">
        <f>SUM(BZ41-SUM($BZ41*0.1))</f>
        <v>8448.4496845720823</v>
      </c>
      <c r="CB41" s="149">
        <f t="shared" ref="CB41:CD41" si="231">SUM(CA41*1.03)</f>
        <v>8701.9031751092443</v>
      </c>
      <c r="CC41" s="149">
        <f t="shared" si="231"/>
        <v>8962.9602703625224</v>
      </c>
      <c r="CD41" s="149">
        <f t="shared" si="231"/>
        <v>9231.8490784733985</v>
      </c>
      <c r="CE41" s="22"/>
      <c r="CF41" s="149">
        <f t="shared" ref="CF41:CF44" si="232">SUM(T41*$CF$3)</f>
        <v>8696.8000000000011</v>
      </c>
      <c r="CG41" s="145">
        <f t="shared" ref="CG41:CG44" si="233">SUM(CF41-BA41)</f>
        <v>-1733.3847957680009</v>
      </c>
    </row>
    <row r="42" spans="1:85" ht="15.75" customHeight="1" x14ac:dyDescent="0.5">
      <c r="A42" s="80" t="s">
        <v>150</v>
      </c>
      <c r="B42" s="82" t="s">
        <v>72</v>
      </c>
      <c r="C42" s="85"/>
      <c r="D42" s="62">
        <f>'Avg master'!H40</f>
        <v>24124.333333333332</v>
      </c>
      <c r="E42" s="66">
        <f t="shared" si="0"/>
        <v>8.9235579809946064E-2</v>
      </c>
      <c r="F42" s="77">
        <f t="shared" si="1"/>
        <v>0</v>
      </c>
      <c r="G42" s="85"/>
      <c r="H42" s="64">
        <v>8020</v>
      </c>
      <c r="I42" s="64">
        <v>7378</v>
      </c>
      <c r="J42" s="64">
        <v>6220</v>
      </c>
      <c r="K42" s="65">
        <f t="shared" si="2"/>
        <v>7206</v>
      </c>
      <c r="L42" s="66">
        <f t="shared" si="3"/>
        <v>6.1885418366382977E-2</v>
      </c>
      <c r="M42" s="77">
        <f t="shared" si="4"/>
        <v>0</v>
      </c>
      <c r="N42" s="66"/>
      <c r="O42" s="65">
        <v>7562</v>
      </c>
      <c r="P42" s="66">
        <f t="shared" si="224"/>
        <v>7.6718610502394285E-2</v>
      </c>
      <c r="Q42" s="77">
        <f t="shared" si="225"/>
        <v>0</v>
      </c>
      <c r="R42" s="65"/>
      <c r="S42" s="66"/>
      <c r="T42" s="145">
        <v>52332</v>
      </c>
      <c r="U42" s="66">
        <f t="shared" si="7"/>
        <v>3.9514756494805819E-2</v>
      </c>
      <c r="V42" s="77">
        <f t="shared" si="8"/>
        <v>6281.7458362205007</v>
      </c>
      <c r="W42" s="77"/>
      <c r="X42" s="75">
        <v>40212</v>
      </c>
      <c r="Y42" s="77">
        <f t="shared" si="226"/>
        <v>0</v>
      </c>
      <c r="Z42" s="77"/>
      <c r="AA42" s="65"/>
      <c r="AB42" s="65"/>
      <c r="AC42" s="77">
        <f t="shared" si="10"/>
        <v>519.51683333333335</v>
      </c>
      <c r="AD42" s="65"/>
      <c r="AE42" s="65"/>
      <c r="AF42" s="65">
        <v>93014</v>
      </c>
      <c r="AG42" s="66">
        <f t="shared" si="11"/>
        <v>7.4272518353729916E-2</v>
      </c>
      <c r="AH42" s="77">
        <f t="shared" si="12"/>
        <v>0</v>
      </c>
      <c r="AI42" s="65"/>
      <c r="AJ42" s="65"/>
      <c r="AK42" s="145">
        <f>'Avg master'!T40</f>
        <v>4290</v>
      </c>
      <c r="AL42" s="145">
        <f>'Avg master'!U40</f>
        <v>7320</v>
      </c>
      <c r="AM42" s="65">
        <f t="shared" si="13"/>
        <v>3030</v>
      </c>
      <c r="AN42" s="524">
        <f t="shared" si="14"/>
        <v>0.58606557377049184</v>
      </c>
      <c r="AO42" s="66">
        <f t="shared" si="15"/>
        <v>8.6850254499721183E-2</v>
      </c>
      <c r="AP42" s="77">
        <f t="shared" si="16"/>
        <v>3797.2589074902412</v>
      </c>
      <c r="AQ42" s="76">
        <f t="shared" si="17"/>
        <v>10598.521577044075</v>
      </c>
      <c r="AR42" s="144">
        <f t="shared" si="18"/>
        <v>41.89138963258528</v>
      </c>
      <c r="AS42" s="120"/>
      <c r="AT42" s="120">
        <v>10000</v>
      </c>
      <c r="AU42" s="120">
        <v>10200</v>
      </c>
      <c r="AV42" s="145">
        <v>10500</v>
      </c>
      <c r="AW42" s="12"/>
      <c r="AX42" s="12"/>
      <c r="AY42" s="67">
        <v>12271.218120000003</v>
      </c>
      <c r="AZ42" s="22"/>
      <c r="BA42" s="68">
        <f t="shared" si="151"/>
        <v>13068.847297800003</v>
      </c>
      <c r="BB42" s="45">
        <f t="shared" si="162"/>
        <v>1.8136063416319737</v>
      </c>
      <c r="BC42" s="22"/>
      <c r="BD42" s="46"/>
      <c r="BE42" s="146">
        <f t="shared" si="163"/>
        <v>5980.98</v>
      </c>
      <c r="BF42" s="523">
        <f t="shared" si="164"/>
        <v>-7087.8672978000031</v>
      </c>
      <c r="BG42" s="44">
        <f t="shared" si="165"/>
        <v>-1.1850678814843059</v>
      </c>
      <c r="BH42" s="149">
        <f>SUM($BA42+SUM($BA42*0.1))</f>
        <v>14375.732027580003</v>
      </c>
      <c r="BI42" s="149">
        <f t="shared" ref="BI42:BL42" si="234">SUM(BH42+SUM($BZ42*0.1))</f>
        <v>15813.305230338003</v>
      </c>
      <c r="BJ42" s="149">
        <f t="shared" si="234"/>
        <v>17250.878433096004</v>
      </c>
      <c r="BK42" s="149">
        <f t="shared" si="234"/>
        <v>18688.451635854006</v>
      </c>
      <c r="BL42" s="149">
        <f t="shared" si="234"/>
        <v>20126.024838612007</v>
      </c>
      <c r="BM42" s="46"/>
      <c r="BN42" s="146">
        <f>SUM(K42*$BN$2)+(12*250)</f>
        <v>6891.24</v>
      </c>
      <c r="BO42" s="523">
        <f t="shared" si="167"/>
        <v>-6177.6072978000029</v>
      </c>
      <c r="BP42" s="44">
        <f t="shared" si="168"/>
        <v>-0.89644349896390241</v>
      </c>
      <c r="BQ42" s="149">
        <f t="shared" ref="BQ42:BQ44" si="235">SUM($BA42+SUM($BA42*0.1))</f>
        <v>14375.732027580003</v>
      </c>
      <c r="BR42" s="149">
        <f t="shared" ref="BR42:BS42" si="236">SUM(BQ42+SUM($BZ42*0.1))</f>
        <v>15813.305230338003</v>
      </c>
      <c r="BS42" s="149">
        <f t="shared" si="236"/>
        <v>17250.878433096004</v>
      </c>
      <c r="BT42" s="149">
        <f t="shared" ref="BT42:BU42" si="237">SUM(BS42*1.03)</f>
        <v>17768.404786088886</v>
      </c>
      <c r="BU42" s="149">
        <f t="shared" si="237"/>
        <v>18301.456929671553</v>
      </c>
      <c r="BV42" s="526"/>
      <c r="BW42" s="527">
        <f t="shared" si="230"/>
        <v>13210.531733667693</v>
      </c>
      <c r="BX42" s="523">
        <f t="shared" si="171"/>
        <v>141.6844358676899</v>
      </c>
      <c r="BY42" s="44">
        <f t="shared" si="172"/>
        <v>1.07251122607427E-2</v>
      </c>
      <c r="BZ42" s="149">
        <f t="shared" ref="BZ42:BZ43" si="238">SUM($BA42+SUM($BA42*0.1))</f>
        <v>14375.732027580003</v>
      </c>
      <c r="CA42" s="149">
        <f t="shared" ref="CA42:CD42" si="239">SUM(BZ42+SUM($BZ42*0.1))</f>
        <v>15813.305230338003</v>
      </c>
      <c r="CB42" s="149">
        <f t="shared" si="239"/>
        <v>17250.878433096004</v>
      </c>
      <c r="CC42" s="149">
        <f t="shared" si="239"/>
        <v>18688.451635854006</v>
      </c>
      <c r="CD42" s="149">
        <f t="shared" si="239"/>
        <v>20126.024838612007</v>
      </c>
      <c r="CE42" s="22"/>
      <c r="CF42" s="149">
        <f t="shared" si="232"/>
        <v>10466.400000000001</v>
      </c>
      <c r="CG42" s="145">
        <f t="shared" si="233"/>
        <v>-2602.4472978000013</v>
      </c>
    </row>
    <row r="43" spans="1:85" ht="15.75" customHeight="1" x14ac:dyDescent="0.5">
      <c r="A43" s="80" t="s">
        <v>152</v>
      </c>
      <c r="B43" s="82" t="s">
        <v>92</v>
      </c>
      <c r="C43" s="85"/>
      <c r="D43" s="62">
        <f>'Avg master'!H41</f>
        <v>2147.3333333333335</v>
      </c>
      <c r="E43" s="66">
        <f t="shared" si="0"/>
        <v>7.9429566984327397E-3</v>
      </c>
      <c r="F43" s="77">
        <f t="shared" si="1"/>
        <v>0</v>
      </c>
      <c r="G43" s="85"/>
      <c r="H43" s="64">
        <v>776</v>
      </c>
      <c r="I43" s="64">
        <v>591</v>
      </c>
      <c r="J43" s="64">
        <v>429</v>
      </c>
      <c r="K43" s="65">
        <f t="shared" si="2"/>
        <v>598.66666666666663</v>
      </c>
      <c r="L43" s="66">
        <f t="shared" si="3"/>
        <v>5.1413734566575914E-3</v>
      </c>
      <c r="M43" s="77">
        <f t="shared" si="4"/>
        <v>0</v>
      </c>
      <c r="N43" s="66"/>
      <c r="O43" s="65">
        <v>566</v>
      </c>
      <c r="P43" s="66">
        <f t="shared" si="224"/>
        <v>5.7422287152016881E-3</v>
      </c>
      <c r="Q43" s="77">
        <f t="shared" si="225"/>
        <v>0</v>
      </c>
      <c r="R43" s="65"/>
      <c r="S43" s="66"/>
      <c r="T43" s="145">
        <v>9883</v>
      </c>
      <c r="U43" s="66">
        <f t="shared" si="7"/>
        <v>7.4624386310128774E-3</v>
      </c>
      <c r="V43" s="77">
        <f t="shared" si="8"/>
        <v>1186.3199208776123</v>
      </c>
      <c r="W43" s="77"/>
      <c r="X43" s="75">
        <v>10782</v>
      </c>
      <c r="Y43" s="77">
        <f t="shared" si="226"/>
        <v>0</v>
      </c>
      <c r="Z43" s="77"/>
      <c r="AA43" s="65"/>
      <c r="AB43" s="65"/>
      <c r="AC43" s="77">
        <f t="shared" si="10"/>
        <v>519.51683333333335</v>
      </c>
      <c r="AD43" s="65"/>
      <c r="AE43" s="65"/>
      <c r="AF43" s="65">
        <v>4195</v>
      </c>
      <c r="AG43" s="66">
        <f t="shared" si="11"/>
        <v>3.3497453554722622E-3</v>
      </c>
      <c r="AH43" s="77">
        <f t="shared" si="12"/>
        <v>0</v>
      </c>
      <c r="AI43" s="65"/>
      <c r="AJ43" s="65"/>
      <c r="AK43" s="145">
        <f>'Avg master'!T41</f>
        <v>1212.5</v>
      </c>
      <c r="AL43" s="145">
        <f>'Avg master'!U41</f>
        <v>616</v>
      </c>
      <c r="AM43" s="65">
        <f t="shared" si="13"/>
        <v>-596.5</v>
      </c>
      <c r="AN43" s="524">
        <f t="shared" si="14"/>
        <v>1.9683441558441559</v>
      </c>
      <c r="AO43" s="66">
        <f t="shared" si="15"/>
        <v>7.3087099415065906E-3</v>
      </c>
      <c r="AP43" s="77">
        <f t="shared" si="16"/>
        <v>106.67984795273068</v>
      </c>
      <c r="AQ43" s="76">
        <f t="shared" si="17"/>
        <v>1812.5166021636762</v>
      </c>
      <c r="AR43" s="144">
        <f t="shared" si="18"/>
        <v>7.1640972417536606</v>
      </c>
      <c r="AS43" s="120"/>
      <c r="AT43" s="120">
        <v>1350</v>
      </c>
      <c r="AU43" s="120">
        <v>1375</v>
      </c>
      <c r="AV43" s="145">
        <v>1420</v>
      </c>
      <c r="AW43" s="12"/>
      <c r="AX43" s="12"/>
      <c r="AY43" s="67">
        <v>1659.5361648000001</v>
      </c>
      <c r="AZ43" s="22"/>
      <c r="BA43" s="68">
        <f t="shared" si="151"/>
        <v>1767.4060155120001</v>
      </c>
      <c r="BB43" s="45">
        <f t="shared" si="162"/>
        <v>2.9522372196748332</v>
      </c>
      <c r="BC43" s="22"/>
      <c r="BD43" s="46"/>
      <c r="BE43" s="146">
        <f t="shared" si="163"/>
        <v>496.89333333333326</v>
      </c>
      <c r="BF43" s="523">
        <f t="shared" si="164"/>
        <v>-1270.5126821786669</v>
      </c>
      <c r="BG43" s="44">
        <f t="shared" si="165"/>
        <v>-2.5569123128612454</v>
      </c>
      <c r="BH43" s="149">
        <f t="shared" ref="BH43:BH44" si="240">BE43</f>
        <v>496.89333333333326</v>
      </c>
      <c r="BI43" s="149">
        <f t="shared" ref="BI43:BL43" si="241">SUM(BH43*1.03)</f>
        <v>511.80013333333329</v>
      </c>
      <c r="BJ43" s="149">
        <f t="shared" si="241"/>
        <v>527.15413733333332</v>
      </c>
      <c r="BK43" s="149">
        <f t="shared" si="241"/>
        <v>542.96876145333329</v>
      </c>
      <c r="BL43" s="149">
        <f t="shared" si="241"/>
        <v>559.25782429693334</v>
      </c>
      <c r="BM43" s="46"/>
      <c r="BN43" s="146">
        <f>SUM(K43*$BN$2)+(12*100)</f>
        <v>1523.28</v>
      </c>
      <c r="BO43" s="523">
        <f t="shared" si="167"/>
        <v>-244.12601551200009</v>
      </c>
      <c r="BP43" s="44">
        <f t="shared" si="168"/>
        <v>-0.16026338920749966</v>
      </c>
      <c r="BQ43" s="149">
        <f t="shared" si="235"/>
        <v>1944.1466170632002</v>
      </c>
      <c r="BR43" s="149">
        <f t="shared" ref="BR43:BS43" si="242">SUM(BQ43+SUM($BZ43*0.1))</f>
        <v>2138.5612787695204</v>
      </c>
      <c r="BS43" s="149">
        <f t="shared" si="242"/>
        <v>2332.9759404758406</v>
      </c>
      <c r="BT43" s="149">
        <f t="shared" ref="BT43:BU43" si="243">SUM(BS43*1.03)</f>
        <v>2402.9652186901158</v>
      </c>
      <c r="BU43" s="149">
        <f t="shared" si="243"/>
        <v>2475.0541752508193</v>
      </c>
      <c r="BV43" s="526"/>
      <c r="BW43" s="527">
        <f t="shared" si="230"/>
        <v>1097.5166524964</v>
      </c>
      <c r="BX43" s="523">
        <f t="shared" si="171"/>
        <v>-669.88936301560011</v>
      </c>
      <c r="BY43" s="44">
        <f t="shared" si="172"/>
        <v>-0.61036829053288322</v>
      </c>
      <c r="BZ43" s="149">
        <f t="shared" si="238"/>
        <v>1944.1466170632002</v>
      </c>
      <c r="CA43" s="149">
        <f t="shared" ref="CA43:CD43" si="244">SUM(BZ43*1.03)</f>
        <v>2002.4710155750963</v>
      </c>
      <c r="CB43" s="149">
        <f t="shared" si="244"/>
        <v>2062.5451460423492</v>
      </c>
      <c r="CC43" s="149">
        <f t="shared" si="244"/>
        <v>2124.4215004236198</v>
      </c>
      <c r="CD43" s="149">
        <f t="shared" si="244"/>
        <v>2188.1541454363287</v>
      </c>
      <c r="CE43" s="22"/>
      <c r="CF43" s="149">
        <f t="shared" si="232"/>
        <v>1976.6000000000001</v>
      </c>
      <c r="CG43" s="145">
        <f t="shared" si="233"/>
        <v>209.19398448800007</v>
      </c>
    </row>
    <row r="44" spans="1:85" ht="15.75" customHeight="1" x14ac:dyDescent="0.5">
      <c r="A44" s="83" t="s">
        <v>154</v>
      </c>
      <c r="B44" s="85" t="s">
        <v>69</v>
      </c>
      <c r="C44" s="82"/>
      <c r="D44" s="62">
        <f>'Avg master'!H42</f>
        <v>1785</v>
      </c>
      <c r="E44" s="66">
        <f t="shared" si="0"/>
        <v>6.6026906426742181E-3</v>
      </c>
      <c r="F44" s="77">
        <f t="shared" si="1"/>
        <v>0</v>
      </c>
      <c r="G44" s="82"/>
      <c r="H44" s="64">
        <v>1383</v>
      </c>
      <c r="I44" s="64">
        <v>1367</v>
      </c>
      <c r="J44" s="64">
        <v>1141</v>
      </c>
      <c r="K44" s="65">
        <f t="shared" si="2"/>
        <v>1297</v>
      </c>
      <c r="L44" s="66">
        <f t="shared" si="3"/>
        <v>1.1138688262725328E-2</v>
      </c>
      <c r="M44" s="77">
        <f t="shared" si="4"/>
        <v>0</v>
      </c>
      <c r="N44" s="66"/>
      <c r="O44" s="65">
        <v>1304</v>
      </c>
      <c r="P44" s="66">
        <f t="shared" si="224"/>
        <v>1.3229445661878095E-2</v>
      </c>
      <c r="Q44" s="77">
        <f t="shared" si="225"/>
        <v>0</v>
      </c>
      <c r="R44" s="65"/>
      <c r="S44" s="66"/>
      <c r="T44" s="145">
        <v>23207</v>
      </c>
      <c r="U44" s="66">
        <f t="shared" si="7"/>
        <v>1.7523101619944938E-2</v>
      </c>
      <c r="V44" s="77">
        <f t="shared" si="8"/>
        <v>2785.6851567142312</v>
      </c>
      <c r="W44" s="77"/>
      <c r="X44" s="75">
        <v>13791</v>
      </c>
      <c r="Y44" s="77">
        <f t="shared" si="226"/>
        <v>0</v>
      </c>
      <c r="Z44" s="77"/>
      <c r="AA44" s="65"/>
      <c r="AB44" s="65"/>
      <c r="AC44" s="77">
        <f t="shared" si="10"/>
        <v>519.51683333333335</v>
      </c>
      <c r="AD44" s="65"/>
      <c r="AE44" s="65"/>
      <c r="AF44" s="65">
        <v>12404</v>
      </c>
      <c r="AG44" s="66">
        <f t="shared" si="11"/>
        <v>9.9047059330817505E-3</v>
      </c>
      <c r="AH44" s="77">
        <f t="shared" si="12"/>
        <v>0</v>
      </c>
      <c r="AI44" s="65"/>
      <c r="AJ44" s="65"/>
      <c r="AK44" s="145">
        <f>'Avg master'!T42</f>
        <v>1087</v>
      </c>
      <c r="AL44" s="145">
        <f>'Avg master'!U42</f>
        <v>565.5</v>
      </c>
      <c r="AM44" s="65">
        <f t="shared" si="13"/>
        <v>-521.5</v>
      </c>
      <c r="AN44" s="524">
        <f t="shared" si="14"/>
        <v>1.9221927497789566</v>
      </c>
      <c r="AO44" s="66">
        <f t="shared" si="15"/>
        <v>6.7095381037694437E-3</v>
      </c>
      <c r="AP44" s="77">
        <f t="shared" si="16"/>
        <v>104.45883363193053</v>
      </c>
      <c r="AQ44" s="76">
        <f t="shared" si="17"/>
        <v>3409.660823679495</v>
      </c>
      <c r="AR44" s="144">
        <f t="shared" si="18"/>
        <v>13.476920251697608</v>
      </c>
      <c r="AS44" s="120"/>
      <c r="AT44" s="120">
        <v>1200</v>
      </c>
      <c r="AU44" s="120">
        <v>1220</v>
      </c>
      <c r="AV44" s="145">
        <v>1260</v>
      </c>
      <c r="AW44" s="12"/>
      <c r="AX44" s="12"/>
      <c r="AY44" s="67">
        <v>1472.5461744000004</v>
      </c>
      <c r="AZ44" s="22"/>
      <c r="BA44" s="68">
        <f t="shared" si="151"/>
        <v>1568.2616757360004</v>
      </c>
      <c r="BB44" s="45">
        <f t="shared" si="162"/>
        <v>1.2091454708835778</v>
      </c>
      <c r="BC44" s="22"/>
      <c r="BD44" s="46"/>
      <c r="BE44" s="146">
        <f t="shared" si="163"/>
        <v>1076.51</v>
      </c>
      <c r="BF44" s="523">
        <f t="shared" si="164"/>
        <v>-491.75167573600038</v>
      </c>
      <c r="BG44" s="44">
        <f t="shared" si="165"/>
        <v>-0.4568017721488889</v>
      </c>
      <c r="BH44" s="149">
        <f t="shared" si="240"/>
        <v>1076.51</v>
      </c>
      <c r="BI44" s="149">
        <f t="shared" ref="BI44:BL44" si="245">SUM(BH44*1.03)</f>
        <v>1108.8053</v>
      </c>
      <c r="BJ44" s="149">
        <f t="shared" si="245"/>
        <v>1142.0694590000001</v>
      </c>
      <c r="BK44" s="149">
        <f t="shared" si="245"/>
        <v>1176.3315427700002</v>
      </c>
      <c r="BL44" s="149">
        <f t="shared" si="245"/>
        <v>1211.6214890531003</v>
      </c>
      <c r="BM44" s="46"/>
      <c r="BN44" s="146">
        <f t="shared" ref="BN44:BN45" si="246">SUM(K44*$BN$2)+(12*75)</f>
        <v>1600.38</v>
      </c>
      <c r="BO44" s="523">
        <f t="shared" si="167"/>
        <v>32.118324263999739</v>
      </c>
      <c r="BP44" s="44">
        <f t="shared" si="168"/>
        <v>2.0069186233269434E-2</v>
      </c>
      <c r="BQ44" s="149">
        <f t="shared" si="235"/>
        <v>1725.0878433096004</v>
      </c>
      <c r="BR44" s="149">
        <f>SUM(BQ44+SUM($BZ44*0.1))</f>
        <v>1962.8627483688149</v>
      </c>
      <c r="BS44" s="149">
        <f t="shared" ref="BS44:BU44" si="247">SUM(BR44*1.03)</f>
        <v>2021.7486308198793</v>
      </c>
      <c r="BT44" s="149">
        <f t="shared" si="247"/>
        <v>2082.4010897444759</v>
      </c>
      <c r="BU44" s="149">
        <f t="shared" si="247"/>
        <v>2144.8731224368103</v>
      </c>
      <c r="BV44" s="526"/>
      <c r="BW44" s="527">
        <f t="shared" si="230"/>
        <v>2377.7490505921451</v>
      </c>
      <c r="BX44" s="523">
        <f t="shared" si="171"/>
        <v>809.4873748561447</v>
      </c>
      <c r="BY44" s="44">
        <f t="shared" si="172"/>
        <v>0.34044272866161096</v>
      </c>
      <c r="BZ44" s="149">
        <f>BW44</f>
        <v>2377.7490505921451</v>
      </c>
      <c r="CA44" s="149">
        <f t="shared" ref="CA44:CD44" si="248">SUM(BZ44*1.03)</f>
        <v>2449.0815221099097</v>
      </c>
      <c r="CB44" s="149">
        <f t="shared" si="248"/>
        <v>2522.5539677732072</v>
      </c>
      <c r="CC44" s="149">
        <f t="shared" si="248"/>
        <v>2598.2305868064036</v>
      </c>
      <c r="CD44" s="149">
        <f t="shared" si="248"/>
        <v>2676.1775044105957</v>
      </c>
      <c r="CE44" s="22"/>
      <c r="CF44" s="149">
        <f t="shared" si="232"/>
        <v>4641.4000000000005</v>
      </c>
      <c r="CG44" s="145">
        <f t="shared" si="233"/>
        <v>3073.1383242640004</v>
      </c>
    </row>
    <row r="45" spans="1:85" ht="15.75" customHeight="1" x14ac:dyDescent="0.5">
      <c r="A45" s="103" t="s">
        <v>156</v>
      </c>
      <c r="B45" s="84" t="s">
        <v>81</v>
      </c>
      <c r="C45" s="61"/>
      <c r="D45" s="62">
        <f>'Avg master'!H43</f>
        <v>490</v>
      </c>
      <c r="E45" s="66">
        <f t="shared" si="0"/>
        <v>1.8125033136752757E-3</v>
      </c>
      <c r="F45" s="77">
        <f t="shared" si="1"/>
        <v>0</v>
      </c>
      <c r="G45" s="61"/>
      <c r="H45" s="64">
        <v>490</v>
      </c>
      <c r="I45" s="64">
        <v>490</v>
      </c>
      <c r="J45" s="64">
        <v>490</v>
      </c>
      <c r="K45" s="65">
        <f t="shared" si="2"/>
        <v>490</v>
      </c>
      <c r="L45" s="66">
        <f t="shared" si="3"/>
        <v>4.2081397445916813E-3</v>
      </c>
      <c r="M45" s="77">
        <f t="shared" si="4"/>
        <v>0</v>
      </c>
      <c r="N45" s="66"/>
      <c r="O45" s="65"/>
      <c r="P45" s="65"/>
      <c r="Q45" s="65"/>
      <c r="R45" s="65"/>
      <c r="S45" s="66"/>
      <c r="T45" s="145">
        <v>6808</v>
      </c>
      <c r="U45" s="66">
        <f t="shared" si="7"/>
        <v>5.1405729231949479E-3</v>
      </c>
      <c r="V45" s="77">
        <f t="shared" si="8"/>
        <v>817.20793497265856</v>
      </c>
      <c r="W45" s="65"/>
      <c r="X45" s="75"/>
      <c r="Y45" s="76"/>
      <c r="Z45" s="65"/>
      <c r="AA45" s="65"/>
      <c r="AB45" s="65"/>
      <c r="AC45" s="77">
        <f t="shared" si="10"/>
        <v>519.51683333333335</v>
      </c>
      <c r="AD45" s="65"/>
      <c r="AE45" s="65"/>
      <c r="AF45" s="65">
        <v>7266</v>
      </c>
      <c r="AG45" s="66">
        <f t="shared" si="11"/>
        <v>5.8019665680241854E-3</v>
      </c>
      <c r="AH45" s="77">
        <f t="shared" si="12"/>
        <v>0</v>
      </c>
      <c r="AI45" s="65"/>
      <c r="AJ45" s="65"/>
      <c r="AK45" s="145">
        <f>'Avg master'!T43</f>
        <v>67</v>
      </c>
      <c r="AL45" s="145">
        <f>'Avg master'!U43</f>
        <v>574</v>
      </c>
      <c r="AM45" s="65">
        <f t="shared" si="13"/>
        <v>507</v>
      </c>
      <c r="AN45" s="524">
        <f t="shared" si="14"/>
        <v>0.11672473867595819</v>
      </c>
      <c r="AO45" s="66">
        <f t="shared" si="15"/>
        <v>6.8103888091311411E-3</v>
      </c>
      <c r="AP45" s="77">
        <f t="shared" si="16"/>
        <v>365.11360831958996</v>
      </c>
      <c r="AQ45" s="76">
        <f t="shared" si="17"/>
        <v>1701.8383766255818</v>
      </c>
      <c r="AR45" s="144">
        <f t="shared" si="18"/>
        <v>6.726633899705857</v>
      </c>
      <c r="AS45" s="120"/>
      <c r="AT45" s="120"/>
      <c r="AU45" s="120"/>
      <c r="AV45" s="145"/>
      <c r="AW45" s="12"/>
      <c r="AX45" s="12"/>
      <c r="AY45" s="67">
        <v>1227.1218120000001</v>
      </c>
      <c r="AZ45" s="22"/>
      <c r="BA45" s="68">
        <f t="shared" si="151"/>
        <v>1306.88472978</v>
      </c>
      <c r="BB45" s="45">
        <f t="shared" si="162"/>
        <v>2.6671116934285717</v>
      </c>
      <c r="BC45" s="22"/>
      <c r="BD45" s="46"/>
      <c r="BE45" s="146">
        <f t="shared" si="163"/>
        <v>406.7</v>
      </c>
      <c r="BF45" s="523">
        <f t="shared" si="164"/>
        <v>-900.18472978</v>
      </c>
      <c r="BG45" s="44">
        <f t="shared" si="165"/>
        <v>-2.2133875824440619</v>
      </c>
      <c r="BH45" s="149">
        <f>SUM($BA45-SUM($BA45*0.1))</f>
        <v>1176.1962568020001</v>
      </c>
      <c r="BI45" s="149">
        <f t="shared" ref="BI45:BL45" si="249">SUM(BH45-SUM($BZ45*0.1))</f>
        <v>1058.5766311218001</v>
      </c>
      <c r="BJ45" s="149">
        <f t="shared" si="249"/>
        <v>940.95700544160013</v>
      </c>
      <c r="BK45" s="149">
        <f t="shared" si="249"/>
        <v>823.33737976140014</v>
      </c>
      <c r="BL45" s="149">
        <f t="shared" si="249"/>
        <v>705.71775408120016</v>
      </c>
      <c r="BM45" s="46"/>
      <c r="BN45" s="146">
        <f t="shared" si="246"/>
        <v>1164.5999999999999</v>
      </c>
      <c r="BO45" s="523">
        <f t="shared" si="167"/>
        <v>-142.28472978000013</v>
      </c>
      <c r="BP45" s="44">
        <f t="shared" si="168"/>
        <v>-0.12217476367851636</v>
      </c>
      <c r="BQ45" s="149">
        <f>SUM($BA45-SUM($BA45*0.1))</f>
        <v>1176.1962568020001</v>
      </c>
      <c r="BR45" s="149">
        <f t="shared" ref="BR45:BU45" si="250">SUM(BQ45*1.03)</f>
        <v>1211.4821445060602</v>
      </c>
      <c r="BS45" s="149">
        <f t="shared" si="250"/>
        <v>1247.826608841242</v>
      </c>
      <c r="BT45" s="149">
        <f t="shared" si="250"/>
        <v>1285.2614071064793</v>
      </c>
      <c r="BU45" s="149">
        <f t="shared" si="250"/>
        <v>1323.8192493196736</v>
      </c>
      <c r="BV45" s="526"/>
      <c r="BW45" s="527">
        <f>SUM(L45*$BA$63)+$BW$2</f>
        <v>1348.301491742599</v>
      </c>
      <c r="BX45" s="523">
        <f t="shared" si="171"/>
        <v>41.416761962598912</v>
      </c>
      <c r="BY45" s="44">
        <f t="shared" si="172"/>
        <v>3.0717730578989591E-2</v>
      </c>
      <c r="BZ45" s="149">
        <f>SUM($BA45-SUM($BA45*0.1))</f>
        <v>1176.1962568020001</v>
      </c>
      <c r="CA45" s="149">
        <f t="shared" ref="CA45:CD45" si="251">SUM(BZ45-SUM($BZ45*0.1))</f>
        <v>1058.5766311218001</v>
      </c>
      <c r="CB45" s="149">
        <f t="shared" si="251"/>
        <v>940.95700544160013</v>
      </c>
      <c r="CC45" s="149">
        <f t="shared" si="251"/>
        <v>823.33737976140014</v>
      </c>
      <c r="CD45" s="149">
        <f t="shared" si="251"/>
        <v>705.71775408120016</v>
      </c>
      <c r="CE45" s="22"/>
      <c r="CF45" s="348">
        <f>SUM(BA45*1.05)</f>
        <v>1372.228966269</v>
      </c>
      <c r="CG45" s="22"/>
    </row>
    <row r="46" spans="1:85" ht="15.75" customHeight="1" x14ac:dyDescent="0.5">
      <c r="A46" s="80" t="s">
        <v>157</v>
      </c>
      <c r="B46" s="82" t="s">
        <v>92</v>
      </c>
      <c r="C46" s="85"/>
      <c r="D46" s="62">
        <f>'Avg master'!H44</f>
        <v>3127</v>
      </c>
      <c r="E46" s="66">
        <f t="shared" si="0"/>
        <v>1.156673033033181E-2</v>
      </c>
      <c r="F46" s="77">
        <f t="shared" si="1"/>
        <v>0</v>
      </c>
      <c r="G46" s="85"/>
      <c r="H46" s="64">
        <v>1119</v>
      </c>
      <c r="I46" s="64">
        <v>999</v>
      </c>
      <c r="J46" s="64">
        <v>817</v>
      </c>
      <c r="K46" s="65">
        <f t="shared" si="2"/>
        <v>978.33333333333337</v>
      </c>
      <c r="L46" s="66">
        <f t="shared" si="3"/>
        <v>8.4019660886915544E-3</v>
      </c>
      <c r="M46" s="77">
        <f t="shared" si="4"/>
        <v>0</v>
      </c>
      <c r="N46" s="66"/>
      <c r="O46" s="65">
        <v>950</v>
      </c>
      <c r="P46" s="66">
        <f>SUM(O46/$O$60)</f>
        <v>9.6380163947731509E-3</v>
      </c>
      <c r="Q46" s="77">
        <f>SUM(P46*$Q$61)</f>
        <v>0</v>
      </c>
      <c r="R46" s="65"/>
      <c r="S46" s="66"/>
      <c r="T46" s="145">
        <v>7238</v>
      </c>
      <c r="U46" s="66">
        <f t="shared" si="7"/>
        <v>5.4652565831499753E-3</v>
      </c>
      <c r="V46" s="77">
        <f t="shared" si="8"/>
        <v>868.82359479026184</v>
      </c>
      <c r="W46" s="77"/>
      <c r="X46" s="75">
        <v>4699</v>
      </c>
      <c r="Y46" s="77">
        <f>SUM(X46*$Y$62)</f>
        <v>0</v>
      </c>
      <c r="Z46" s="77"/>
      <c r="AA46" s="65"/>
      <c r="AB46" s="65"/>
      <c r="AC46" s="77">
        <f t="shared" si="10"/>
        <v>519.51683333333335</v>
      </c>
      <c r="AD46" s="65"/>
      <c r="AE46" s="65"/>
      <c r="AF46" s="65">
        <v>9997</v>
      </c>
      <c r="AG46" s="66">
        <f t="shared" si="11"/>
        <v>7.9826947124329445E-3</v>
      </c>
      <c r="AH46" s="77">
        <f t="shared" si="12"/>
        <v>0</v>
      </c>
      <c r="AI46" s="65"/>
      <c r="AJ46" s="65"/>
      <c r="AK46" s="145">
        <f>'Avg master'!T44</f>
        <v>1523</v>
      </c>
      <c r="AL46" s="145">
        <f>'Avg master'!U44</f>
        <v>854.5</v>
      </c>
      <c r="AM46" s="65">
        <f t="shared" si="13"/>
        <v>-668.5</v>
      </c>
      <c r="AN46" s="524">
        <f t="shared" si="14"/>
        <v>1.7823288472791106</v>
      </c>
      <c r="AO46" s="66">
        <f t="shared" si="15"/>
        <v>1.0138462086067179E-2</v>
      </c>
      <c r="AP46" s="77">
        <f t="shared" si="16"/>
        <v>187.72117301235124</v>
      </c>
      <c r="AQ46" s="76">
        <f t="shared" si="17"/>
        <v>1576.0616011359466</v>
      </c>
      <c r="AR46" s="144">
        <f t="shared" si="18"/>
        <v>6.2294924946084844</v>
      </c>
      <c r="AS46" s="120"/>
      <c r="AT46" s="120">
        <v>1350</v>
      </c>
      <c r="AU46" s="120">
        <v>1375</v>
      </c>
      <c r="AV46" s="145">
        <v>1420</v>
      </c>
      <c r="AW46" s="528" t="s">
        <v>472</v>
      </c>
      <c r="AX46" s="12"/>
      <c r="AY46" s="67">
        <v>1659.5361648000001</v>
      </c>
      <c r="AZ46" s="22"/>
      <c r="BA46" s="68">
        <f t="shared" si="151"/>
        <v>1767.4060155120001</v>
      </c>
      <c r="BB46" s="45">
        <f t="shared" si="162"/>
        <v>1.8065478863836457</v>
      </c>
      <c r="BC46" s="22"/>
      <c r="BD46" s="46"/>
      <c r="BE46" s="146">
        <f t="shared" si="163"/>
        <v>812.01666666666665</v>
      </c>
      <c r="BF46" s="523">
        <f t="shared" si="164"/>
        <v>-955.38934884533342</v>
      </c>
      <c r="BG46" s="44">
        <f t="shared" si="165"/>
        <v>-1.176563718534513</v>
      </c>
      <c r="BH46" s="149">
        <f t="shared" ref="BH46:BH49" si="252">SUM($BA46+SUM($BA46*0.1))</f>
        <v>1944.1466170632002</v>
      </c>
      <c r="BI46" s="149">
        <f t="shared" ref="BI46:BK46" si="253">SUM(BH46+SUM($BZ46*0.1))</f>
        <v>2138.5612787695204</v>
      </c>
      <c r="BJ46" s="149">
        <f t="shared" si="253"/>
        <v>2332.9759404758406</v>
      </c>
      <c r="BK46" s="149">
        <f t="shared" si="253"/>
        <v>2527.3906021821608</v>
      </c>
      <c r="BL46" s="149">
        <f>SUM(BK46*1.03)</f>
        <v>2603.2123202476255</v>
      </c>
      <c r="BM46" s="46"/>
      <c r="BN46" s="146">
        <f>SUM(K46*$BN$2)+(12*100)</f>
        <v>1728.3000000000002</v>
      </c>
      <c r="BO46" s="523">
        <f t="shared" si="167"/>
        <v>-39.106015511999885</v>
      </c>
      <c r="BP46" s="44">
        <f t="shared" si="168"/>
        <v>-2.2626867738239822E-2</v>
      </c>
      <c r="BQ46" s="149">
        <f>SUM($BA46+SUM($BA46*0.1))</f>
        <v>1944.1466170632002</v>
      </c>
      <c r="BR46" s="149">
        <f t="shared" ref="BR46:BU46" si="254">SUM(BQ46+SUM($BZ46*0.1))</f>
        <v>2138.5612787695204</v>
      </c>
      <c r="BS46" s="149">
        <f t="shared" si="254"/>
        <v>2332.9759404758406</v>
      </c>
      <c r="BT46" s="149">
        <f t="shared" si="254"/>
        <v>2527.3906021821608</v>
      </c>
      <c r="BU46" s="348">
        <f t="shared" si="254"/>
        <v>2721.805263888481</v>
      </c>
      <c r="BV46" s="526"/>
      <c r="BW46" s="527">
        <f>SUM(L46*$BA$63)</f>
        <v>1793.547536234373</v>
      </c>
      <c r="BX46" s="523">
        <f t="shared" si="171"/>
        <v>26.141520722372888</v>
      </c>
      <c r="BY46" s="44">
        <f t="shared" si="172"/>
        <v>1.4575315230985229E-2</v>
      </c>
      <c r="BZ46" s="149">
        <f t="shared" ref="BZ46:BZ49" si="255">SUM($BA46+SUM($BA46*0.1))</f>
        <v>1944.1466170632002</v>
      </c>
      <c r="CA46" s="149">
        <f t="shared" ref="CA46:CC46" si="256">SUM(BZ46+SUM($BZ46*0.1))</f>
        <v>2138.5612787695204</v>
      </c>
      <c r="CB46" s="149">
        <f t="shared" si="256"/>
        <v>2332.9759404758406</v>
      </c>
      <c r="CC46" s="149">
        <f t="shared" si="256"/>
        <v>2527.3906021821608</v>
      </c>
      <c r="CD46" s="149">
        <f>SUM(CC46*1.03)</f>
        <v>2603.2123202476255</v>
      </c>
      <c r="CE46" s="22"/>
      <c r="CF46" s="149">
        <f>SUM(T46*$CF$3)</f>
        <v>1447.6000000000001</v>
      </c>
      <c r="CG46" s="145">
        <f>SUM(CF46-BA46)</f>
        <v>-319.80601551199993</v>
      </c>
    </row>
    <row r="47" spans="1:85" ht="15.75" customHeight="1" x14ac:dyDescent="0.5">
      <c r="A47" s="83" t="s">
        <v>159</v>
      </c>
      <c r="B47" s="85" t="s">
        <v>89</v>
      </c>
      <c r="C47" s="85"/>
      <c r="D47" s="62">
        <f>'Avg master'!H45</f>
        <v>2</v>
      </c>
      <c r="E47" s="66">
        <f t="shared" si="0"/>
        <v>7.3979727088786762E-6</v>
      </c>
      <c r="F47" s="77">
        <f t="shared" si="1"/>
        <v>0</v>
      </c>
      <c r="G47" s="85"/>
      <c r="H47" s="64">
        <v>2</v>
      </c>
      <c r="I47" s="64">
        <v>2</v>
      </c>
      <c r="J47" s="64">
        <v>2</v>
      </c>
      <c r="K47" s="65">
        <f t="shared" si="2"/>
        <v>2</v>
      </c>
      <c r="L47" s="66">
        <f t="shared" si="3"/>
        <v>1.717608059017013E-5</v>
      </c>
      <c r="M47" s="77">
        <f t="shared" si="4"/>
        <v>0</v>
      </c>
      <c r="N47" s="66"/>
      <c r="O47" s="65"/>
      <c r="P47" s="65"/>
      <c r="Q47" s="65"/>
      <c r="R47" s="65"/>
      <c r="S47" s="529"/>
      <c r="T47" s="145">
        <v>1132</v>
      </c>
      <c r="U47" s="66">
        <f t="shared" si="7"/>
        <v>8.547486117885841E-4</v>
      </c>
      <c r="V47" s="77">
        <f t="shared" si="8"/>
        <v>135.88122538029515</v>
      </c>
      <c r="W47" s="65"/>
      <c r="X47" s="75"/>
      <c r="Y47" s="76"/>
      <c r="Z47" s="65"/>
      <c r="AA47" s="65"/>
      <c r="AB47" s="65"/>
      <c r="AC47" s="77">
        <f t="shared" si="10"/>
        <v>519.51683333333335</v>
      </c>
      <c r="AD47" s="65"/>
      <c r="AE47" s="65"/>
      <c r="AF47" s="65">
        <v>67</v>
      </c>
      <c r="AG47" s="66">
        <f t="shared" si="11"/>
        <v>5.3500104604682141E-5</v>
      </c>
      <c r="AH47" s="77">
        <f t="shared" si="12"/>
        <v>0</v>
      </c>
      <c r="AI47" s="65"/>
      <c r="AJ47" s="65"/>
      <c r="AK47" s="145">
        <f>'Avg master'!T45</f>
        <v>9</v>
      </c>
      <c r="AL47" s="145">
        <f>'Avg master'!U45</f>
        <v>37</v>
      </c>
      <c r="AM47" s="65">
        <f t="shared" si="13"/>
        <v>28</v>
      </c>
      <c r="AN47" s="524">
        <f t="shared" si="14"/>
        <v>0.24324324324324326</v>
      </c>
      <c r="AO47" s="66">
        <f t="shared" si="15"/>
        <v>4.3899718804503874E-4</v>
      </c>
      <c r="AP47" s="77">
        <f t="shared" si="16"/>
        <v>22.364901581576355</v>
      </c>
      <c r="AQ47" s="76">
        <f t="shared" si="17"/>
        <v>677.76296029520483</v>
      </c>
      <c r="AR47" s="144">
        <f t="shared" si="18"/>
        <v>2.6789049814039716</v>
      </c>
      <c r="AS47" s="120"/>
      <c r="AT47" s="120">
        <v>300</v>
      </c>
      <c r="AU47" s="120">
        <v>305</v>
      </c>
      <c r="AV47" s="145">
        <v>315</v>
      </c>
      <c r="AW47" s="12"/>
      <c r="AX47" s="12"/>
      <c r="AY47" s="67">
        <v>368.1365436000001</v>
      </c>
      <c r="AZ47" s="22"/>
      <c r="BA47" s="68">
        <f t="shared" si="151"/>
        <v>392.06541893400009</v>
      </c>
      <c r="BB47" s="45">
        <f t="shared" si="162"/>
        <v>196.03270946700005</v>
      </c>
      <c r="BC47" s="22"/>
      <c r="BD47" s="46"/>
      <c r="BE47" s="146">
        <f t="shared" si="163"/>
        <v>1.66</v>
      </c>
      <c r="BF47" s="523">
        <f t="shared" si="164"/>
        <v>-390.40541893400007</v>
      </c>
      <c r="BG47" s="44">
        <f t="shared" si="165"/>
        <v>-235.18398730963861</v>
      </c>
      <c r="BH47" s="149">
        <f t="shared" si="252"/>
        <v>431.27196082740011</v>
      </c>
      <c r="BI47" s="149">
        <f t="shared" ref="BI47:BL47" si="257">SUM(BH47*1.03)</f>
        <v>444.21011965222215</v>
      </c>
      <c r="BJ47" s="149">
        <f t="shared" si="257"/>
        <v>457.53642324178884</v>
      </c>
      <c r="BK47" s="149">
        <f t="shared" si="257"/>
        <v>471.26251593904254</v>
      </c>
      <c r="BL47" s="149">
        <f t="shared" si="257"/>
        <v>485.40039141721383</v>
      </c>
      <c r="BM47" s="46"/>
      <c r="BN47" s="146">
        <f>SUM(K47*$BN$2)+(12*10)</f>
        <v>121.08</v>
      </c>
      <c r="BO47" s="523">
        <f t="shared" si="167"/>
        <v>-270.98541893400011</v>
      </c>
      <c r="BP47" s="44">
        <f t="shared" si="168"/>
        <v>-2.2380692016352834</v>
      </c>
      <c r="BQ47" s="149">
        <f t="shared" ref="BQ47:BQ48" si="258">SUM($BA47-SUM($BA47*0.1))</f>
        <v>352.85887704060008</v>
      </c>
      <c r="BR47" s="149">
        <f t="shared" ref="BR47:BT47" si="259">SUM(BQ47-SUM($BZ47*0.1))</f>
        <v>309.73168095786008</v>
      </c>
      <c r="BS47" s="149">
        <f t="shared" si="259"/>
        <v>266.60448487512008</v>
      </c>
      <c r="BT47" s="149">
        <f t="shared" si="259"/>
        <v>223.47728879238008</v>
      </c>
      <c r="BU47" s="149">
        <f t="shared" ref="BU47:BU48" si="260">SUM(BT47*1.03)</f>
        <v>230.18160745615148</v>
      </c>
      <c r="BV47" s="526"/>
      <c r="BW47" s="53">
        <v>450</v>
      </c>
      <c r="BX47" s="523">
        <f t="shared" si="171"/>
        <v>57.934581065999907</v>
      </c>
      <c r="BY47" s="44">
        <f t="shared" si="172"/>
        <v>0.12874351347999979</v>
      </c>
      <c r="BZ47" s="149">
        <f t="shared" si="255"/>
        <v>431.27196082740011</v>
      </c>
      <c r="CA47" s="149">
        <f t="shared" ref="CA47:CD47" si="261">SUM(BZ47*1.03)</f>
        <v>444.21011965222215</v>
      </c>
      <c r="CB47" s="149">
        <f t="shared" si="261"/>
        <v>457.53642324178884</v>
      </c>
      <c r="CC47" s="149">
        <f t="shared" si="261"/>
        <v>471.26251593904254</v>
      </c>
      <c r="CD47" s="149">
        <f t="shared" si="261"/>
        <v>485.40039141721383</v>
      </c>
      <c r="CE47" s="22"/>
      <c r="CF47" s="348">
        <f t="shared" ref="CF47:CF48" si="262">SUM(BA47*1.05)</f>
        <v>411.66868988070013</v>
      </c>
      <c r="CG47" s="22"/>
    </row>
    <row r="48" spans="1:85" ht="15.75" customHeight="1" x14ac:dyDescent="0.5">
      <c r="A48" s="95" t="s">
        <v>161</v>
      </c>
      <c r="B48" s="61" t="s">
        <v>89</v>
      </c>
      <c r="C48" s="85"/>
      <c r="D48" s="62">
        <f>'Avg master'!H46</f>
        <v>1</v>
      </c>
      <c r="E48" s="66">
        <f t="shared" si="0"/>
        <v>3.6989863544393381E-6</v>
      </c>
      <c r="F48" s="77">
        <f t="shared" si="1"/>
        <v>0</v>
      </c>
      <c r="G48" s="85"/>
      <c r="H48" s="64">
        <v>1</v>
      </c>
      <c r="I48" s="64">
        <v>1</v>
      </c>
      <c r="J48" s="64">
        <v>1</v>
      </c>
      <c r="K48" s="65">
        <f t="shared" si="2"/>
        <v>1</v>
      </c>
      <c r="L48" s="66">
        <f t="shared" si="3"/>
        <v>8.5880402950850649E-6</v>
      </c>
      <c r="M48" s="77">
        <f t="shared" si="4"/>
        <v>0</v>
      </c>
      <c r="N48" s="66"/>
      <c r="O48" s="65"/>
      <c r="P48" s="65"/>
      <c r="Q48" s="65"/>
      <c r="R48" s="65"/>
      <c r="S48" s="529"/>
      <c r="T48" s="145">
        <v>1446</v>
      </c>
      <c r="U48" s="66">
        <f t="shared" si="7"/>
        <v>1.0918431913836508E-3</v>
      </c>
      <c r="V48" s="77">
        <f t="shared" si="8"/>
        <v>173.57266068896362</v>
      </c>
      <c r="W48" s="65"/>
      <c r="X48" s="75"/>
      <c r="Y48" s="76"/>
      <c r="Z48" s="65"/>
      <c r="AA48" s="65"/>
      <c r="AB48" s="65"/>
      <c r="AC48" s="77">
        <f t="shared" si="10"/>
        <v>519.51683333333335</v>
      </c>
      <c r="AD48" s="65"/>
      <c r="AE48" s="65"/>
      <c r="AF48" s="65">
        <v>0</v>
      </c>
      <c r="AG48" s="66">
        <f t="shared" si="11"/>
        <v>0</v>
      </c>
      <c r="AH48" s="77">
        <f t="shared" si="12"/>
        <v>0</v>
      </c>
      <c r="AI48" s="65"/>
      <c r="AJ48" s="65"/>
      <c r="AK48" s="145">
        <f>'Avg master'!T46</f>
        <v>0</v>
      </c>
      <c r="AL48" s="145">
        <f>'Avg master'!U46</f>
        <v>0</v>
      </c>
      <c r="AM48" s="65">
        <f t="shared" si="13"/>
        <v>0</v>
      </c>
      <c r="AN48" s="524" t="e">
        <f t="shared" si="14"/>
        <v>#DIV/0!</v>
      </c>
      <c r="AO48" s="66">
        <f t="shared" si="15"/>
        <v>0</v>
      </c>
      <c r="AP48" s="77">
        <f t="shared" si="16"/>
        <v>0</v>
      </c>
      <c r="AQ48" s="76">
        <f t="shared" si="17"/>
        <v>693.089494022297</v>
      </c>
      <c r="AR48" s="144">
        <f t="shared" si="18"/>
        <v>2.7394841660960356</v>
      </c>
      <c r="AS48" s="120"/>
      <c r="AT48" s="120">
        <v>300</v>
      </c>
      <c r="AU48" s="120">
        <v>305</v>
      </c>
      <c r="AV48" s="145">
        <v>315</v>
      </c>
      <c r="AW48" s="12"/>
      <c r="AX48" s="12"/>
      <c r="AY48" s="67">
        <v>368.1365436000001</v>
      </c>
      <c r="AZ48" s="22"/>
      <c r="BA48" s="68">
        <f t="shared" si="151"/>
        <v>392.06541893400009</v>
      </c>
      <c r="BB48" s="45"/>
      <c r="BC48" s="22"/>
      <c r="BD48" s="46"/>
      <c r="BE48" s="52"/>
      <c r="BF48" s="22"/>
      <c r="BG48" s="22"/>
      <c r="BH48" s="149">
        <f t="shared" si="252"/>
        <v>431.27196082740011</v>
      </c>
      <c r="BI48" s="149">
        <f t="shared" ref="BI48:BL48" si="263">SUM(BH48*1.03)</f>
        <v>444.21011965222215</v>
      </c>
      <c r="BJ48" s="149">
        <f t="shared" si="263"/>
        <v>457.53642324178884</v>
      </c>
      <c r="BK48" s="149">
        <f t="shared" si="263"/>
        <v>471.26251593904254</v>
      </c>
      <c r="BL48" s="149">
        <f t="shared" si="263"/>
        <v>485.40039141721383</v>
      </c>
      <c r="BM48" s="46"/>
      <c r="BN48" s="540">
        <v>400</v>
      </c>
      <c r="BO48" s="22"/>
      <c r="BP48" s="22"/>
      <c r="BQ48" s="149">
        <f t="shared" si="258"/>
        <v>352.85887704060008</v>
      </c>
      <c r="BR48" s="149">
        <f t="shared" ref="BR48:BT48" si="264">SUM(BQ48-SUM($BZ48*0.1))</f>
        <v>309.73168095786008</v>
      </c>
      <c r="BS48" s="149">
        <f t="shared" si="264"/>
        <v>266.60448487512008</v>
      </c>
      <c r="BT48" s="149">
        <f t="shared" si="264"/>
        <v>223.47728879238008</v>
      </c>
      <c r="BU48" s="149">
        <f t="shared" si="260"/>
        <v>230.18160745615148</v>
      </c>
      <c r="BV48" s="521"/>
      <c r="BW48" s="22">
        <v>450</v>
      </c>
      <c r="BX48" s="22"/>
      <c r="BY48" s="22"/>
      <c r="BZ48" s="149">
        <f t="shared" si="255"/>
        <v>431.27196082740011</v>
      </c>
      <c r="CA48" s="149">
        <f t="shared" ref="CA48:CD48" si="265">SUM(BZ48*1.03)</f>
        <v>444.21011965222215</v>
      </c>
      <c r="CB48" s="149">
        <f t="shared" si="265"/>
        <v>457.53642324178884</v>
      </c>
      <c r="CC48" s="149">
        <f t="shared" si="265"/>
        <v>471.26251593904254</v>
      </c>
      <c r="CD48" s="149">
        <f t="shared" si="265"/>
        <v>485.40039141721383</v>
      </c>
      <c r="CE48" s="22"/>
      <c r="CF48" s="348">
        <f t="shared" si="262"/>
        <v>411.66868988070013</v>
      </c>
      <c r="CG48" s="22"/>
    </row>
    <row r="49" spans="1:85" ht="15.75" customHeight="1" x14ac:dyDescent="0.5">
      <c r="A49" s="83" t="s">
        <v>163</v>
      </c>
      <c r="B49" s="85" t="s">
        <v>72</v>
      </c>
      <c r="C49" s="85"/>
      <c r="D49" s="62">
        <f>'Avg master'!H47</f>
        <v>26073.333333333332</v>
      </c>
      <c r="E49" s="66">
        <f t="shared" si="0"/>
        <v>9.6444904214748328E-2</v>
      </c>
      <c r="F49" s="77">
        <f t="shared" si="1"/>
        <v>0</v>
      </c>
      <c r="G49" s="85"/>
      <c r="H49" s="64">
        <v>19304</v>
      </c>
      <c r="I49" s="64">
        <v>16605</v>
      </c>
      <c r="J49" s="64">
        <v>9120</v>
      </c>
      <c r="K49" s="65">
        <f t="shared" si="2"/>
        <v>15009.666666666666</v>
      </c>
      <c r="L49" s="66">
        <f t="shared" si="3"/>
        <v>0.12890362214912846</v>
      </c>
      <c r="M49" s="77">
        <f t="shared" si="4"/>
        <v>0</v>
      </c>
      <c r="N49" s="66"/>
      <c r="O49" s="65">
        <v>15562</v>
      </c>
      <c r="P49" s="66">
        <f>SUM(O49/$O$60)</f>
        <v>0.15788085382679978</v>
      </c>
      <c r="Q49" s="77">
        <f>SUM(P49*$Q$61)</f>
        <v>0</v>
      </c>
      <c r="R49" s="65"/>
      <c r="S49" s="66"/>
      <c r="T49" s="145">
        <v>107166</v>
      </c>
      <c r="U49" s="66">
        <f t="shared" si="7"/>
        <v>8.091871884358251E-2</v>
      </c>
      <c r="V49" s="77">
        <f t="shared" si="8"/>
        <v>12863.822790728544</v>
      </c>
      <c r="W49" s="77"/>
      <c r="X49" s="75">
        <v>143207</v>
      </c>
      <c r="Y49" s="77">
        <f>SUM(X49*$Y$62)</f>
        <v>0</v>
      </c>
      <c r="Z49" s="77"/>
      <c r="AA49" s="65"/>
      <c r="AB49" s="65"/>
      <c r="AC49" s="77">
        <f t="shared" si="10"/>
        <v>519.51683333333335</v>
      </c>
      <c r="AD49" s="65"/>
      <c r="AE49" s="65"/>
      <c r="AF49" s="65">
        <v>235488</v>
      </c>
      <c r="AG49" s="66">
        <f t="shared" si="11"/>
        <v>0.18803929303205055</v>
      </c>
      <c r="AH49" s="77">
        <f t="shared" si="12"/>
        <v>0</v>
      </c>
      <c r="AI49" s="65"/>
      <c r="AJ49" s="65"/>
      <c r="AK49" s="145">
        <f>'Avg master'!T47</f>
        <v>13673</v>
      </c>
      <c r="AL49" s="145">
        <f>'Avg master'!U47</f>
        <v>8356.5</v>
      </c>
      <c r="AM49" s="65">
        <f t="shared" si="13"/>
        <v>-5316.5</v>
      </c>
      <c r="AN49" s="524">
        <f t="shared" si="14"/>
        <v>1.636211332495662</v>
      </c>
      <c r="AO49" s="66">
        <f t="shared" si="15"/>
        <v>9.9148108159415299E-2</v>
      </c>
      <c r="AP49" s="77">
        <f t="shared" si="16"/>
        <v>2141.0587855795357</v>
      </c>
      <c r="AQ49" s="76">
        <f t="shared" si="17"/>
        <v>15524.398409641413</v>
      </c>
      <c r="AR49" s="144">
        <f t="shared" si="18"/>
        <v>61.36125853613207</v>
      </c>
      <c r="AS49" s="120"/>
      <c r="AT49" s="120">
        <v>10000</v>
      </c>
      <c r="AU49" s="120">
        <v>10200</v>
      </c>
      <c r="AV49" s="145">
        <v>10500</v>
      </c>
      <c r="AW49" s="12"/>
      <c r="AX49" s="12"/>
      <c r="AY49" s="67">
        <v>12271.218120000003</v>
      </c>
      <c r="AZ49" s="22"/>
      <c r="BA49" s="68">
        <f t="shared" si="151"/>
        <v>13068.847297800003</v>
      </c>
      <c r="BB49" s="45">
        <f t="shared" ref="BB49:BB57" si="266">SUM(BA49/K49)</f>
        <v>0.87069537172488864</v>
      </c>
      <c r="BC49" s="22"/>
      <c r="BD49" s="46"/>
      <c r="BE49" s="146">
        <f t="shared" ref="BE49:BE57" si="267">SUM(K49*$BE$2)</f>
        <v>12458.023333333333</v>
      </c>
      <c r="BF49" s="523">
        <f t="shared" ref="BF49:BF57" si="268">SUM(BE49-BA49)</f>
        <v>-610.82396446667008</v>
      </c>
      <c r="BG49" s="44">
        <f t="shared" ref="BG49:BG57" si="269">SUM(BE49-BA49)/BE49</f>
        <v>-4.9030568343239322E-2</v>
      </c>
      <c r="BH49" s="149">
        <f t="shared" si="252"/>
        <v>14375.732027580003</v>
      </c>
      <c r="BI49" s="149">
        <f t="shared" ref="BI49:BL49" si="270">SUM(BH49+SUM($BZ49*0.1))</f>
        <v>15813.305230338003</v>
      </c>
      <c r="BJ49" s="149">
        <f t="shared" si="270"/>
        <v>17250.878433096004</v>
      </c>
      <c r="BK49" s="149">
        <f t="shared" si="270"/>
        <v>18688.451635854006</v>
      </c>
      <c r="BL49" s="149">
        <f t="shared" si="270"/>
        <v>20126.024838612007</v>
      </c>
      <c r="BM49" s="46"/>
      <c r="BN49" s="146">
        <f>SUM(K49*$BN$2)+(12*250)</f>
        <v>11105.220000000001</v>
      </c>
      <c r="BO49" s="523">
        <f t="shared" ref="BO49:BO56" si="271">SUM(BN49-BA49)</f>
        <v>-1963.6272978000015</v>
      </c>
      <c r="BP49" s="44">
        <f t="shared" ref="BP49:BP56" si="272">SUM(BN49-BA49)/BN49</f>
        <v>-0.17682020687568561</v>
      </c>
      <c r="BQ49" s="149">
        <f>SUM($BA49+SUM($BA49*0.1))</f>
        <v>14375.732027580003</v>
      </c>
      <c r="BR49" s="149">
        <f t="shared" ref="BR49:BS49" si="273">SUM(BQ49+SUM($BZ49*0.1))</f>
        <v>15813.305230338003</v>
      </c>
      <c r="BS49" s="149">
        <f t="shared" si="273"/>
        <v>17250.878433096004</v>
      </c>
      <c r="BT49" s="149">
        <f t="shared" ref="BT49:BU49" si="274">SUM(BS49*1.03)</f>
        <v>17768.404786088886</v>
      </c>
      <c r="BU49" s="149">
        <f t="shared" si="274"/>
        <v>18301.456929671553</v>
      </c>
      <c r="BV49" s="526"/>
      <c r="BW49" s="527">
        <f t="shared" ref="BW49:BW50" si="275">SUM(L49*$BA$63)</f>
        <v>27516.74685148129</v>
      </c>
      <c r="BX49" s="523">
        <f t="shared" ref="BX49:BX56" si="276">SUM(BW49-$BA49)</f>
        <v>14447.899553681287</v>
      </c>
      <c r="BY49" s="44">
        <f t="shared" ref="BY49:BY56" si="277">SUM(BW49-$BA49)/BW49</f>
        <v>0.52505841739440662</v>
      </c>
      <c r="BZ49" s="149">
        <f t="shared" si="255"/>
        <v>14375.732027580003</v>
      </c>
      <c r="CA49" s="149">
        <f t="shared" ref="CA49:CD49" si="278">SUM(BZ49+SUM($BZ49*0.1))</f>
        <v>15813.305230338003</v>
      </c>
      <c r="CB49" s="149">
        <f t="shared" si="278"/>
        <v>17250.878433096004</v>
      </c>
      <c r="CC49" s="149">
        <f t="shared" si="278"/>
        <v>18688.451635854006</v>
      </c>
      <c r="CD49" s="149">
        <f t="shared" si="278"/>
        <v>20126.024838612007</v>
      </c>
      <c r="CE49" s="22"/>
      <c r="CF49" s="149">
        <f>SUM(T49*$CF$3)</f>
        <v>21433.200000000001</v>
      </c>
      <c r="CG49" s="145">
        <f>SUM(CF49-BA49)</f>
        <v>8364.352702199998</v>
      </c>
    </row>
    <row r="50" spans="1:85" ht="15.75" customHeight="1" x14ac:dyDescent="0.5">
      <c r="A50" s="86" t="s">
        <v>165</v>
      </c>
      <c r="B50" s="88" t="s">
        <v>75</v>
      </c>
      <c r="C50" s="85"/>
      <c r="D50" s="62">
        <f>'Avg master'!H48</f>
        <v>2487</v>
      </c>
      <c r="E50" s="66">
        <f t="shared" si="0"/>
        <v>9.1993790634906335E-3</v>
      </c>
      <c r="F50" s="77">
        <f t="shared" si="1"/>
        <v>0</v>
      </c>
      <c r="G50" s="85"/>
      <c r="H50" s="64">
        <v>4283</v>
      </c>
      <c r="I50" s="64">
        <v>1955</v>
      </c>
      <c r="J50" s="64">
        <v>1223</v>
      </c>
      <c r="K50" s="65">
        <f t="shared" si="2"/>
        <v>2487</v>
      </c>
      <c r="L50" s="66">
        <f t="shared" si="3"/>
        <v>2.1358456213876557E-2</v>
      </c>
      <c r="M50" s="77">
        <f t="shared" si="4"/>
        <v>0</v>
      </c>
      <c r="N50" s="66"/>
      <c r="O50" s="65"/>
      <c r="P50" s="65"/>
      <c r="Q50" s="65"/>
      <c r="R50" s="65"/>
      <c r="S50" s="66"/>
      <c r="T50" s="145">
        <v>36701</v>
      </c>
      <c r="U50" s="66">
        <f t="shared" si="7"/>
        <v>2.7712127916301083E-2</v>
      </c>
      <c r="V50" s="77">
        <f t="shared" si="8"/>
        <v>4405.4565836415304</v>
      </c>
      <c r="W50" s="65"/>
      <c r="X50" s="75"/>
      <c r="Y50" s="76"/>
      <c r="Z50" s="65"/>
      <c r="AA50" s="65"/>
      <c r="AB50" s="65"/>
      <c r="AC50" s="77">
        <f t="shared" si="10"/>
        <v>519.51683333333335</v>
      </c>
      <c r="AD50" s="65"/>
      <c r="AE50" s="65"/>
      <c r="AF50" s="65">
        <v>5941</v>
      </c>
      <c r="AG50" s="66">
        <f t="shared" si="11"/>
        <v>4.7439421112897995E-3</v>
      </c>
      <c r="AH50" s="77">
        <f t="shared" si="12"/>
        <v>0</v>
      </c>
      <c r="AI50" s="65"/>
      <c r="AJ50" s="65"/>
      <c r="AK50" s="145">
        <f>'Avg master'!T48</f>
        <v>1443</v>
      </c>
      <c r="AL50" s="145">
        <f>'Avg master'!U48</f>
        <v>436</v>
      </c>
      <c r="AM50" s="65">
        <f t="shared" si="13"/>
        <v>-1007</v>
      </c>
      <c r="AN50" s="524">
        <f t="shared" si="14"/>
        <v>3.3096330275229358</v>
      </c>
      <c r="AO50" s="66">
        <f t="shared" si="15"/>
        <v>5.1730479456118077E-3</v>
      </c>
      <c r="AP50" s="77">
        <f t="shared" si="16"/>
        <v>-70.693321903586735</v>
      </c>
      <c r="AQ50" s="76">
        <f t="shared" si="17"/>
        <v>4854.2800950712772</v>
      </c>
      <c r="AR50" s="144">
        <f t="shared" si="18"/>
        <v>19.18687784613153</v>
      </c>
      <c r="AS50" s="120"/>
      <c r="AT50" s="120">
        <v>6000</v>
      </c>
      <c r="AU50" s="120">
        <v>5100</v>
      </c>
      <c r="AV50" s="145">
        <v>5250</v>
      </c>
      <c r="AW50" s="12" t="s">
        <v>475</v>
      </c>
      <c r="AX50" s="12"/>
      <c r="AY50" s="67">
        <v>6135.6090600000016</v>
      </c>
      <c r="AZ50" s="22"/>
      <c r="BA50" s="68">
        <f t="shared" si="151"/>
        <v>6534.4236489000014</v>
      </c>
      <c r="BB50" s="45">
        <f t="shared" si="266"/>
        <v>2.6274321065138726</v>
      </c>
      <c r="BC50" s="45">
        <f>AVERAGE(BB49:BB50)</f>
        <v>1.7490637391193806</v>
      </c>
      <c r="BD50" s="46"/>
      <c r="BE50" s="146">
        <f t="shared" si="267"/>
        <v>2064.21</v>
      </c>
      <c r="BF50" s="523">
        <f t="shared" si="268"/>
        <v>-4470.2136489000013</v>
      </c>
      <c r="BG50" s="44">
        <f t="shared" si="269"/>
        <v>-2.1655808512215331</v>
      </c>
      <c r="BH50" s="149">
        <f t="shared" ref="BH50:BH52" si="279">SUM($BA50-SUM($BA50*0.1))</f>
        <v>5880.9812840100012</v>
      </c>
      <c r="BI50" s="149">
        <f t="shared" ref="BI50:BL50" si="280">SUM(BH50-SUM($BZ50*0.1))</f>
        <v>5292.8831556090008</v>
      </c>
      <c r="BJ50" s="149">
        <f t="shared" si="280"/>
        <v>4704.7850272080004</v>
      </c>
      <c r="BK50" s="149">
        <f t="shared" si="280"/>
        <v>4116.686898807</v>
      </c>
      <c r="BL50" s="149">
        <f t="shared" si="280"/>
        <v>3528.5887704059996</v>
      </c>
      <c r="BM50" s="46"/>
      <c r="BN50" s="146">
        <f>SUM(K50*$BN$2)+(12*350)</f>
        <v>5542.98</v>
      </c>
      <c r="BO50" s="523">
        <f t="shared" si="271"/>
        <v>-991.44364890000179</v>
      </c>
      <c r="BP50" s="44">
        <f t="shared" si="272"/>
        <v>-0.17886473501618297</v>
      </c>
      <c r="BQ50" s="149">
        <f t="shared" ref="BQ50:BQ52" si="281">SUM($BA50-SUM($BA50*0.1))</f>
        <v>5880.9812840100012</v>
      </c>
      <c r="BR50" s="149">
        <f t="shared" ref="BR50:BR52" si="282">SUM(BQ50-SUM($BZ50*0.1))</f>
        <v>5292.8831556090008</v>
      </c>
      <c r="BS50" s="149">
        <f t="shared" ref="BS50:BU50" si="283">SUM(BR50*1.03)</f>
        <v>5451.6696502772711</v>
      </c>
      <c r="BT50" s="149">
        <f t="shared" si="283"/>
        <v>5615.2197397855898</v>
      </c>
      <c r="BU50" s="149">
        <f t="shared" si="283"/>
        <v>5783.676331979158</v>
      </c>
      <c r="BV50" s="526"/>
      <c r="BW50" s="527">
        <f t="shared" si="275"/>
        <v>4559.338387681315</v>
      </c>
      <c r="BX50" s="523">
        <f t="shared" si="276"/>
        <v>-1975.0852612186864</v>
      </c>
      <c r="BY50" s="44">
        <f t="shared" si="277"/>
        <v>-0.43319558525313373</v>
      </c>
      <c r="BZ50" s="149">
        <f t="shared" ref="BZ50:BZ52" si="284">SUM($BA50-SUM($BA50*0.1))</f>
        <v>5880.9812840100012</v>
      </c>
      <c r="CA50" s="149">
        <f t="shared" ref="CA50:CD50" si="285">SUM(BZ50-SUM($BZ50*0.1))</f>
        <v>5292.8831556090008</v>
      </c>
      <c r="CB50" s="149">
        <f t="shared" si="285"/>
        <v>4704.7850272080004</v>
      </c>
      <c r="CC50" s="149">
        <f t="shared" si="285"/>
        <v>4116.686898807</v>
      </c>
      <c r="CD50" s="149">
        <f t="shared" si="285"/>
        <v>3528.5887704059996</v>
      </c>
      <c r="CE50" s="22"/>
      <c r="CF50" s="22"/>
      <c r="CG50" s="145"/>
    </row>
    <row r="51" spans="1:85" ht="15.75" customHeight="1" x14ac:dyDescent="0.5">
      <c r="A51" s="80" t="s">
        <v>167</v>
      </c>
      <c r="B51" s="61" t="s">
        <v>64</v>
      </c>
      <c r="C51" s="82"/>
      <c r="D51" s="62">
        <f>'Avg master'!H49</f>
        <v>342.66666666666669</v>
      </c>
      <c r="E51" s="66">
        <f t="shared" si="0"/>
        <v>1.2675193241212133E-3</v>
      </c>
      <c r="F51" s="77">
        <f t="shared" si="1"/>
        <v>0</v>
      </c>
      <c r="G51" s="82"/>
      <c r="H51" s="64">
        <v>105</v>
      </c>
      <c r="I51" s="64">
        <v>95</v>
      </c>
      <c r="J51" s="64">
        <v>78</v>
      </c>
      <c r="K51" s="65">
        <f t="shared" si="2"/>
        <v>92.666666666666671</v>
      </c>
      <c r="L51" s="66">
        <f t="shared" si="3"/>
        <v>7.9582506734454932E-4</v>
      </c>
      <c r="M51" s="77">
        <f t="shared" si="4"/>
        <v>0</v>
      </c>
      <c r="N51" s="66"/>
      <c r="O51" s="65">
        <v>140</v>
      </c>
      <c r="P51" s="66">
        <f t="shared" ref="P51:P54" si="286">SUM(O51/$O$60)</f>
        <v>1.4203392581770961E-3</v>
      </c>
      <c r="Q51" s="77">
        <f t="shared" ref="Q51:Q54" si="287">SUM(P51*$Q$61)</f>
        <v>0</v>
      </c>
      <c r="R51" s="65"/>
      <c r="S51" s="66"/>
      <c r="T51" s="145">
        <v>10527</v>
      </c>
      <c r="U51" s="66">
        <f t="shared" si="7"/>
        <v>7.9487090426664537E-3</v>
      </c>
      <c r="V51" s="77">
        <f t="shared" si="8"/>
        <v>1263.6233741858368</v>
      </c>
      <c r="W51" s="77"/>
      <c r="X51" s="75">
        <v>16880</v>
      </c>
      <c r="Y51" s="77">
        <f t="shared" ref="Y51:Y54" si="288">SUM(X51*$Y$62)</f>
        <v>0</v>
      </c>
      <c r="Z51" s="77"/>
      <c r="AA51" s="65"/>
      <c r="AB51" s="65"/>
      <c r="AC51" s="77">
        <f t="shared" si="10"/>
        <v>519.51683333333335</v>
      </c>
      <c r="AD51" s="65"/>
      <c r="AE51" s="65"/>
      <c r="AF51" s="65">
        <v>2339</v>
      </c>
      <c r="AG51" s="66">
        <f t="shared" si="11"/>
        <v>1.8677126070201719E-3</v>
      </c>
      <c r="AH51" s="77">
        <f t="shared" si="12"/>
        <v>0</v>
      </c>
      <c r="AI51" s="65"/>
      <c r="AJ51" s="65"/>
      <c r="AK51" s="145">
        <f>'Avg master'!T49</f>
        <v>452</v>
      </c>
      <c r="AL51" s="145">
        <f>'Avg master'!U49</f>
        <v>362</v>
      </c>
      <c r="AM51" s="65">
        <f t="shared" si="13"/>
        <v>-90</v>
      </c>
      <c r="AN51" s="524">
        <f t="shared" si="14"/>
        <v>1.2486187845303867</v>
      </c>
      <c r="AO51" s="66">
        <f t="shared" si="15"/>
        <v>4.2950535695217302E-3</v>
      </c>
      <c r="AP51" s="77">
        <f t="shared" si="16"/>
        <v>127.82687493326057</v>
      </c>
      <c r="AQ51" s="76">
        <f t="shared" si="17"/>
        <v>1910.9670824524308</v>
      </c>
      <c r="AR51" s="144">
        <f t="shared" si="18"/>
        <v>7.5532295749107936</v>
      </c>
      <c r="AS51" s="120"/>
      <c r="AT51" s="120">
        <v>1000</v>
      </c>
      <c r="AU51" s="120">
        <v>1020</v>
      </c>
      <c r="AV51" s="145">
        <v>1050</v>
      </c>
      <c r="AW51" s="12"/>
      <c r="AX51" s="12"/>
      <c r="AY51" s="67">
        <v>1227.1218120000001</v>
      </c>
      <c r="AZ51" s="22"/>
      <c r="BA51" s="68">
        <f t="shared" si="151"/>
        <v>1306.88472978</v>
      </c>
      <c r="BB51" s="525">
        <f t="shared" si="266"/>
        <v>14.103072623525179</v>
      </c>
      <c r="BC51" s="45">
        <f>AVERAGE(BB47:BB51)</f>
        <v>53.408477392190996</v>
      </c>
      <c r="BD51" s="46"/>
      <c r="BE51" s="146">
        <f t="shared" si="267"/>
        <v>76.913333333333327</v>
      </c>
      <c r="BF51" s="523">
        <f t="shared" si="268"/>
        <v>-1229.9713964466666</v>
      </c>
      <c r="BG51" s="44">
        <f t="shared" si="269"/>
        <v>-15.991653763283351</v>
      </c>
      <c r="BH51" s="149">
        <f t="shared" si="279"/>
        <v>1176.1962568020001</v>
      </c>
      <c r="BI51" s="149">
        <f t="shared" ref="BI51:BL51" si="289">SUM(BH51-SUM($BZ51*0.1))</f>
        <v>1058.5766311218001</v>
      </c>
      <c r="BJ51" s="149">
        <f t="shared" si="289"/>
        <v>940.95700544160013</v>
      </c>
      <c r="BK51" s="149">
        <f t="shared" si="289"/>
        <v>823.33737976140014</v>
      </c>
      <c r="BL51" s="149">
        <f t="shared" si="289"/>
        <v>705.71775408120016</v>
      </c>
      <c r="BM51" s="46"/>
      <c r="BN51" s="146">
        <f>SUM(K51*$BN$2)+(12*50)</f>
        <v>650.04</v>
      </c>
      <c r="BO51" s="523">
        <f t="shared" si="271"/>
        <v>-656.84472978000008</v>
      </c>
      <c r="BP51" s="44">
        <f t="shared" si="272"/>
        <v>-1.0104681708510248</v>
      </c>
      <c r="BQ51" s="149">
        <f t="shared" si="281"/>
        <v>1176.1962568020001</v>
      </c>
      <c r="BR51" s="149">
        <f t="shared" si="282"/>
        <v>1058.5766311218001</v>
      </c>
      <c r="BS51" s="149">
        <f t="shared" ref="BS51:BT51" si="290">SUM(BR51-SUM($BZ51*0.1))</f>
        <v>940.95700544160013</v>
      </c>
      <c r="BT51" s="149">
        <f t="shared" si="290"/>
        <v>823.33737976140014</v>
      </c>
      <c r="BU51" s="149">
        <f>SUM(BT51*1.03)</f>
        <v>848.03750115424214</v>
      </c>
      <c r="BV51" s="526"/>
      <c r="BW51" s="527">
        <f>SUM(L51*$BA$63)+$BW$2</f>
        <v>619.88286714587935</v>
      </c>
      <c r="BX51" s="523">
        <f t="shared" si="276"/>
        <v>-687.0018626341207</v>
      </c>
      <c r="BY51" s="44">
        <f t="shared" si="277"/>
        <v>-1.1082769004364916</v>
      </c>
      <c r="BZ51" s="149">
        <f t="shared" si="284"/>
        <v>1176.1962568020001</v>
      </c>
      <c r="CA51" s="149">
        <f t="shared" ref="CA51:CD51" si="291">SUM(BZ51-SUM($BZ51*0.1))</f>
        <v>1058.5766311218001</v>
      </c>
      <c r="CB51" s="149">
        <f t="shared" si="291"/>
        <v>940.95700544160013</v>
      </c>
      <c r="CC51" s="149">
        <f t="shared" si="291"/>
        <v>823.33737976140014</v>
      </c>
      <c r="CD51" s="149">
        <f t="shared" si="291"/>
        <v>705.71775408120016</v>
      </c>
      <c r="CE51" s="22"/>
      <c r="CF51" s="149">
        <f t="shared" ref="CF51:CF54" si="292">SUM(T51*$CF$3)</f>
        <v>2105.4</v>
      </c>
      <c r="CG51" s="145">
        <f t="shared" ref="CG51:CG54" si="293">SUM(CF51-BA51)</f>
        <v>798.51527022000005</v>
      </c>
    </row>
    <row r="52" spans="1:85" ht="15.75" customHeight="1" x14ac:dyDescent="0.5">
      <c r="A52" s="80" t="s">
        <v>169</v>
      </c>
      <c r="B52" s="82" t="s">
        <v>135</v>
      </c>
      <c r="C52" s="82"/>
      <c r="D52" s="62">
        <f>'Avg master'!H50</f>
        <v>10480.666666666666</v>
      </c>
      <c r="E52" s="66">
        <f t="shared" si="0"/>
        <v>3.8767842985427216E-2</v>
      </c>
      <c r="F52" s="77">
        <f t="shared" si="1"/>
        <v>0</v>
      </c>
      <c r="G52" s="82"/>
      <c r="H52" s="64">
        <v>2094</v>
      </c>
      <c r="I52" s="64">
        <v>1296</v>
      </c>
      <c r="J52" s="64">
        <v>908</v>
      </c>
      <c r="K52" s="65">
        <f t="shared" si="2"/>
        <v>1432.6666666666667</v>
      </c>
      <c r="L52" s="66">
        <f t="shared" si="3"/>
        <v>1.2303799062758537E-2</v>
      </c>
      <c r="M52" s="77">
        <f t="shared" si="4"/>
        <v>0</v>
      </c>
      <c r="N52" s="66"/>
      <c r="O52" s="65">
        <v>1449</v>
      </c>
      <c r="P52" s="66">
        <f t="shared" si="286"/>
        <v>1.4700511322132943E-2</v>
      </c>
      <c r="Q52" s="77">
        <f t="shared" si="287"/>
        <v>0</v>
      </c>
      <c r="R52" s="65"/>
      <c r="S52" s="66"/>
      <c r="T52" s="145">
        <v>26425</v>
      </c>
      <c r="U52" s="66">
        <f t="shared" si="7"/>
        <v>1.995294352165489E-2</v>
      </c>
      <c r="V52" s="77">
        <f t="shared" si="8"/>
        <v>3171.9623504189926</v>
      </c>
      <c r="W52" s="77"/>
      <c r="X52" s="75">
        <v>12327</v>
      </c>
      <c r="Y52" s="77">
        <f t="shared" si="288"/>
        <v>0</v>
      </c>
      <c r="Z52" s="77"/>
      <c r="AA52" s="65"/>
      <c r="AB52" s="65"/>
      <c r="AC52" s="77">
        <f t="shared" si="10"/>
        <v>519.51683333333335</v>
      </c>
      <c r="AD52" s="65"/>
      <c r="AE52" s="65"/>
      <c r="AF52" s="65">
        <v>15665</v>
      </c>
      <c r="AG52" s="66">
        <f t="shared" si="11"/>
        <v>1.2508643860184264E-2</v>
      </c>
      <c r="AH52" s="77">
        <f t="shared" si="12"/>
        <v>0</v>
      </c>
      <c r="AI52" s="65"/>
      <c r="AJ52" s="65"/>
      <c r="AK52" s="145">
        <f>'Avg master'!T50</f>
        <v>2539</v>
      </c>
      <c r="AL52" s="145">
        <f>'Avg master'!U50</f>
        <v>1038</v>
      </c>
      <c r="AM52" s="65">
        <f t="shared" si="13"/>
        <v>-1501</v>
      </c>
      <c r="AN52" s="524">
        <f t="shared" si="14"/>
        <v>2.4460500963391136</v>
      </c>
      <c r="AO52" s="66">
        <f t="shared" si="15"/>
        <v>1.2315650842993249E-2</v>
      </c>
      <c r="AP52" s="77">
        <f t="shared" si="16"/>
        <v>55.797779504763696</v>
      </c>
      <c r="AQ52" s="76">
        <f t="shared" si="17"/>
        <v>3747.2769632570898</v>
      </c>
      <c r="AR52" s="144">
        <f t="shared" si="18"/>
        <v>14.811371396273083</v>
      </c>
      <c r="AS52" s="120"/>
      <c r="AT52" s="120">
        <v>8000</v>
      </c>
      <c r="AU52" s="120">
        <v>8140</v>
      </c>
      <c r="AV52" s="145">
        <v>8380</v>
      </c>
      <c r="AW52" s="12"/>
      <c r="AX52" s="12"/>
      <c r="AY52" s="67">
        <v>9793.6007472000019</v>
      </c>
      <c r="AZ52" s="22"/>
      <c r="BA52" s="68">
        <f t="shared" si="151"/>
        <v>10430.184795768002</v>
      </c>
      <c r="BB52" s="525">
        <f t="shared" si="266"/>
        <v>7.2802592804336914</v>
      </c>
      <c r="BC52" s="22"/>
      <c r="BD52" s="46"/>
      <c r="BE52" s="146">
        <f t="shared" si="267"/>
        <v>1189.1133333333332</v>
      </c>
      <c r="BF52" s="523">
        <f t="shared" si="268"/>
        <v>-9241.0714624346692</v>
      </c>
      <c r="BG52" s="44">
        <f t="shared" si="269"/>
        <v>-7.771396723414087</v>
      </c>
      <c r="BH52" s="149">
        <f t="shared" si="279"/>
        <v>9387.166316191202</v>
      </c>
      <c r="BI52" s="149">
        <f>SUM(BH52-SUM($BZ52*0.1))</f>
        <v>8448.4496845720823</v>
      </c>
      <c r="BJ52" s="149">
        <f t="shared" ref="BJ52:BL52" si="294">SUM(BI52*1.03)</f>
        <v>8701.9031751092443</v>
      </c>
      <c r="BK52" s="149">
        <f t="shared" si="294"/>
        <v>8962.9602703625224</v>
      </c>
      <c r="BL52" s="149">
        <f t="shared" si="294"/>
        <v>9231.8490784733985</v>
      </c>
      <c r="BM52" s="46"/>
      <c r="BN52" s="146">
        <f>SUM(K52*$BN$2)+(12*200)</f>
        <v>3173.6400000000003</v>
      </c>
      <c r="BO52" s="523">
        <f t="shared" si="271"/>
        <v>-7256.5447957680017</v>
      </c>
      <c r="BP52" s="44">
        <f t="shared" si="272"/>
        <v>-2.28650533638598</v>
      </c>
      <c r="BQ52" s="149">
        <f t="shared" si="281"/>
        <v>9387.166316191202</v>
      </c>
      <c r="BR52" s="149">
        <f t="shared" si="282"/>
        <v>8448.4496845720823</v>
      </c>
      <c r="BS52" s="149">
        <f t="shared" ref="BS52:BU52" si="295">SUM(BR52*1.03)</f>
        <v>8701.9031751092443</v>
      </c>
      <c r="BT52" s="149">
        <f t="shared" si="295"/>
        <v>8962.9602703625224</v>
      </c>
      <c r="BU52" s="149">
        <f t="shared" si="295"/>
        <v>9231.8490784733985</v>
      </c>
      <c r="BV52" s="526"/>
      <c r="BW52" s="527">
        <f t="shared" ref="BW52:BW54" si="296">SUM(L52*$BA$63)</f>
        <v>2626.4624568093141</v>
      </c>
      <c r="BX52" s="523">
        <f t="shared" si="276"/>
        <v>-7803.7223389586879</v>
      </c>
      <c r="BY52" s="44">
        <f t="shared" si="277"/>
        <v>-2.971191276207628</v>
      </c>
      <c r="BZ52" s="149">
        <f t="shared" si="284"/>
        <v>9387.166316191202</v>
      </c>
      <c r="CA52" s="149">
        <f>SUM(BZ52-SUM($BZ52*0.1))</f>
        <v>8448.4496845720823</v>
      </c>
      <c r="CB52" s="149">
        <f t="shared" ref="CB52:CD52" si="297">SUM(CA52*1.03)</f>
        <v>8701.9031751092443</v>
      </c>
      <c r="CC52" s="149">
        <f t="shared" si="297"/>
        <v>8962.9602703625224</v>
      </c>
      <c r="CD52" s="149">
        <f t="shared" si="297"/>
        <v>9231.8490784733985</v>
      </c>
      <c r="CE52" s="22"/>
      <c r="CF52" s="149">
        <f t="shared" si="292"/>
        <v>5285</v>
      </c>
      <c r="CG52" s="145">
        <f t="shared" si="293"/>
        <v>-5145.184795768002</v>
      </c>
    </row>
    <row r="53" spans="1:85" ht="15.75" customHeight="1" x14ac:dyDescent="0.5">
      <c r="A53" s="83" t="s">
        <v>171</v>
      </c>
      <c r="B53" s="85" t="s">
        <v>92</v>
      </c>
      <c r="C53" s="85"/>
      <c r="D53" s="62">
        <f>'Avg master'!H51</f>
        <v>3394</v>
      </c>
      <c r="E53" s="66">
        <f t="shared" si="0"/>
        <v>1.2554359686967113E-2</v>
      </c>
      <c r="F53" s="77">
        <f t="shared" si="1"/>
        <v>0</v>
      </c>
      <c r="G53" s="85"/>
      <c r="H53" s="64">
        <v>2081</v>
      </c>
      <c r="I53" s="64">
        <v>930</v>
      </c>
      <c r="J53" s="64">
        <v>713</v>
      </c>
      <c r="K53" s="65">
        <f t="shared" si="2"/>
        <v>1241.3333333333333</v>
      </c>
      <c r="L53" s="66">
        <f t="shared" si="3"/>
        <v>1.0660620686298927E-2</v>
      </c>
      <c r="M53" s="77">
        <f t="shared" si="4"/>
        <v>0</v>
      </c>
      <c r="N53" s="66"/>
      <c r="O53" s="65">
        <v>1795</v>
      </c>
      <c r="P53" s="66">
        <f t="shared" si="286"/>
        <v>1.8210778345913482E-2</v>
      </c>
      <c r="Q53" s="77">
        <f t="shared" si="287"/>
        <v>0</v>
      </c>
      <c r="R53" s="65"/>
      <c r="S53" s="66"/>
      <c r="T53" s="145">
        <v>22052</v>
      </c>
      <c r="U53" s="66">
        <f t="shared" si="7"/>
        <v>1.6650986207740158E-2</v>
      </c>
      <c r="V53" s="77">
        <f t="shared" si="8"/>
        <v>2647.0430937157853</v>
      </c>
      <c r="W53" s="77"/>
      <c r="X53" s="75">
        <v>5000</v>
      </c>
      <c r="Y53" s="77">
        <f t="shared" si="288"/>
        <v>0</v>
      </c>
      <c r="Z53" s="77"/>
      <c r="AA53" s="65"/>
      <c r="AB53" s="65"/>
      <c r="AC53" s="77">
        <f t="shared" si="10"/>
        <v>519.51683333333335</v>
      </c>
      <c r="AD53" s="65"/>
      <c r="AE53" s="65"/>
      <c r="AF53" s="65">
        <v>14389</v>
      </c>
      <c r="AG53" s="66">
        <f t="shared" si="11"/>
        <v>1.1489746345623452E-2</v>
      </c>
      <c r="AH53" s="77">
        <f t="shared" si="12"/>
        <v>0</v>
      </c>
      <c r="AI53" s="65"/>
      <c r="AJ53" s="65"/>
      <c r="AK53" s="145">
        <f>'Avg master'!T51</f>
        <v>1737</v>
      </c>
      <c r="AL53" s="145">
        <f>'Avg master'!U51</f>
        <v>1014</v>
      </c>
      <c r="AM53" s="65">
        <f t="shared" si="13"/>
        <v>-723</v>
      </c>
      <c r="AN53" s="524">
        <f t="shared" si="14"/>
        <v>1.7130177514792899</v>
      </c>
      <c r="AO53" s="66">
        <f t="shared" si="15"/>
        <v>1.2030895910207277E-2</v>
      </c>
      <c r="AP53" s="77">
        <f t="shared" si="16"/>
        <v>240.33135685725472</v>
      </c>
      <c r="AQ53" s="76">
        <f t="shared" si="17"/>
        <v>3406.8912839063732</v>
      </c>
      <c r="AR53" s="144">
        <f t="shared" si="18"/>
        <v>13.465973454175389</v>
      </c>
      <c r="AS53" s="120"/>
      <c r="AT53" s="120">
        <v>1350</v>
      </c>
      <c r="AU53" s="120">
        <v>1375</v>
      </c>
      <c r="AV53" s="145">
        <v>1420</v>
      </c>
      <c r="AW53" s="12" t="s">
        <v>476</v>
      </c>
      <c r="AX53" s="12"/>
      <c r="AY53" s="67">
        <v>1659.5361648000001</v>
      </c>
      <c r="AZ53" s="22"/>
      <c r="BA53" s="68">
        <f t="shared" si="151"/>
        <v>1767.4060155120001</v>
      </c>
      <c r="BB53" s="45">
        <f t="shared" si="266"/>
        <v>1.4237964679205157</v>
      </c>
      <c r="BC53" s="22"/>
      <c r="BD53" s="46"/>
      <c r="BE53" s="146">
        <f t="shared" si="267"/>
        <v>1030.3066666666666</v>
      </c>
      <c r="BF53" s="523">
        <f t="shared" si="268"/>
        <v>-737.09934884533345</v>
      </c>
      <c r="BG53" s="44">
        <f t="shared" si="269"/>
        <v>-0.71541743122953694</v>
      </c>
      <c r="BH53" s="149">
        <f>SUM($BA53+SUM($BA53*0.1))</f>
        <v>1944.1466170632002</v>
      </c>
      <c r="BI53" s="149">
        <f t="shared" ref="BI53:BL53" si="298">SUM(BH53+SUM($BZ53*0.1))</f>
        <v>2138.5612787695204</v>
      </c>
      <c r="BJ53" s="149">
        <f t="shared" si="298"/>
        <v>2332.9759404758406</v>
      </c>
      <c r="BK53" s="149">
        <f t="shared" si="298"/>
        <v>2527.3906021821608</v>
      </c>
      <c r="BL53" s="149">
        <f t="shared" si="298"/>
        <v>2721.805263888481</v>
      </c>
      <c r="BM53" s="46"/>
      <c r="BN53" s="146">
        <f t="shared" ref="BN53:BN54" si="299">SUM(K53*$BN$2)+(12*100)</f>
        <v>1870.3200000000002</v>
      </c>
      <c r="BO53" s="523">
        <f t="shared" si="271"/>
        <v>102.9139844880001</v>
      </c>
      <c r="BP53" s="44">
        <f t="shared" si="272"/>
        <v>5.5024800295136705E-2</v>
      </c>
      <c r="BQ53" s="149">
        <f t="shared" ref="BQ53:BQ54" si="300">SUM($BA53+SUM($BA53*0.1))</f>
        <v>1944.1466170632002</v>
      </c>
      <c r="BR53" s="149">
        <f t="shared" ref="BR53:BU53" si="301">SUM(BQ53+SUM($BZ53*0.1))</f>
        <v>2138.5612787695204</v>
      </c>
      <c r="BS53" s="149">
        <f t="shared" si="301"/>
        <v>2332.9759404758406</v>
      </c>
      <c r="BT53" s="149">
        <f t="shared" si="301"/>
        <v>2527.3906021821608</v>
      </c>
      <c r="BU53" s="348">
        <f t="shared" si="301"/>
        <v>2721.805263888481</v>
      </c>
      <c r="BV53" s="526"/>
      <c r="BW53" s="527">
        <f t="shared" si="296"/>
        <v>2275.6971124145844</v>
      </c>
      <c r="BX53" s="523">
        <f t="shared" si="276"/>
        <v>508.29109690258429</v>
      </c>
      <c r="BY53" s="44">
        <f t="shared" si="277"/>
        <v>0.22335621648843762</v>
      </c>
      <c r="BZ53" s="149">
        <f>SUM($BA53+SUM($BA53*0.1))</f>
        <v>1944.1466170632002</v>
      </c>
      <c r="CA53" s="149">
        <f t="shared" ref="CA53:CC53" si="302">SUM(BZ53+SUM($BZ53*0.1))</f>
        <v>2138.5612787695204</v>
      </c>
      <c r="CB53" s="149">
        <f t="shared" si="302"/>
        <v>2332.9759404758406</v>
      </c>
      <c r="CC53" s="149">
        <f t="shared" si="302"/>
        <v>2527.3906021821608</v>
      </c>
      <c r="CD53" s="149">
        <f>SUM(CC53*1.03)</f>
        <v>2603.2123202476255</v>
      </c>
      <c r="CE53" s="22"/>
      <c r="CF53" s="149">
        <f t="shared" si="292"/>
        <v>4410.4000000000005</v>
      </c>
      <c r="CG53" s="145">
        <f t="shared" si="293"/>
        <v>2642.9939844880005</v>
      </c>
    </row>
    <row r="54" spans="1:85" ht="15.75" customHeight="1" x14ac:dyDescent="0.5">
      <c r="A54" s="95" t="s">
        <v>173</v>
      </c>
      <c r="B54" s="61" t="s">
        <v>69</v>
      </c>
      <c r="C54" s="84"/>
      <c r="D54" s="62">
        <f>'Avg master'!H52</f>
        <v>1913.3333333333333</v>
      </c>
      <c r="E54" s="66">
        <f t="shared" si="0"/>
        <v>7.0773938914939329E-3</v>
      </c>
      <c r="F54" s="77">
        <f t="shared" si="1"/>
        <v>0</v>
      </c>
      <c r="G54" s="84"/>
      <c r="H54" s="64">
        <v>1469</v>
      </c>
      <c r="I54" s="64">
        <v>1093</v>
      </c>
      <c r="J54" s="64">
        <v>743</v>
      </c>
      <c r="K54" s="65">
        <f t="shared" si="2"/>
        <v>1101.6666666666667</v>
      </c>
      <c r="L54" s="66">
        <f t="shared" si="3"/>
        <v>9.4611577250853802E-3</v>
      </c>
      <c r="M54" s="77">
        <f t="shared" si="4"/>
        <v>0</v>
      </c>
      <c r="N54" s="66"/>
      <c r="O54" s="65">
        <v>1090</v>
      </c>
      <c r="P54" s="66">
        <f t="shared" si="286"/>
        <v>1.1058355652950248E-2</v>
      </c>
      <c r="Q54" s="77">
        <f t="shared" si="287"/>
        <v>0</v>
      </c>
      <c r="R54" s="65"/>
      <c r="S54" s="66"/>
      <c r="T54" s="145">
        <v>16753</v>
      </c>
      <c r="U54" s="66">
        <f t="shared" si="7"/>
        <v>1.2649826407503666E-2</v>
      </c>
      <c r="V54" s="77">
        <f t="shared" si="8"/>
        <v>2010.97011377746</v>
      </c>
      <c r="W54" s="77"/>
      <c r="X54" s="75">
        <v>2112</v>
      </c>
      <c r="Y54" s="77">
        <f t="shared" si="288"/>
        <v>0</v>
      </c>
      <c r="Z54" s="77"/>
      <c r="AA54" s="65"/>
      <c r="AB54" s="65"/>
      <c r="AC54" s="77">
        <f t="shared" si="10"/>
        <v>519.51683333333335</v>
      </c>
      <c r="AD54" s="65"/>
      <c r="AE54" s="65"/>
      <c r="AF54" s="65">
        <v>8341</v>
      </c>
      <c r="AG54" s="66">
        <f t="shared" si="11"/>
        <v>6.6603637687709513E-3</v>
      </c>
      <c r="AH54" s="77">
        <f t="shared" si="12"/>
        <v>0</v>
      </c>
      <c r="AI54" s="65"/>
      <c r="AJ54" s="65"/>
      <c r="AK54" s="145">
        <f>'Avg master'!T52</f>
        <v>198.5</v>
      </c>
      <c r="AL54" s="145">
        <f>'Avg master'!U52</f>
        <v>1342</v>
      </c>
      <c r="AM54" s="65">
        <f t="shared" si="13"/>
        <v>1143.5</v>
      </c>
      <c r="AN54" s="524">
        <f t="shared" si="14"/>
        <v>0.14791356184798807</v>
      </c>
      <c r="AO54" s="66">
        <f t="shared" si="15"/>
        <v>1.5922546658282216E-2</v>
      </c>
      <c r="AP54" s="77">
        <f t="shared" si="16"/>
        <v>843.16413303987758</v>
      </c>
      <c r="AQ54" s="76">
        <f t="shared" si="17"/>
        <v>3373.6510801506706</v>
      </c>
      <c r="AR54" s="144">
        <f t="shared" si="18"/>
        <v>13.334589249607394</v>
      </c>
      <c r="AS54" s="120"/>
      <c r="AT54" s="120"/>
      <c r="AU54" s="120"/>
      <c r="AV54" s="145"/>
      <c r="AW54" s="12"/>
      <c r="AX54" s="12"/>
      <c r="AY54" s="110"/>
      <c r="AZ54" s="22"/>
      <c r="BA54" s="79">
        <f>SUM(1473*(1+$BA$2))</f>
        <v>1568.7449999999999</v>
      </c>
      <c r="BB54" s="45">
        <f t="shared" si="266"/>
        <v>1.4239742813918304</v>
      </c>
      <c r="BC54" s="22"/>
      <c r="BD54" s="46"/>
      <c r="BE54" s="146">
        <f t="shared" si="267"/>
        <v>914.38333333333333</v>
      </c>
      <c r="BF54" s="523">
        <f t="shared" si="268"/>
        <v>-654.36166666666657</v>
      </c>
      <c r="BG54" s="44">
        <f t="shared" si="269"/>
        <v>-0.71563166432750658</v>
      </c>
      <c r="BH54" s="149">
        <f>BE54</f>
        <v>914.38333333333333</v>
      </c>
      <c r="BI54" s="149">
        <f t="shared" ref="BI54:BL54" si="303">SUM(BH54*1.03)</f>
        <v>941.81483333333335</v>
      </c>
      <c r="BJ54" s="149">
        <f t="shared" si="303"/>
        <v>970.06927833333339</v>
      </c>
      <c r="BK54" s="149">
        <f t="shared" si="303"/>
        <v>999.17135668333344</v>
      </c>
      <c r="BL54" s="149">
        <f t="shared" si="303"/>
        <v>1029.1464973838335</v>
      </c>
      <c r="BM54" s="46"/>
      <c r="BN54" s="146">
        <f t="shared" si="299"/>
        <v>1794.9</v>
      </c>
      <c r="BO54" s="523">
        <f t="shared" si="271"/>
        <v>226.1550000000002</v>
      </c>
      <c r="BP54" s="44">
        <f t="shared" si="272"/>
        <v>0.12599866287815487</v>
      </c>
      <c r="BQ54" s="149">
        <f t="shared" si="300"/>
        <v>1725.6194999999998</v>
      </c>
      <c r="BR54" s="149">
        <f t="shared" ref="BR54:BU54" si="304">SUM(BQ54+SUM($BZ54*0.1))</f>
        <v>1927.5845632795433</v>
      </c>
      <c r="BS54" s="149">
        <f t="shared" si="304"/>
        <v>2129.5496265590868</v>
      </c>
      <c r="BT54" s="149">
        <f t="shared" si="304"/>
        <v>2331.5146898386306</v>
      </c>
      <c r="BU54" s="149">
        <f t="shared" si="304"/>
        <v>2533.4797531181744</v>
      </c>
      <c r="BV54" s="526"/>
      <c r="BW54" s="527">
        <f t="shared" si="296"/>
        <v>2019.6506327954357</v>
      </c>
      <c r="BX54" s="523">
        <f t="shared" si="276"/>
        <v>450.90563279543585</v>
      </c>
      <c r="BY54" s="44">
        <f t="shared" si="277"/>
        <v>0.2232592238843453</v>
      </c>
      <c r="BZ54" s="149">
        <f>BW54</f>
        <v>2019.6506327954357</v>
      </c>
      <c r="CA54" s="149">
        <f t="shared" ref="CA54:CD54" si="305">SUM(BZ54*1.03)</f>
        <v>2080.2401517792987</v>
      </c>
      <c r="CB54" s="149">
        <f t="shared" si="305"/>
        <v>2142.6473563326776</v>
      </c>
      <c r="CC54" s="149">
        <f t="shared" si="305"/>
        <v>2206.9267770226579</v>
      </c>
      <c r="CD54" s="149">
        <f t="shared" si="305"/>
        <v>2273.1345803333379</v>
      </c>
      <c r="CE54" s="22"/>
      <c r="CF54" s="149">
        <f t="shared" si="292"/>
        <v>3350.6000000000004</v>
      </c>
      <c r="CG54" s="145">
        <f t="shared" si="293"/>
        <v>1781.8550000000005</v>
      </c>
    </row>
    <row r="55" spans="1:85" ht="15.75" customHeight="1" x14ac:dyDescent="0.5">
      <c r="A55" s="83" t="s">
        <v>175</v>
      </c>
      <c r="B55" s="85" t="s">
        <v>81</v>
      </c>
      <c r="C55" s="82"/>
      <c r="D55" s="62">
        <f>'Avg master'!H53</f>
        <v>450</v>
      </c>
      <c r="E55" s="66">
        <f t="shared" si="0"/>
        <v>1.6645438594977021E-3</v>
      </c>
      <c r="F55" s="77">
        <f t="shared" si="1"/>
        <v>0</v>
      </c>
      <c r="G55" s="82"/>
      <c r="H55" s="64">
        <v>495</v>
      </c>
      <c r="I55" s="64">
        <v>438</v>
      </c>
      <c r="J55" s="64">
        <v>417</v>
      </c>
      <c r="K55" s="65">
        <f t="shared" si="2"/>
        <v>450</v>
      </c>
      <c r="L55" s="66">
        <f t="shared" si="3"/>
        <v>3.8646181327882789E-3</v>
      </c>
      <c r="M55" s="77">
        <f t="shared" si="4"/>
        <v>0</v>
      </c>
      <c r="N55" s="66"/>
      <c r="O55" s="65"/>
      <c r="P55" s="65"/>
      <c r="Q55" s="65"/>
      <c r="R55" s="65"/>
      <c r="S55" s="66"/>
      <c r="T55" s="145">
        <v>10687</v>
      </c>
      <c r="U55" s="66">
        <f t="shared" si="7"/>
        <v>8.0695215673008813E-3</v>
      </c>
      <c r="V55" s="77">
        <f t="shared" si="8"/>
        <v>1282.8292010947123</v>
      </c>
      <c r="W55" s="65"/>
      <c r="X55" s="75"/>
      <c r="Y55" s="76"/>
      <c r="Z55" s="65"/>
      <c r="AA55" s="65"/>
      <c r="AB55" s="65"/>
      <c r="AC55" s="77">
        <f t="shared" si="10"/>
        <v>519.51683333333335</v>
      </c>
      <c r="AD55" s="65"/>
      <c r="AE55" s="65"/>
      <c r="AF55" s="65">
        <v>1705</v>
      </c>
      <c r="AG55" s="66">
        <f t="shared" si="11"/>
        <v>1.3614578858355678E-3</v>
      </c>
      <c r="AH55" s="77">
        <f t="shared" si="12"/>
        <v>0</v>
      </c>
      <c r="AI55" s="65"/>
      <c r="AJ55" s="65"/>
      <c r="AK55" s="145">
        <f>'Avg master'!T53</f>
        <v>22</v>
      </c>
      <c r="AL55" s="145">
        <f>'Avg master'!U53</f>
        <v>7</v>
      </c>
      <c r="AM55" s="65">
        <f t="shared" si="13"/>
        <v>-15</v>
      </c>
      <c r="AN55" s="524">
        <f t="shared" si="14"/>
        <v>3.1428571428571428</v>
      </c>
      <c r="AO55" s="66">
        <f t="shared" si="15"/>
        <v>8.3053522062574898E-5</v>
      </c>
      <c r="AP55" s="77">
        <f t="shared" si="16"/>
        <v>-0.84312672780987841</v>
      </c>
      <c r="AQ55" s="76">
        <f t="shared" si="17"/>
        <v>1801.5029077002357</v>
      </c>
      <c r="AR55" s="144">
        <f t="shared" si="18"/>
        <v>7.1205648525701015</v>
      </c>
      <c r="AS55" s="120"/>
      <c r="AT55" s="120">
        <v>1000</v>
      </c>
      <c r="AU55" s="120">
        <v>1020</v>
      </c>
      <c r="AV55" s="145">
        <v>1050</v>
      </c>
      <c r="AW55" s="12"/>
      <c r="AX55" s="12"/>
      <c r="AY55" s="67">
        <v>1227.1218120000001</v>
      </c>
      <c r="AZ55" s="22"/>
      <c r="BA55" s="68">
        <f t="shared" ref="BA55:BA57" si="306">SUM(AY55*(1+$BA$2))</f>
        <v>1306.88472978</v>
      </c>
      <c r="BB55" s="45">
        <f t="shared" si="266"/>
        <v>2.9041882884000003</v>
      </c>
      <c r="BC55" s="22"/>
      <c r="BD55" s="46"/>
      <c r="BE55" s="146">
        <f t="shared" si="267"/>
        <v>373.5</v>
      </c>
      <c r="BF55" s="523">
        <f t="shared" si="268"/>
        <v>-933.38472978000004</v>
      </c>
      <c r="BG55" s="44">
        <f t="shared" si="269"/>
        <v>-2.4990220342168676</v>
      </c>
      <c r="BH55" s="149">
        <f t="shared" ref="BH55:BH57" si="307">SUM($BA55-SUM($BA55*0.1))</f>
        <v>1176.1962568020001</v>
      </c>
      <c r="BI55" s="149">
        <f t="shared" ref="BI55:BL55" si="308">SUM(BH55-SUM($BZ55*0.1))</f>
        <v>1058.5766311218001</v>
      </c>
      <c r="BJ55" s="149">
        <f t="shared" si="308"/>
        <v>940.95700544160013</v>
      </c>
      <c r="BK55" s="149">
        <f t="shared" si="308"/>
        <v>823.33737976140014</v>
      </c>
      <c r="BL55" s="149">
        <f t="shared" si="308"/>
        <v>705.71775408120016</v>
      </c>
      <c r="BM55" s="46"/>
      <c r="BN55" s="146">
        <f t="shared" ref="BN55:BN56" si="309">SUM(K55*$BN$2)+(12*75)</f>
        <v>1143</v>
      </c>
      <c r="BO55" s="523">
        <f t="shared" si="271"/>
        <v>-163.88472978000004</v>
      </c>
      <c r="BP55" s="44">
        <f t="shared" si="272"/>
        <v>-0.14338121590551184</v>
      </c>
      <c r="BQ55" s="149">
        <f t="shared" ref="BQ55:BQ56" si="310">SUM($BA55-SUM($BA55*0.1))</f>
        <v>1176.1962568020001</v>
      </c>
      <c r="BR55" s="149">
        <f>SUM(BQ55-SUM($BZ55*0.1))</f>
        <v>1058.5766311218001</v>
      </c>
      <c r="BS55" s="149">
        <f t="shared" ref="BS55:BU55" si="311">SUM(BR55*1.03)</f>
        <v>1090.3339300554542</v>
      </c>
      <c r="BT55" s="149">
        <f t="shared" si="311"/>
        <v>1123.0439479571178</v>
      </c>
      <c r="BU55" s="149">
        <f t="shared" si="311"/>
        <v>1156.7352663958313</v>
      </c>
      <c r="BV55" s="526"/>
      <c r="BW55" s="527">
        <f t="shared" ref="BW55:BW56" si="312">SUM(L55*$BA$63)+$BW$2</f>
        <v>1274.970757722795</v>
      </c>
      <c r="BX55" s="523">
        <f t="shared" si="276"/>
        <v>-31.913972057205001</v>
      </c>
      <c r="BY55" s="44">
        <f t="shared" si="277"/>
        <v>-2.5031140411569938E-2</v>
      </c>
      <c r="BZ55" s="149">
        <f t="shared" ref="BZ55:BZ56" si="313">SUM($BA55-SUM($BA55*0.1))</f>
        <v>1176.1962568020001</v>
      </c>
      <c r="CA55" s="149">
        <f t="shared" ref="CA55:CD55" si="314">SUM(BZ55-SUM($BZ55*0.1))</f>
        <v>1058.5766311218001</v>
      </c>
      <c r="CB55" s="149">
        <f t="shared" si="314"/>
        <v>940.95700544160013</v>
      </c>
      <c r="CC55" s="149">
        <f t="shared" si="314"/>
        <v>823.33737976140014</v>
      </c>
      <c r="CD55" s="149">
        <f t="shared" si="314"/>
        <v>705.71775408120016</v>
      </c>
      <c r="CE55" s="22"/>
      <c r="CF55" s="348">
        <f>SUM(BA55*1.05)</f>
        <v>1372.228966269</v>
      </c>
      <c r="CG55" s="22"/>
    </row>
    <row r="56" spans="1:85" ht="15.75" customHeight="1" x14ac:dyDescent="0.5">
      <c r="A56" s="83" t="s">
        <v>177</v>
      </c>
      <c r="B56" s="85" t="s">
        <v>69</v>
      </c>
      <c r="C56" s="85"/>
      <c r="D56" s="62">
        <f>'Avg master'!H54</f>
        <v>816.66666666666663</v>
      </c>
      <c r="E56" s="66">
        <f t="shared" si="0"/>
        <v>3.0208388561254592E-3</v>
      </c>
      <c r="F56" s="77">
        <f t="shared" si="1"/>
        <v>0</v>
      </c>
      <c r="G56" s="85"/>
      <c r="H56" s="64">
        <v>820</v>
      </c>
      <c r="I56" s="64">
        <v>635</v>
      </c>
      <c r="J56" s="64">
        <v>528</v>
      </c>
      <c r="K56" s="65">
        <f t="shared" si="2"/>
        <v>661</v>
      </c>
      <c r="L56" s="66">
        <f t="shared" si="3"/>
        <v>5.6766946350512272E-3</v>
      </c>
      <c r="M56" s="77">
        <f t="shared" si="4"/>
        <v>0</v>
      </c>
      <c r="N56" s="66"/>
      <c r="O56" s="65">
        <v>785</v>
      </c>
      <c r="P56" s="66">
        <f t="shared" ref="P56:P57" si="315">SUM(O56/$O$60)</f>
        <v>7.9640451262072889E-3</v>
      </c>
      <c r="Q56" s="77">
        <f t="shared" ref="Q56:Q57" si="316">SUM(P56*$Q$61)</f>
        <v>0</v>
      </c>
      <c r="R56" s="65"/>
      <c r="S56" s="66"/>
      <c r="T56" s="145">
        <v>14285</v>
      </c>
      <c r="U56" s="66">
        <f t="shared" si="7"/>
        <v>1.0786293215017602E-2</v>
      </c>
      <c r="V56" s="77">
        <f t="shared" si="8"/>
        <v>1714.7202337080535</v>
      </c>
      <c r="W56" s="77"/>
      <c r="X56" s="75">
        <v>5198</v>
      </c>
      <c r="Y56" s="77">
        <f t="shared" ref="Y56:Y57" si="317">SUM(X56*$Y$62)</f>
        <v>0</v>
      </c>
      <c r="Z56" s="77"/>
      <c r="AA56" s="65"/>
      <c r="AB56" s="65"/>
      <c r="AC56" s="77">
        <f t="shared" si="10"/>
        <v>519.51683333333335</v>
      </c>
      <c r="AD56" s="65"/>
      <c r="AE56" s="65"/>
      <c r="AF56" s="65">
        <v>5678</v>
      </c>
      <c r="AG56" s="66">
        <f t="shared" si="11"/>
        <v>4.5339342379908231E-3</v>
      </c>
      <c r="AH56" s="77">
        <f t="shared" si="12"/>
        <v>0</v>
      </c>
      <c r="AI56" s="65"/>
      <c r="AJ56" s="65"/>
      <c r="AK56" s="145">
        <f>'Avg master'!T54</f>
        <v>527.5</v>
      </c>
      <c r="AL56" s="145">
        <f>'Avg master'!U54</f>
        <v>481</v>
      </c>
      <c r="AM56" s="65">
        <f t="shared" si="13"/>
        <v>-46.5</v>
      </c>
      <c r="AN56" s="524">
        <f t="shared" si="14"/>
        <v>1.0966735966735968</v>
      </c>
      <c r="AO56" s="66">
        <f t="shared" si="15"/>
        <v>5.7069634445855036E-3</v>
      </c>
      <c r="AP56" s="77">
        <f t="shared" si="16"/>
        <v>188.11872056049262</v>
      </c>
      <c r="AQ56" s="76">
        <f t="shared" si="17"/>
        <v>2422.355787601879</v>
      </c>
      <c r="AR56" s="144">
        <f t="shared" si="18"/>
        <v>9.5745288047505106</v>
      </c>
      <c r="AS56" s="120"/>
      <c r="AT56" s="120">
        <v>1200</v>
      </c>
      <c r="AU56" s="120">
        <v>1220</v>
      </c>
      <c r="AV56" s="145">
        <v>1260</v>
      </c>
      <c r="AW56" s="12"/>
      <c r="AX56" s="12"/>
      <c r="AY56" s="67">
        <v>1472.5461744000004</v>
      </c>
      <c r="AZ56" s="22"/>
      <c r="BA56" s="68">
        <f t="shared" si="306"/>
        <v>1568.2616757360004</v>
      </c>
      <c r="BB56" s="525">
        <f t="shared" si="266"/>
        <v>2.3725592673767024</v>
      </c>
      <c r="BC56" s="22"/>
      <c r="BD56" s="46"/>
      <c r="BE56" s="146">
        <f t="shared" si="267"/>
        <v>548.63</v>
      </c>
      <c r="BF56" s="523">
        <f t="shared" si="268"/>
        <v>-1019.6316757360004</v>
      </c>
      <c r="BG56" s="44">
        <f t="shared" si="269"/>
        <v>-1.8585051414177138</v>
      </c>
      <c r="BH56" s="149">
        <f t="shared" si="307"/>
        <v>1411.4355081624003</v>
      </c>
      <c r="BI56" s="149">
        <f t="shared" ref="BI56:BL56" si="318">SUM(BH56-SUM($BZ56*0.1))</f>
        <v>1270.2919573461602</v>
      </c>
      <c r="BJ56" s="149">
        <f t="shared" si="318"/>
        <v>1129.1484065299201</v>
      </c>
      <c r="BK56" s="149">
        <f t="shared" si="318"/>
        <v>988.00485571368006</v>
      </c>
      <c r="BL56" s="149">
        <f t="shared" si="318"/>
        <v>846.86130489744005</v>
      </c>
      <c r="BM56" s="46"/>
      <c r="BN56" s="146">
        <f t="shared" si="309"/>
        <v>1256.94</v>
      </c>
      <c r="BO56" s="523">
        <f t="shared" si="271"/>
        <v>-311.32167573600032</v>
      </c>
      <c r="BP56" s="44">
        <f t="shared" si="272"/>
        <v>-0.24768220896462861</v>
      </c>
      <c r="BQ56" s="149">
        <f t="shared" si="310"/>
        <v>1411.4355081624003</v>
      </c>
      <c r="BR56" s="149">
        <f>SUM(BQ56-SUM($BZ56*0.05))</f>
        <v>1340.8637327542804</v>
      </c>
      <c r="BS56" s="149">
        <f t="shared" ref="BS56:BU56" si="319">SUM(BR56*1.03)</f>
        <v>1381.0896447369089</v>
      </c>
      <c r="BT56" s="149">
        <f t="shared" si="319"/>
        <v>1422.5223340790162</v>
      </c>
      <c r="BU56" s="149">
        <f t="shared" si="319"/>
        <v>1465.1980041013867</v>
      </c>
      <c r="BV56" s="526"/>
      <c r="BW56" s="527">
        <f t="shared" si="312"/>
        <v>1661.7903796772612</v>
      </c>
      <c r="BX56" s="523">
        <f t="shared" si="276"/>
        <v>93.528703941260801</v>
      </c>
      <c r="BY56" s="44">
        <f t="shared" si="277"/>
        <v>5.6281890354561541E-2</v>
      </c>
      <c r="BZ56" s="149">
        <f t="shared" si="313"/>
        <v>1411.4355081624003</v>
      </c>
      <c r="CA56" s="149">
        <f t="shared" ref="CA56:CB56" si="320">SUM(BZ56-SUM($BZ56*0.1))</f>
        <v>1270.2919573461602</v>
      </c>
      <c r="CB56" s="149">
        <f t="shared" si="320"/>
        <v>1129.1484065299201</v>
      </c>
      <c r="CC56" s="149">
        <f t="shared" ref="CC56:CD56" si="321">SUM(CB56*1.03)</f>
        <v>1163.0228587258177</v>
      </c>
      <c r="CD56" s="149">
        <f t="shared" si="321"/>
        <v>1197.9135444875924</v>
      </c>
      <c r="CE56" s="22"/>
      <c r="CF56" s="149">
        <f>SUM(T56*$CF$3)</f>
        <v>2857</v>
      </c>
      <c r="CG56" s="145">
        <f>SUM(CF56-BA56)</f>
        <v>1288.7383242639996</v>
      </c>
    </row>
    <row r="57" spans="1:85" ht="15.75" customHeight="1" x14ac:dyDescent="0.5">
      <c r="A57" s="545" t="s">
        <v>179</v>
      </c>
      <c r="B57" s="119" t="s">
        <v>69</v>
      </c>
      <c r="C57" s="61"/>
      <c r="D57" s="62">
        <f>'Avg master'!H55</f>
        <v>979.66666666666663</v>
      </c>
      <c r="E57" s="66">
        <f t="shared" si="0"/>
        <v>3.6237736318990711E-3</v>
      </c>
      <c r="F57" s="77">
        <f t="shared" si="1"/>
        <v>0</v>
      </c>
      <c r="G57" s="61"/>
      <c r="H57" s="64">
        <v>480</v>
      </c>
      <c r="I57" s="64">
        <v>344</v>
      </c>
      <c r="J57" s="64">
        <v>284</v>
      </c>
      <c r="K57" s="65">
        <f t="shared" si="2"/>
        <v>369.33333333333331</v>
      </c>
      <c r="L57" s="66">
        <f t="shared" si="3"/>
        <v>3.1718495489847505E-3</v>
      </c>
      <c r="M57" s="77">
        <f t="shared" si="4"/>
        <v>0</v>
      </c>
      <c r="N57" s="66"/>
      <c r="O57" s="65">
        <v>343</v>
      </c>
      <c r="P57" s="66">
        <f t="shared" si="315"/>
        <v>3.4798311825338852E-3</v>
      </c>
      <c r="Q57" s="77">
        <f t="shared" si="316"/>
        <v>0</v>
      </c>
      <c r="R57" s="65"/>
      <c r="S57" s="66"/>
      <c r="T57" s="145">
        <v>9727</v>
      </c>
      <c r="U57" s="66">
        <f t="shared" si="7"/>
        <v>7.3446464194943089E-3</v>
      </c>
      <c r="V57" s="77">
        <f t="shared" si="8"/>
        <v>1167.5942396414584</v>
      </c>
      <c r="W57" s="77"/>
      <c r="X57" s="75">
        <v>3391</v>
      </c>
      <c r="Y57" s="77">
        <f t="shared" si="317"/>
        <v>0</v>
      </c>
      <c r="Z57" s="77"/>
      <c r="AA57" s="65"/>
      <c r="AB57" s="65"/>
      <c r="AC57" s="77">
        <f t="shared" si="10"/>
        <v>519.51683333333335</v>
      </c>
      <c r="AD57" s="65"/>
      <c r="AE57" s="65"/>
      <c r="AF57" s="65">
        <v>3618</v>
      </c>
      <c r="AG57" s="66">
        <f t="shared" si="11"/>
        <v>2.8890056486528355E-3</v>
      </c>
      <c r="AH57" s="77">
        <f t="shared" si="12"/>
        <v>0</v>
      </c>
      <c r="AI57" s="65"/>
      <c r="AJ57" s="65"/>
      <c r="AK57" s="145">
        <f>'Avg master'!T55</f>
        <v>553</v>
      </c>
      <c r="AL57" s="145">
        <f>'Avg master'!U55</f>
        <v>314</v>
      </c>
      <c r="AM57" s="65">
        <f t="shared" si="13"/>
        <v>-239</v>
      </c>
      <c r="AN57" s="524">
        <f t="shared" si="14"/>
        <v>1.7611464968152866</v>
      </c>
      <c r="AO57" s="66">
        <f t="shared" si="15"/>
        <v>3.7255437039497882E-3</v>
      </c>
      <c r="AP57" s="77">
        <f t="shared" si="16"/>
        <v>70.644029638242586</v>
      </c>
      <c r="AQ57" s="76">
        <f t="shared" si="17"/>
        <v>1757.7551026130343</v>
      </c>
      <c r="AR57" s="144">
        <f t="shared" si="18"/>
        <v>6.9476486269289897</v>
      </c>
      <c r="AS57" s="120"/>
      <c r="AT57" s="120">
        <v>1200</v>
      </c>
      <c r="AU57" s="120">
        <v>1220</v>
      </c>
      <c r="AV57" s="145">
        <v>1260</v>
      </c>
      <c r="AW57" s="12"/>
      <c r="AX57" s="12"/>
      <c r="AY57" s="67">
        <v>1473</v>
      </c>
      <c r="AZ57" s="22"/>
      <c r="BA57" s="68">
        <f t="shared" si="306"/>
        <v>1568.7449999999999</v>
      </c>
      <c r="BB57" s="525">
        <f t="shared" si="266"/>
        <v>4.2475045126353788</v>
      </c>
      <c r="BC57" s="45"/>
      <c r="BD57" s="46"/>
      <c r="BE57" s="146">
        <f t="shared" si="267"/>
        <v>306.54666666666662</v>
      </c>
      <c r="BF57" s="523">
        <f t="shared" si="268"/>
        <v>-1262.1983333333333</v>
      </c>
      <c r="BG57" s="44">
        <f t="shared" si="269"/>
        <v>-4.1174753164281679</v>
      </c>
      <c r="BH57" s="149">
        <f t="shared" si="307"/>
        <v>1411.8705</v>
      </c>
      <c r="BI57" s="149">
        <f>SUM(BH57-SUM($BH57*0.1))</f>
        <v>1270.68345</v>
      </c>
      <c r="BJ57" s="149">
        <f t="shared" ref="BJ57:BL57" si="322">SUM(BI57-SUM($BZ57*0.1))</f>
        <v>1270.68345</v>
      </c>
      <c r="BK57" s="149">
        <f t="shared" si="322"/>
        <v>1270.68345</v>
      </c>
      <c r="BL57" s="149">
        <f t="shared" si="322"/>
        <v>1270.68345</v>
      </c>
      <c r="BM57" s="46"/>
      <c r="BN57" s="146"/>
      <c r="BO57" s="523"/>
      <c r="BP57" s="44"/>
      <c r="BQ57" s="532"/>
      <c r="BR57" s="532"/>
      <c r="BS57" s="532"/>
      <c r="BT57" s="532"/>
      <c r="BU57" s="532"/>
      <c r="BV57" s="526"/>
      <c r="BW57" s="527"/>
      <c r="BX57" s="523"/>
      <c r="BY57" s="44"/>
      <c r="BZ57" s="532"/>
      <c r="CA57" s="532"/>
      <c r="CB57" s="532"/>
      <c r="CC57" s="532"/>
      <c r="CD57" s="532"/>
      <c r="CE57" s="22"/>
      <c r="CF57" s="22"/>
      <c r="CG57" s="22"/>
    </row>
    <row r="58" spans="1:85" ht="15.75" customHeight="1" x14ac:dyDescent="0.5">
      <c r="A58" s="52"/>
      <c r="B58" s="7"/>
      <c r="C58" s="85"/>
      <c r="D58" s="120"/>
      <c r="E58" s="121"/>
      <c r="F58" s="121"/>
      <c r="G58" s="85"/>
      <c r="H58" s="52"/>
      <c r="I58" s="52"/>
      <c r="J58" s="52"/>
      <c r="K58" s="22"/>
      <c r="L58" s="121"/>
      <c r="M58" s="121"/>
      <c r="N58" s="121"/>
      <c r="O58" s="76"/>
      <c r="P58" s="76"/>
      <c r="Q58" s="76"/>
      <c r="R58" s="76"/>
      <c r="S58" s="546"/>
      <c r="T58" s="76"/>
      <c r="U58" s="76"/>
      <c r="V58" s="76"/>
      <c r="W58" s="76"/>
      <c r="X58" s="77"/>
      <c r="Y58" s="76"/>
      <c r="Z58" s="76"/>
      <c r="AA58" s="76"/>
      <c r="AB58" s="76"/>
      <c r="AC58" s="77"/>
      <c r="AD58" s="76"/>
      <c r="AE58" s="76"/>
      <c r="AF58" s="76"/>
      <c r="AG58" s="76"/>
      <c r="AH58" s="77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4"/>
      <c r="AT58" s="74"/>
      <c r="AU58" s="74"/>
      <c r="AV58" s="145"/>
      <c r="AW58" s="12"/>
      <c r="AX58" s="12"/>
      <c r="AY58" s="122"/>
      <c r="AZ58" s="22"/>
      <c r="BA58" s="123"/>
      <c r="BB58" s="45"/>
      <c r="BC58" s="22"/>
      <c r="BD58" s="46"/>
      <c r="BE58" s="146"/>
      <c r="BF58" s="22"/>
      <c r="BG58" s="22"/>
      <c r="BH58" s="532"/>
      <c r="BI58" s="532"/>
      <c r="BJ58" s="532"/>
      <c r="BK58" s="532"/>
      <c r="BL58" s="532"/>
      <c r="BM58" s="46"/>
      <c r="BN58" s="146"/>
      <c r="BO58" s="523"/>
      <c r="BP58" s="44"/>
      <c r="BQ58" s="532"/>
      <c r="BR58" s="532"/>
      <c r="BS58" s="532"/>
      <c r="BT58" s="532"/>
      <c r="BU58" s="532"/>
      <c r="BV58" s="526"/>
      <c r="BW58" s="44"/>
      <c r="BX58" s="523"/>
      <c r="BY58" s="44"/>
      <c r="BZ58" s="532"/>
      <c r="CA58" s="532"/>
      <c r="CB58" s="532"/>
      <c r="CC58" s="532"/>
      <c r="CD58" s="532"/>
      <c r="CE58" s="22"/>
      <c r="CF58" s="311"/>
      <c r="CG58" s="22"/>
    </row>
    <row r="59" spans="1:85" ht="15.75" customHeight="1" x14ac:dyDescent="0.5">
      <c r="A59" s="124"/>
      <c r="B59" s="125"/>
      <c r="C59" s="88"/>
      <c r="D59" s="126"/>
      <c r="E59" s="127"/>
      <c r="F59" s="127"/>
      <c r="G59" s="88"/>
      <c r="H59" s="124"/>
      <c r="I59" s="124"/>
      <c r="J59" s="124"/>
      <c r="K59" s="128"/>
      <c r="L59" s="127"/>
      <c r="M59" s="127"/>
      <c r="N59" s="127"/>
      <c r="O59" s="128"/>
      <c r="P59" s="128"/>
      <c r="Q59" s="128"/>
      <c r="R59" s="128"/>
      <c r="S59" s="547"/>
      <c r="T59" s="128"/>
      <c r="U59" s="128"/>
      <c r="V59" s="128"/>
      <c r="W59" s="128"/>
      <c r="X59" s="548"/>
      <c r="Y59" s="128"/>
      <c r="Z59" s="128"/>
      <c r="AA59" s="128"/>
      <c r="AB59" s="128"/>
      <c r="AC59" s="548"/>
      <c r="AD59" s="128"/>
      <c r="AE59" s="128"/>
      <c r="AF59" s="128"/>
      <c r="AG59" s="128"/>
      <c r="AH59" s="54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371"/>
      <c r="AT59" s="371"/>
      <c r="AU59" s="68"/>
      <c r="AV59" s="68"/>
      <c r="AW59" s="549"/>
      <c r="AX59" s="549"/>
      <c r="AY59" s="68"/>
      <c r="AZ59" s="129"/>
      <c r="BA59" s="68"/>
      <c r="BB59" s="130"/>
      <c r="BC59" s="129"/>
      <c r="BD59" s="131"/>
      <c r="BE59" s="68"/>
      <c r="BF59" s="129"/>
      <c r="BG59" s="129"/>
      <c r="BH59" s="22"/>
      <c r="BI59" s="22"/>
      <c r="BJ59" s="22"/>
      <c r="BK59" s="22"/>
      <c r="BL59" s="22"/>
      <c r="BM59" s="131"/>
      <c r="BN59" s="68"/>
      <c r="BO59" s="129"/>
      <c r="BP59" s="129"/>
      <c r="BQ59" s="22"/>
      <c r="BR59" s="22"/>
      <c r="BS59" s="22"/>
      <c r="BT59" s="22"/>
      <c r="BU59" s="22"/>
      <c r="BV59" s="521"/>
      <c r="BW59" s="129"/>
      <c r="BX59" s="129"/>
      <c r="BY59" s="129"/>
      <c r="BZ59" s="22"/>
      <c r="CA59" s="22"/>
      <c r="CB59" s="22"/>
      <c r="CC59" s="22"/>
      <c r="CD59" s="22"/>
      <c r="CE59" s="22"/>
      <c r="CF59" s="22"/>
      <c r="CG59" s="22"/>
    </row>
    <row r="60" spans="1:85" ht="15.75" customHeight="1" x14ac:dyDescent="0.5">
      <c r="A60" s="132" t="s">
        <v>181</v>
      </c>
      <c r="B60" s="133"/>
      <c r="C60" s="61"/>
      <c r="D60" s="134">
        <f>SUM(D4:D57)</f>
        <v>270344.33333333337</v>
      </c>
      <c r="E60" s="135">
        <f>SUM(E4:E59)</f>
        <v>1.0000000000000002</v>
      </c>
      <c r="F60" s="142">
        <f>SUM(F4:F58)</f>
        <v>0</v>
      </c>
      <c r="G60" s="61"/>
      <c r="H60" s="132"/>
      <c r="I60" s="132"/>
      <c r="J60" s="132"/>
      <c r="K60" s="134">
        <f>SUM(K4:K57)</f>
        <v>116441</v>
      </c>
      <c r="L60" s="135">
        <f>SUM(L4:L59)</f>
        <v>1</v>
      </c>
      <c r="M60" s="142">
        <f>SUM(M4:M58)</f>
        <v>0</v>
      </c>
      <c r="N60" s="135"/>
      <c r="O60" s="137">
        <f>SUM(O4:O58)</f>
        <v>98568</v>
      </c>
      <c r="P60" s="137"/>
      <c r="Q60" s="142">
        <f>SUM(Q4:Q58)</f>
        <v>0</v>
      </c>
      <c r="R60" s="137"/>
      <c r="S60" s="550"/>
      <c r="T60" s="137">
        <f>SUM(T4:T58)</f>
        <v>1324366</v>
      </c>
      <c r="U60" s="135">
        <f>SUM(U4:U59)</f>
        <v>1.0000000000000002</v>
      </c>
      <c r="V60" s="142">
        <f>SUM(V4:V58)</f>
        <v>158972.15100000001</v>
      </c>
      <c r="W60" s="142"/>
      <c r="X60" s="142">
        <f t="shared" ref="X60:Y60" si="323">SUM(X4:X58)</f>
        <v>750896</v>
      </c>
      <c r="Y60" s="142">
        <f t="shared" si="323"/>
        <v>0</v>
      </c>
      <c r="Z60" s="142"/>
      <c r="AA60" s="137"/>
      <c r="AB60" s="137"/>
      <c r="AC60" s="142">
        <f>SUM(AC4:AC58)</f>
        <v>28053.909000000032</v>
      </c>
      <c r="AD60" s="137"/>
      <c r="AE60" s="137"/>
      <c r="AF60" s="137">
        <f>SUM(AF4:AF58)</f>
        <v>1252334</v>
      </c>
      <c r="AG60" s="135">
        <f>SUM(AG4:AG59)</f>
        <v>1.0000000000000002</v>
      </c>
      <c r="AH60" s="142">
        <f>SUM(AH4:AH58)</f>
        <v>0</v>
      </c>
      <c r="AI60" s="137"/>
      <c r="AJ60" s="137"/>
      <c r="AK60" s="137">
        <f t="shared" ref="AK60:AL60" si="324">SUM(AK4:AK58)</f>
        <v>85934</v>
      </c>
      <c r="AL60" s="137">
        <f t="shared" si="324"/>
        <v>84283</v>
      </c>
      <c r="AM60" s="137"/>
      <c r="AN60" s="551"/>
      <c r="AO60" s="551"/>
      <c r="AP60" s="137">
        <f t="shared" ref="AP60:AQ60" si="325">SUM(AP4:AP58)</f>
        <v>34587.250000000015</v>
      </c>
      <c r="AQ60" s="137">
        <f t="shared" si="325"/>
        <v>221613.31</v>
      </c>
      <c r="AR60" s="137"/>
      <c r="AS60" s="552"/>
      <c r="AT60" s="552">
        <f t="shared" ref="AT60:AV60" si="326">SUM(AT4:AT58)</f>
        <v>161270</v>
      </c>
      <c r="AU60" s="137">
        <f t="shared" si="326"/>
        <v>166225</v>
      </c>
      <c r="AV60" s="137">
        <f t="shared" si="326"/>
        <v>174985</v>
      </c>
      <c r="AW60" s="553"/>
      <c r="AX60" s="554"/>
      <c r="AY60" s="137">
        <f>SUM(AY4:AY58)</f>
        <v>198229.70673759998</v>
      </c>
      <c r="AZ60" s="131"/>
      <c r="BA60" s="448">
        <f>SUM(BA4:BA58)</f>
        <v>217127.627675544</v>
      </c>
      <c r="BB60" s="139"/>
      <c r="BC60" s="141"/>
      <c r="BD60" s="131"/>
      <c r="BE60" s="448">
        <f>SUM(BE4:BE58)</f>
        <v>96624.173333333296</v>
      </c>
      <c r="BF60" s="141"/>
      <c r="BG60" s="141"/>
      <c r="BH60" s="149">
        <f t="shared" ref="BH60:BL60" si="327">SUM(BH4:BH58)</f>
        <v>207644.18423353491</v>
      </c>
      <c r="BI60" s="149">
        <f t="shared" si="327"/>
        <v>209969.10239617669</v>
      </c>
      <c r="BJ60" s="149">
        <f t="shared" si="327"/>
        <v>212985.092719874</v>
      </c>
      <c r="BK60" s="149">
        <f t="shared" si="327"/>
        <v>217413.39925939954</v>
      </c>
      <c r="BL60" s="149">
        <f t="shared" si="327"/>
        <v>223096.3663063717</v>
      </c>
      <c r="BM60" s="131"/>
      <c r="BN60" s="448">
        <f>SUM(BN4:BN58)</f>
        <v>141644.48000000007</v>
      </c>
      <c r="BO60" s="141"/>
      <c r="BP60" s="141"/>
      <c r="BQ60" s="149">
        <f t="shared" ref="BQ60:BU60" si="328">SUM(BQ4:BQ58)</f>
        <v>204593.10179735644</v>
      </c>
      <c r="BR60" s="149">
        <f t="shared" si="328"/>
        <v>207579.60034224126</v>
      </c>
      <c r="BS60" s="149">
        <f t="shared" si="328"/>
        <v>214544.32675014032</v>
      </c>
      <c r="BT60" s="149">
        <f t="shared" si="328"/>
        <v>220716.12419117073</v>
      </c>
      <c r="BU60" s="149">
        <f t="shared" si="328"/>
        <v>228049.26210355369</v>
      </c>
      <c r="BV60" s="521"/>
      <c r="BW60" s="448">
        <f>SUM(BW4:BW58)</f>
        <v>224438.57028595306</v>
      </c>
      <c r="BX60" s="141"/>
      <c r="BY60" s="141"/>
      <c r="BZ60" s="448">
        <f t="shared" ref="BZ60:CD60" si="329">SUM(BZ4:BZ58)</f>
        <v>217861.48042414323</v>
      </c>
      <c r="CA60" s="448">
        <f t="shared" si="329"/>
        <v>220908.26068876105</v>
      </c>
      <c r="CB60" s="448">
        <f t="shared" si="329"/>
        <v>226772.14908386499</v>
      </c>
      <c r="CC60" s="448">
        <f t="shared" si="329"/>
        <v>233115.69376651</v>
      </c>
      <c r="CD60" s="448">
        <f t="shared" si="329"/>
        <v>239070.66426491379</v>
      </c>
      <c r="CE60" s="22"/>
      <c r="CF60" s="448">
        <f>SUM(CF4:CF58)</f>
        <v>232577.1507087576</v>
      </c>
      <c r="CG60" s="22"/>
    </row>
    <row r="61" spans="1:85" ht="15.75" customHeight="1" x14ac:dyDescent="0.45">
      <c r="A61" s="83" t="s">
        <v>182</v>
      </c>
      <c r="B61" s="85"/>
      <c r="C61" s="82"/>
      <c r="D61" s="22">
        <f>COUNTIF(D4:D58,"&gt;1")</f>
        <v>52</v>
      </c>
      <c r="E61" s="144"/>
      <c r="F61" s="146">
        <f>SUM($AQ$61-$AP$60)*F62</f>
        <v>0</v>
      </c>
      <c r="G61" s="82"/>
      <c r="H61" s="83"/>
      <c r="I61" s="83"/>
      <c r="J61" s="83"/>
      <c r="K61" s="145"/>
      <c r="L61" s="144"/>
      <c r="M61" s="146">
        <f>SUM((AQ61-AP60)*M62)</f>
        <v>0</v>
      </c>
      <c r="N61" s="144"/>
      <c r="O61" s="145"/>
      <c r="P61" s="145"/>
      <c r="Q61" s="146">
        <v>0</v>
      </c>
      <c r="R61" s="145"/>
      <c r="S61" s="144"/>
      <c r="T61" s="145"/>
      <c r="U61" s="145"/>
      <c r="V61" s="146">
        <f>SUM(AQ61-'Options 1-3'!$AP$60-AP60)*V62</f>
        <v>158972.15099999998</v>
      </c>
      <c r="W61" s="146"/>
      <c r="X61" s="53"/>
      <c r="Y61" s="74"/>
      <c r="Z61" s="146"/>
      <c r="AA61" s="145"/>
      <c r="AB61" s="145"/>
      <c r="AC61" s="146">
        <f>SUM(AQ61-AP60)*AC62</f>
        <v>28053.909</v>
      </c>
      <c r="AD61" s="145"/>
      <c r="AE61" s="145"/>
      <c r="AF61" s="145"/>
      <c r="AG61" s="145"/>
      <c r="AH61" s="146">
        <f>SUM(AQ61-'Options 1-3'!$AP$60)*AH62</f>
        <v>0</v>
      </c>
      <c r="AI61" s="145"/>
      <c r="AJ61" s="145"/>
      <c r="AK61" s="145"/>
      <c r="AL61" s="145"/>
      <c r="AM61" s="145"/>
      <c r="AN61" s="145"/>
      <c r="AO61" s="145"/>
      <c r="AP61" s="74">
        <v>35000</v>
      </c>
      <c r="AQ61" s="74">
        <f>SUM('FY20-21 budget'!AD84*(1+AQ64))</f>
        <v>221613.31</v>
      </c>
      <c r="AR61" s="74"/>
      <c r="AS61" s="22"/>
      <c r="AT61" s="22">
        <f t="shared" ref="AT61:AV61" si="330">COUNTIF(AT4:AT58,"&gt;1")</f>
        <v>47</v>
      </c>
      <c r="AU61" s="22">
        <f t="shared" si="330"/>
        <v>47</v>
      </c>
      <c r="AV61" s="22">
        <f t="shared" si="330"/>
        <v>47</v>
      </c>
      <c r="AW61" s="12"/>
      <c r="AX61" s="12"/>
      <c r="AY61" s="22">
        <f>COUNTIF(AY4:AY58,"&gt;1")</f>
        <v>50</v>
      </c>
      <c r="AZ61" s="22"/>
      <c r="BA61" s="22">
        <f>COUNTIF(BA4:BA58,"&gt;1")</f>
        <v>54</v>
      </c>
      <c r="BB61" s="45"/>
      <c r="BC61" s="22"/>
      <c r="BD61" s="46"/>
      <c r="BE61" s="52"/>
      <c r="BF61" s="22"/>
      <c r="BG61" s="22"/>
      <c r="BH61" s="511"/>
      <c r="BI61" s="511"/>
      <c r="BJ61" s="511"/>
      <c r="BK61" s="511"/>
      <c r="BL61" s="511"/>
      <c r="BM61" s="46"/>
      <c r="BN61" s="52"/>
      <c r="BO61" s="22"/>
      <c r="BP61" s="22"/>
      <c r="BQ61" s="511"/>
      <c r="BR61" s="511"/>
      <c r="BS61" s="511"/>
      <c r="BT61" s="511"/>
      <c r="BU61" s="511"/>
      <c r="BV61" s="521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ht="15.75" customHeight="1" x14ac:dyDescent="0.45">
      <c r="A62" s="83"/>
      <c r="B62" s="85"/>
      <c r="C62" s="85"/>
      <c r="D62" s="147"/>
      <c r="E62" s="144"/>
      <c r="F62" s="50">
        <f>Summary!AQ4</f>
        <v>0</v>
      </c>
      <c r="G62" s="85"/>
      <c r="H62" s="83"/>
      <c r="I62" s="83"/>
      <c r="J62" s="83"/>
      <c r="K62" s="145"/>
      <c r="L62" s="144"/>
      <c r="M62" s="50">
        <f>Summary!AQ5</f>
        <v>0</v>
      </c>
      <c r="N62" s="144"/>
      <c r="O62" s="145"/>
      <c r="P62" s="145"/>
      <c r="Q62" s="50">
        <v>0</v>
      </c>
      <c r="R62" s="145"/>
      <c r="S62" s="144"/>
      <c r="T62" s="145"/>
      <c r="U62" s="145"/>
      <c r="V62" s="153">
        <f>Summary!AQ6</f>
        <v>0.85</v>
      </c>
      <c r="W62" s="50"/>
      <c r="X62" s="53"/>
      <c r="Y62" s="153">
        <v>0</v>
      </c>
      <c r="Z62" s="50"/>
      <c r="AA62" s="145"/>
      <c r="AB62" s="145"/>
      <c r="AC62" s="50">
        <f>Summary!AQ7</f>
        <v>0.15</v>
      </c>
      <c r="AD62" s="145"/>
      <c r="AE62" s="145"/>
      <c r="AF62" s="145"/>
      <c r="AG62" s="145"/>
      <c r="AH62" s="50">
        <f>Summary!AQ8</f>
        <v>0</v>
      </c>
      <c r="AI62" s="145"/>
      <c r="AJ62" s="145"/>
      <c r="AK62" s="145"/>
      <c r="AL62" s="145"/>
      <c r="AM62" s="145"/>
      <c r="AN62" s="145"/>
      <c r="AO62" s="145"/>
      <c r="AP62" s="50">
        <f>Summary!AQ11</f>
        <v>1</v>
      </c>
      <c r="AQ62" s="121">
        <f>SUM(V62+AC62+M62+AH62+Y62)</f>
        <v>1</v>
      </c>
      <c r="AR62" s="121"/>
      <c r="AS62" s="22"/>
      <c r="AT62" s="22"/>
      <c r="AU62" s="22"/>
      <c r="AV62" s="22"/>
      <c r="AW62" s="12"/>
      <c r="AX62" s="12"/>
      <c r="AY62" s="149"/>
      <c r="AZ62" s="22"/>
      <c r="BA62" s="22"/>
      <c r="BB62" s="45"/>
      <c r="BC62" s="22"/>
      <c r="BD62" s="46"/>
      <c r="BE62" s="52"/>
      <c r="BF62" s="22"/>
      <c r="BG62" s="22"/>
      <c r="BH62" s="22"/>
      <c r="BI62" s="22"/>
      <c r="BJ62" s="22"/>
      <c r="BK62" s="22"/>
      <c r="BL62" s="22"/>
      <c r="BM62" s="46"/>
      <c r="BN62" s="52"/>
      <c r="BO62" s="22"/>
      <c r="BP62" s="22"/>
      <c r="BQ62" s="22"/>
      <c r="BR62" s="22"/>
      <c r="BS62" s="22"/>
      <c r="BT62" s="22"/>
      <c r="BU62" s="22"/>
      <c r="BV62" s="521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ht="15.75" customHeight="1" x14ac:dyDescent="0.45">
      <c r="A63" s="83" t="s">
        <v>184</v>
      </c>
      <c r="B63" s="85"/>
      <c r="C63" s="61"/>
      <c r="D63" s="147"/>
      <c r="E63" s="144"/>
      <c r="F63" s="144"/>
      <c r="G63" s="61"/>
      <c r="H63" s="83"/>
      <c r="I63" s="83"/>
      <c r="J63" s="83"/>
      <c r="K63" s="145"/>
      <c r="L63" s="144"/>
      <c r="M63" s="144"/>
      <c r="N63" s="144"/>
      <c r="O63" s="145"/>
      <c r="P63" s="145"/>
      <c r="Q63" s="145"/>
      <c r="R63" s="145"/>
      <c r="S63" s="144"/>
      <c r="T63" s="145"/>
      <c r="U63" s="145"/>
      <c r="V63" s="145"/>
      <c r="W63" s="145"/>
      <c r="X63" s="53"/>
      <c r="Y63" s="74"/>
      <c r="Z63" s="145"/>
      <c r="AA63" s="145"/>
      <c r="AB63" s="145"/>
      <c r="AC63" s="146"/>
      <c r="AD63" s="145"/>
      <c r="AE63" s="145"/>
      <c r="AF63" s="145"/>
      <c r="AG63" s="145"/>
      <c r="AH63" s="146"/>
      <c r="AI63" s="145"/>
      <c r="AJ63" s="145"/>
      <c r="AK63" s="145"/>
      <c r="AL63" s="145"/>
      <c r="AM63" s="145"/>
      <c r="AN63" s="145"/>
      <c r="AO63" s="145"/>
      <c r="AP63" s="74"/>
      <c r="AQ63" s="74"/>
      <c r="AR63" s="74"/>
      <c r="AS63" s="523"/>
      <c r="AT63" s="523"/>
      <c r="AU63" s="523"/>
      <c r="AV63" s="555"/>
      <c r="AW63" s="41" t="s">
        <v>477</v>
      </c>
      <c r="AX63" s="41"/>
      <c r="AY63" s="152">
        <v>218234.62</v>
      </c>
      <c r="AZ63" s="22"/>
      <c r="BA63" s="74">
        <v>213467.59999999998</v>
      </c>
      <c r="BB63" s="45"/>
      <c r="BC63" s="22"/>
      <c r="BD63" s="46"/>
      <c r="BE63" s="52"/>
      <c r="BF63" s="22"/>
      <c r="BG63" s="556">
        <v>2.5000000000000001E-2</v>
      </c>
      <c r="BH63" s="149">
        <f>SUM(BA63*(1+BG63))</f>
        <v>218804.28999999995</v>
      </c>
      <c r="BI63" s="149">
        <f t="shared" ref="BI63:BL63" si="331">SUM(BH63*(1+$BG$63))</f>
        <v>224274.39724999992</v>
      </c>
      <c r="BJ63" s="149">
        <f t="shared" si="331"/>
        <v>229881.25718124991</v>
      </c>
      <c r="BK63" s="149">
        <f t="shared" si="331"/>
        <v>235628.28861078114</v>
      </c>
      <c r="BL63" s="149">
        <f t="shared" si="331"/>
        <v>241518.99582605064</v>
      </c>
      <c r="BM63" s="46"/>
      <c r="BN63" s="52"/>
      <c r="BO63" s="22"/>
      <c r="BP63" s="22"/>
      <c r="BQ63" s="22"/>
      <c r="BR63" s="22"/>
      <c r="BS63" s="22"/>
      <c r="BT63" s="22"/>
      <c r="BU63" s="22"/>
      <c r="BV63" s="521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ht="15.75" customHeight="1" x14ac:dyDescent="0.45">
      <c r="A64" s="66" t="s">
        <v>478</v>
      </c>
      <c r="B64" s="85"/>
      <c r="C64" s="85"/>
      <c r="D64" s="147"/>
      <c r="E64" s="144"/>
      <c r="F64" s="44"/>
      <c r="G64" s="85"/>
      <c r="H64" s="66"/>
      <c r="I64" s="66"/>
      <c r="J64" s="66"/>
      <c r="K64" s="44"/>
      <c r="L64" s="44"/>
      <c r="M64" s="44"/>
      <c r="N64" s="44"/>
      <c r="O64" s="145"/>
      <c r="P64" s="145"/>
      <c r="Q64" s="145"/>
      <c r="R64" s="145"/>
      <c r="S64" s="44"/>
      <c r="T64" s="145"/>
      <c r="U64" s="145"/>
      <c r="V64" s="145"/>
      <c r="W64" s="145"/>
      <c r="X64" s="53"/>
      <c r="Y64" s="74"/>
      <c r="Z64" s="145"/>
      <c r="AA64" s="145"/>
      <c r="AB64" s="145"/>
      <c r="AC64" s="146"/>
      <c r="AD64" s="145"/>
      <c r="AE64" s="145"/>
      <c r="AF64" s="145"/>
      <c r="AG64" s="145"/>
      <c r="AH64" s="146"/>
      <c r="AI64" s="145"/>
      <c r="AJ64" s="145"/>
      <c r="AK64" s="145"/>
      <c r="AL64" s="145"/>
      <c r="AM64" s="145"/>
      <c r="AN64" s="145"/>
      <c r="AO64" s="145"/>
      <c r="AP64" s="74"/>
      <c r="AQ64" s="50">
        <v>0</v>
      </c>
      <c r="AR64" s="74"/>
      <c r="AS64" s="44"/>
      <c r="AT64" s="44"/>
      <c r="AU64" s="44">
        <f t="shared" ref="AU64:AV64" si="332">SUM(AU60-AT60)/AT60</f>
        <v>3.0724871333788057E-2</v>
      </c>
      <c r="AV64" s="44">
        <f t="shared" si="332"/>
        <v>5.26996540833208E-2</v>
      </c>
      <c r="AW64" s="557"/>
      <c r="AX64" s="557"/>
      <c r="AY64" s="44" t="e">
        <f>SUM(AY60-#REF!)/#REF!</f>
        <v>#REF!</v>
      </c>
      <c r="AZ64" s="44"/>
      <c r="BA64" s="44">
        <f>SUM(BA60-AY60)/AY60</f>
        <v>9.5333445470711042E-2</v>
      </c>
      <c r="BB64" s="45"/>
      <c r="BC64" s="44"/>
      <c r="BD64" s="154"/>
      <c r="BE64" s="153"/>
      <c r="BF64" s="44"/>
      <c r="BG64" s="44"/>
      <c r="BH64" s="22"/>
      <c r="BI64" s="22"/>
      <c r="BJ64" s="22"/>
      <c r="BK64" s="22"/>
      <c r="BL64" s="22"/>
      <c r="BM64" s="154"/>
      <c r="BN64" s="153"/>
      <c r="BO64" s="44"/>
      <c r="BP64" s="44"/>
      <c r="BQ64" s="22"/>
      <c r="BR64" s="22"/>
      <c r="BS64" s="22"/>
      <c r="BT64" s="22"/>
      <c r="BU64" s="22"/>
      <c r="BV64" s="526"/>
      <c r="BW64" s="44"/>
      <c r="BX64" s="44"/>
      <c r="BY64" s="44"/>
      <c r="BZ64" s="532"/>
      <c r="CA64" s="532"/>
      <c r="CB64" s="532"/>
      <c r="CC64" s="532"/>
      <c r="CD64" s="532"/>
      <c r="CE64" s="22"/>
      <c r="CF64" s="22"/>
      <c r="CG64" s="22"/>
    </row>
    <row r="65" spans="1:85" ht="15.75" customHeight="1" x14ac:dyDescent="0.45">
      <c r="A65" s="22"/>
      <c r="B65" s="12"/>
      <c r="C65" s="85"/>
      <c r="D65" s="147"/>
      <c r="E65" s="44"/>
      <c r="F65" s="144"/>
      <c r="G65" s="85"/>
      <c r="H65" s="22"/>
      <c r="I65" s="22"/>
      <c r="J65" s="22"/>
      <c r="K65" s="145"/>
      <c r="L65" s="144"/>
      <c r="M65" s="144"/>
      <c r="N65" s="144"/>
      <c r="O65" s="145"/>
      <c r="P65" s="145"/>
      <c r="Q65" s="145"/>
      <c r="R65" s="145"/>
      <c r="S65" s="144"/>
      <c r="T65" s="145"/>
      <c r="U65" s="145"/>
      <c r="V65" s="145"/>
      <c r="W65" s="145"/>
      <c r="X65" s="53"/>
      <c r="Y65" s="74"/>
      <c r="Z65" s="145"/>
      <c r="AA65" s="145"/>
      <c r="AB65" s="145"/>
      <c r="AC65" s="146"/>
      <c r="AD65" s="145"/>
      <c r="AE65" s="145"/>
      <c r="AF65" s="145"/>
      <c r="AG65" s="145"/>
      <c r="AH65" s="146"/>
      <c r="AI65" s="145"/>
      <c r="AJ65" s="145"/>
      <c r="AK65" s="145"/>
      <c r="AL65" s="145"/>
      <c r="AM65" s="145"/>
      <c r="AN65" s="145"/>
      <c r="AO65" s="145"/>
      <c r="AP65" s="74"/>
      <c r="AQ65" s="74"/>
      <c r="AR65" s="74"/>
      <c r="AS65" s="523"/>
      <c r="AT65" s="523"/>
      <c r="AU65" s="523"/>
      <c r="AV65" s="555"/>
      <c r="AW65" s="41" t="s">
        <v>479</v>
      </c>
      <c r="AX65" s="41"/>
      <c r="AY65" s="74">
        <f>SUM(AY60-AY63)</f>
        <v>-20004.913262400019</v>
      </c>
      <c r="AZ65" s="22"/>
      <c r="BA65" s="74">
        <f>SUM(BA60-BA63)</f>
        <v>3660.0276755440282</v>
      </c>
      <c r="BB65" s="45"/>
      <c r="BC65" s="22"/>
      <c r="BD65" s="46"/>
      <c r="BE65" s="52"/>
      <c r="BF65" s="22"/>
      <c r="BG65" s="22"/>
      <c r="BH65" s="149"/>
      <c r="BI65" s="149"/>
      <c r="BJ65" s="149"/>
      <c r="BK65" s="149"/>
      <c r="BL65" s="149"/>
      <c r="BM65" s="46"/>
      <c r="BN65" s="52"/>
      <c r="BO65" s="22"/>
      <c r="BP65" s="22"/>
      <c r="BQ65" s="149"/>
      <c r="BR65" s="149"/>
      <c r="BS65" s="149"/>
      <c r="BT65" s="149"/>
      <c r="BU65" s="149"/>
      <c r="BV65" s="521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ht="15.75" customHeight="1" x14ac:dyDescent="0.45">
      <c r="A66" s="22"/>
      <c r="B66" s="12"/>
      <c r="C66" s="119"/>
      <c r="D66" s="155"/>
      <c r="E66" s="144"/>
      <c r="F66" s="144"/>
      <c r="G66" s="119"/>
      <c r="H66" s="22"/>
      <c r="I66" s="22"/>
      <c r="J66" s="22"/>
      <c r="K66" s="145"/>
      <c r="L66" s="144"/>
      <c r="M66" s="144"/>
      <c r="N66" s="144"/>
      <c r="O66" s="145"/>
      <c r="P66" s="145"/>
      <c r="Q66" s="145"/>
      <c r="R66" s="145"/>
      <c r="S66" s="144"/>
      <c r="T66" s="145"/>
      <c r="U66" s="145"/>
      <c r="V66" s="145"/>
      <c r="W66" s="145"/>
      <c r="X66" s="53"/>
      <c r="Y66" s="74"/>
      <c r="Z66" s="145"/>
      <c r="AA66" s="145"/>
      <c r="AB66" s="145"/>
      <c r="AC66" s="146"/>
      <c r="AD66" s="145"/>
      <c r="AE66" s="145"/>
      <c r="AF66" s="145"/>
      <c r="AG66" s="145"/>
      <c r="AH66" s="146"/>
      <c r="AI66" s="145"/>
      <c r="AJ66" s="145"/>
      <c r="AK66" s="145"/>
      <c r="AL66" s="145"/>
      <c r="AM66" s="145"/>
      <c r="AN66" s="145"/>
      <c r="AO66" s="145"/>
      <c r="AP66" s="74"/>
      <c r="AQ66" s="74"/>
      <c r="AR66" s="74"/>
      <c r="AS66" s="523"/>
      <c r="AT66" s="523"/>
      <c r="AU66" s="523"/>
      <c r="AV66" s="555"/>
      <c r="AW66" s="12"/>
      <c r="AX66" s="12"/>
      <c r="AY66" s="157"/>
      <c r="AZ66" s="22"/>
      <c r="BA66" s="22"/>
      <c r="BB66" s="45"/>
      <c r="BC66" s="22"/>
      <c r="BD66" s="158"/>
      <c r="BE66" s="558"/>
      <c r="BF66" s="45"/>
      <c r="BG66" s="45"/>
      <c r="BH66" s="149"/>
      <c r="BI66" s="149"/>
      <c r="BJ66" s="149"/>
      <c r="BK66" s="149"/>
      <c r="BL66" s="149"/>
      <c r="BM66" s="158"/>
      <c r="BN66" s="558"/>
      <c r="BO66" s="45"/>
      <c r="BP66" s="45"/>
      <c r="BQ66" s="149"/>
      <c r="BR66" s="149"/>
      <c r="BS66" s="149"/>
      <c r="BT66" s="149"/>
      <c r="BU66" s="149"/>
      <c r="BV66" s="559"/>
      <c r="BW66" s="45"/>
      <c r="BX66" s="45"/>
      <c r="BY66" s="45"/>
      <c r="BZ66" s="69"/>
      <c r="CA66" s="69"/>
      <c r="CB66" s="69"/>
      <c r="CC66" s="69"/>
      <c r="CD66" s="69"/>
      <c r="CE66" s="22"/>
      <c r="CF66" s="22"/>
      <c r="CG66" s="22"/>
    </row>
    <row r="67" spans="1:85" ht="15.75" customHeight="1" x14ac:dyDescent="0.45">
      <c r="A67" s="22"/>
      <c r="B67" s="12"/>
      <c r="C67" s="7"/>
      <c r="D67" s="155"/>
      <c r="E67" s="144"/>
      <c r="F67" s="144"/>
      <c r="G67" s="7"/>
      <c r="H67" s="22"/>
      <c r="I67" s="22"/>
      <c r="J67" s="22"/>
      <c r="K67" s="145"/>
      <c r="L67" s="144"/>
      <c r="M67" s="144"/>
      <c r="N67" s="144"/>
      <c r="O67" s="145"/>
      <c r="P67" s="145"/>
      <c r="Q67" s="145"/>
      <c r="R67" s="145"/>
      <c r="S67" s="144"/>
      <c r="T67" s="145"/>
      <c r="U67" s="145"/>
      <c r="V67" s="145"/>
      <c r="W67" s="145"/>
      <c r="X67" s="53"/>
      <c r="Y67" s="74"/>
      <c r="Z67" s="145"/>
      <c r="AA67" s="145"/>
      <c r="AB67" s="145"/>
      <c r="AC67" s="146"/>
      <c r="AD67" s="145"/>
      <c r="AE67" s="145"/>
      <c r="AF67" s="145"/>
      <c r="AG67" s="145"/>
      <c r="AH67" s="146"/>
      <c r="AI67" s="145"/>
      <c r="AJ67" s="145"/>
      <c r="AK67" s="145"/>
      <c r="AL67" s="145"/>
      <c r="AM67" s="145"/>
      <c r="AN67" s="145"/>
      <c r="AO67" s="145"/>
      <c r="AP67" s="74"/>
      <c r="AQ67" s="74"/>
      <c r="AR67" s="74"/>
      <c r="AS67" s="523"/>
      <c r="AT67" s="523"/>
      <c r="AU67" s="523"/>
      <c r="AV67" s="555"/>
      <c r="AW67" s="19"/>
      <c r="AX67" s="19"/>
      <c r="AY67" s="157"/>
      <c r="AZ67" s="22"/>
      <c r="BA67" s="22"/>
      <c r="BB67" s="45"/>
      <c r="BC67" s="22"/>
      <c r="BD67" s="158"/>
      <c r="BE67" s="558"/>
      <c r="BF67" s="45"/>
      <c r="BG67" s="45"/>
      <c r="BH67" s="532"/>
      <c r="BI67" s="532"/>
      <c r="BJ67" s="532"/>
      <c r="BK67" s="532"/>
      <c r="BL67" s="532"/>
      <c r="BM67" s="158"/>
      <c r="BN67" s="558"/>
      <c r="BO67" s="45"/>
      <c r="BP67" s="45"/>
      <c r="BQ67" s="532"/>
      <c r="BR67" s="532"/>
      <c r="BS67" s="532"/>
      <c r="BT67" s="532"/>
      <c r="BU67" s="532"/>
      <c r="BV67" s="559"/>
      <c r="BW67" s="45"/>
      <c r="BX67" s="45"/>
      <c r="BY67" s="45"/>
      <c r="BZ67" s="69"/>
      <c r="CA67" s="69"/>
      <c r="CB67" s="69"/>
      <c r="CC67" s="69"/>
      <c r="CD67" s="69"/>
      <c r="CE67" s="22"/>
      <c r="CF67" s="22"/>
      <c r="CG67" s="22"/>
    </row>
    <row r="68" spans="1:85" ht="15.75" customHeight="1" x14ac:dyDescent="0.5">
      <c r="A68" s="22"/>
      <c r="B68" s="12"/>
      <c r="C68" s="125"/>
      <c r="D68" s="155"/>
      <c r="E68" s="144"/>
      <c r="F68" s="144"/>
      <c r="G68" s="125"/>
      <c r="H68" s="22"/>
      <c r="I68" s="22"/>
      <c r="J68" s="22"/>
      <c r="K68" s="145"/>
      <c r="L68" s="144"/>
      <c r="M68" s="144"/>
      <c r="N68" s="144"/>
      <c r="O68" s="145"/>
      <c r="P68" s="145"/>
      <c r="Q68" s="145"/>
      <c r="R68" s="145"/>
      <c r="S68" s="144"/>
      <c r="T68" s="145"/>
      <c r="U68" s="145"/>
      <c r="V68" s="145"/>
      <c r="W68" s="145"/>
      <c r="X68" s="53"/>
      <c r="Y68" s="74"/>
      <c r="Z68" s="145"/>
      <c r="AA68" s="145"/>
      <c r="AB68" s="145"/>
      <c r="AC68" s="146"/>
      <c r="AD68" s="145"/>
      <c r="AE68" s="145"/>
      <c r="AF68" s="145"/>
      <c r="AG68" s="145"/>
      <c r="AH68" s="146"/>
      <c r="AI68" s="145"/>
      <c r="AJ68" s="145"/>
      <c r="AK68" s="145"/>
      <c r="AL68" s="145"/>
      <c r="AM68" s="145"/>
      <c r="AN68" s="145"/>
      <c r="AO68" s="145"/>
      <c r="AP68" s="74"/>
      <c r="AQ68" s="74"/>
      <c r="AR68" s="74"/>
      <c r="AS68" s="523"/>
      <c r="AT68" s="523"/>
      <c r="AU68" s="523"/>
      <c r="AV68" s="555"/>
      <c r="AW68" s="12"/>
      <c r="AX68" s="12"/>
      <c r="AY68" s="157"/>
      <c r="AZ68" s="22"/>
      <c r="BA68" s="22"/>
      <c r="BB68" s="45"/>
      <c r="BC68" s="22"/>
      <c r="BD68" s="158"/>
      <c r="BE68" s="558"/>
      <c r="BF68" s="45"/>
      <c r="BG68" s="45"/>
      <c r="BH68" s="532"/>
      <c r="BI68" s="532"/>
      <c r="BJ68" s="532"/>
      <c r="BK68" s="532"/>
      <c r="BL68" s="532"/>
      <c r="BM68" s="158"/>
      <c r="BN68" s="558"/>
      <c r="BO68" s="45"/>
      <c r="BP68" s="45"/>
      <c r="BQ68" s="532"/>
      <c r="BR68" s="532"/>
      <c r="BS68" s="532"/>
      <c r="BT68" s="532"/>
      <c r="BU68" s="532"/>
      <c r="BV68" s="559"/>
      <c r="BW68" s="45"/>
      <c r="BX68" s="45"/>
      <c r="BY68" s="45"/>
      <c r="BZ68" s="69"/>
      <c r="CA68" s="69"/>
      <c r="CB68" s="69"/>
      <c r="CC68" s="69"/>
      <c r="CD68" s="69"/>
      <c r="CE68" s="22"/>
      <c r="CF68" s="22"/>
      <c r="CG68" s="22"/>
    </row>
    <row r="69" spans="1:85" ht="15.75" customHeight="1" x14ac:dyDescent="0.5">
      <c r="A69" s="160" t="s">
        <v>480</v>
      </c>
      <c r="B69" s="162"/>
      <c r="C69" s="133"/>
      <c r="D69" s="145">
        <f>SUM(D4,D6,D12,D21,D35,D42,D43,D46,D52,D57,D51)</f>
        <v>54837.666666666657</v>
      </c>
      <c r="E69" s="144"/>
      <c r="F69" s="145">
        <f>SUM(F4,F6,F12,F21,F35,F42,F43,F46,F52,F57,F51)</f>
        <v>0</v>
      </c>
      <c r="G69" s="133"/>
      <c r="H69" s="160"/>
      <c r="I69" s="160"/>
      <c r="J69" s="160"/>
      <c r="K69" s="145">
        <f>SUM(K4,K6,K12,K21,K35,K42,K43,K46,K52,K57,K51)</f>
        <v>16112.333333333332</v>
      </c>
      <c r="L69" s="144"/>
      <c r="M69" s="145">
        <f>SUM(M4,M6,M12,M21,M35,M42,M43,M46,M52,M57,M51)</f>
        <v>0</v>
      </c>
      <c r="N69" s="144"/>
      <c r="O69" s="145"/>
      <c r="P69" s="145"/>
      <c r="Q69" s="145"/>
      <c r="R69" s="145"/>
      <c r="S69" s="144"/>
      <c r="T69" s="145">
        <f>SUM(T4,T6,T12,T21,T35,T42,T43,T46,T52,T57,T51)</f>
        <v>194720</v>
      </c>
      <c r="U69" s="145"/>
      <c r="V69" s="145">
        <f>SUM(V4,V6,V12,V21,V35,V42,V43,V46,V52,V57,V51)</f>
        <v>23373.491348101656</v>
      </c>
      <c r="W69" s="145"/>
      <c r="X69" s="53"/>
      <c r="Y69" s="74"/>
      <c r="Z69" s="145"/>
      <c r="AA69" s="145"/>
      <c r="AB69" s="145"/>
      <c r="AC69" s="145">
        <f>SUM(AC4,AC6,AC12,AC21,AC35,AC42,AC43,AC46,AC52,AC57,AC51)</f>
        <v>5714.6851666666653</v>
      </c>
      <c r="AD69" s="145"/>
      <c r="AE69" s="145"/>
      <c r="AF69" s="145">
        <f>SUM(AF4,AF6,AF12,AF21,AF35,AF42,AF43,AF46,AF52,AF57,AF51)</f>
        <v>190320</v>
      </c>
      <c r="AG69" s="145"/>
      <c r="AH69" s="145">
        <f>SUM(AH4,AH6,AH12,AH21,AH35,AH42,AH43,AH46,AH52,AH57,AH51)</f>
        <v>0</v>
      </c>
      <c r="AI69" s="145"/>
      <c r="AJ69" s="145"/>
      <c r="AK69" s="145">
        <f t="shared" ref="AK69:AL69" si="333">SUM(AK4,AK6,AK12,AK21,AK35,AK42,AK43,AK46,AK52,AK57,AK51)</f>
        <v>17416</v>
      </c>
      <c r="AL69" s="145">
        <f t="shared" si="333"/>
        <v>16351</v>
      </c>
      <c r="AM69" s="145"/>
      <c r="AN69" s="145"/>
      <c r="AO69" s="145"/>
      <c r="AP69" s="145">
        <f t="shared" ref="AP69:AQ69" si="334">SUM(AP4,AP6,AP12,AP21,AP35,AP42,AP43,AP46,AP52,AP57,AP51)</f>
        <v>6523.7906962258094</v>
      </c>
      <c r="AQ69" s="145">
        <f t="shared" si="334"/>
        <v>35611.967210994131</v>
      </c>
      <c r="AR69" s="145"/>
      <c r="AS69" s="523"/>
      <c r="AT69" s="149" t="e">
        <f t="shared" ref="AT69:AV69" si="335">SUM(AT12,AT21,AT22,AT32,#REF!,AT43,#REF!,#REF!,AT47,#REF!,AT48)</f>
        <v>#REF!</v>
      </c>
      <c r="AU69" s="149" t="e">
        <f t="shared" si="335"/>
        <v>#REF!</v>
      </c>
      <c r="AV69" s="149" t="e">
        <f t="shared" si="335"/>
        <v>#REF!</v>
      </c>
      <c r="AW69" s="12"/>
      <c r="AX69" s="12"/>
      <c r="AY69" s="145">
        <f>SUM(AY4,AY6,AY12,AY21,AY35,AY42,AY43,AY46,AY52,AY57,AY51)</f>
        <v>43276.949728800006</v>
      </c>
      <c r="AZ69" s="22"/>
      <c r="BA69" s="145">
        <f>SUM(BA4,BA6,BA12,BA21,BA35,BA42,BA43,BA46,BA52,BA57,BA51)</f>
        <v>46089.951461172008</v>
      </c>
      <c r="BB69" s="45"/>
      <c r="BC69" s="22"/>
      <c r="BD69" s="158"/>
      <c r="BE69" s="145">
        <f t="shared" ref="BE69:BF69" si="336">SUM(BE4,BE6,BE12,BE21,BE35,BE42,BE43,BE46,BE52,BE57,BE51)</f>
        <v>13373.236666666666</v>
      </c>
      <c r="BF69" s="145">
        <f t="shared" si="336"/>
        <v>-32716.71479450534</v>
      </c>
      <c r="BG69" s="45"/>
      <c r="BH69" s="145">
        <f t="shared" ref="BH69:BL69" si="337">SUM(BH4,BH6,BH12,BH21,BH35,BH42,BH43,BH46,BH52,BH57,BH51)</f>
        <v>43354.434897089741</v>
      </c>
      <c r="BI69" s="145">
        <f t="shared" si="337"/>
        <v>42531.049885703855</v>
      </c>
      <c r="BJ69" s="145">
        <f t="shared" si="337"/>
        <v>43042.739542431598</v>
      </c>
      <c r="BK69" s="145">
        <f t="shared" si="337"/>
        <v>44727.810447919219</v>
      </c>
      <c r="BL69" s="145">
        <f t="shared" si="337"/>
        <v>46310.700973832412</v>
      </c>
      <c r="BM69" s="158"/>
      <c r="BN69" s="145">
        <f t="shared" ref="BN69:BO69" si="338">SUM(BN4,BN6,BN12,BN21,BN35,BN42,BN43,BN46,BN52,BN57,BN51)</f>
        <v>22301.22</v>
      </c>
      <c r="BO69" s="145">
        <f t="shared" si="338"/>
        <v>-22219.986461172008</v>
      </c>
      <c r="BP69" s="45"/>
      <c r="BQ69" s="145">
        <f t="shared" ref="BQ69:BU69" si="339">SUM(BQ4,BQ6,BQ12,BQ21,BQ35,BQ42,BQ43,BQ46,BQ52,BQ57,BQ51)</f>
        <v>43703.470015966814</v>
      </c>
      <c r="BR69" s="145">
        <f t="shared" si="339"/>
        <v>43483.067017919719</v>
      </c>
      <c r="BS69" s="145">
        <f t="shared" si="339"/>
        <v>44370.947824993804</v>
      </c>
      <c r="BT69" s="145">
        <f t="shared" si="339"/>
        <v>45534.804971548758</v>
      </c>
      <c r="BU69" s="145">
        <f t="shared" si="339"/>
        <v>47019.442064336086</v>
      </c>
      <c r="BV69" s="559"/>
      <c r="BW69" s="145">
        <f t="shared" ref="BW69:BX69" si="340">SUM(BW4,BW6,BW12,BW21,BW35,BW42,BW43,BW46,BW52,BW57,BW51)</f>
        <v>30661.143641844363</v>
      </c>
      <c r="BX69" s="145">
        <f t="shared" si="340"/>
        <v>-13860.062819327644</v>
      </c>
      <c r="BY69" s="45"/>
      <c r="BZ69" s="145">
        <f t="shared" ref="BZ69:CD69" si="341">SUM(BZ4,BZ6,BZ12,BZ21,BZ35,BZ42,BZ43,BZ46,BZ52,BZ57,BZ51)</f>
        <v>43389.817680819608</v>
      </c>
      <c r="CA69" s="145">
        <f t="shared" si="341"/>
        <v>42567.550701884509</v>
      </c>
      <c r="CB69" s="145">
        <f t="shared" si="341"/>
        <v>44131.373699217329</v>
      </c>
      <c r="CC69" s="145">
        <f t="shared" si="341"/>
        <v>45712.206129896382</v>
      </c>
      <c r="CD69" s="145">
        <f t="shared" si="341"/>
        <v>47191.96533328123</v>
      </c>
      <c r="CE69" s="22"/>
      <c r="CF69" s="22"/>
      <c r="CG69" s="22"/>
    </row>
    <row r="70" spans="1:85" ht="15.75" customHeight="1" x14ac:dyDescent="0.45">
      <c r="A70" s="22"/>
      <c r="B70" s="12"/>
      <c r="C70" s="85"/>
      <c r="D70" s="155"/>
      <c r="E70" s="144"/>
      <c r="F70" s="144"/>
      <c r="G70" s="85"/>
      <c r="H70" s="22"/>
      <c r="I70" s="22"/>
      <c r="J70" s="22"/>
      <c r="K70" s="145"/>
      <c r="L70" s="144"/>
      <c r="M70" s="144"/>
      <c r="N70" s="144"/>
      <c r="O70" s="145"/>
      <c r="P70" s="145"/>
      <c r="Q70" s="145"/>
      <c r="R70" s="145"/>
      <c r="S70" s="144"/>
      <c r="T70" s="145"/>
      <c r="U70" s="145"/>
      <c r="V70" s="145"/>
      <c r="W70" s="145"/>
      <c r="X70" s="53"/>
      <c r="Y70" s="74"/>
      <c r="Z70" s="145"/>
      <c r="AA70" s="145"/>
      <c r="AB70" s="145"/>
      <c r="AC70" s="146"/>
      <c r="AD70" s="145"/>
      <c r="AE70" s="145"/>
      <c r="AF70" s="145"/>
      <c r="AG70" s="145"/>
      <c r="AH70" s="146"/>
      <c r="AI70" s="145"/>
      <c r="AJ70" s="145"/>
      <c r="AK70" s="145"/>
      <c r="AL70" s="145"/>
      <c r="AM70" s="145"/>
      <c r="AN70" s="145"/>
      <c r="AO70" s="145"/>
      <c r="AP70" s="74"/>
      <c r="AQ70" s="74"/>
      <c r="AR70" s="74"/>
      <c r="AS70" s="523"/>
      <c r="AT70" s="523"/>
      <c r="AU70" s="523"/>
      <c r="AV70" s="555"/>
      <c r="AW70" s="12"/>
      <c r="AX70" s="12"/>
      <c r="AY70" s="157"/>
      <c r="AZ70" s="22"/>
      <c r="BA70" s="22"/>
      <c r="BB70" s="45"/>
      <c r="BC70" s="22"/>
      <c r="BD70" s="158"/>
      <c r="BE70" s="558"/>
      <c r="BF70" s="45"/>
      <c r="BG70" s="45"/>
      <c r="BH70" s="149"/>
      <c r="BI70" s="149"/>
      <c r="BJ70" s="149"/>
      <c r="BK70" s="149"/>
      <c r="BL70" s="149"/>
      <c r="BM70" s="158"/>
      <c r="BN70" s="558"/>
      <c r="BO70" s="45"/>
      <c r="BP70" s="45"/>
      <c r="BQ70" s="149"/>
      <c r="BR70" s="149"/>
      <c r="BS70" s="149"/>
      <c r="BT70" s="149"/>
      <c r="BU70" s="149"/>
      <c r="BV70" s="559"/>
      <c r="BW70" s="45"/>
      <c r="BX70" s="45"/>
      <c r="BY70" s="45"/>
      <c r="BZ70" s="69"/>
      <c r="CA70" s="69"/>
      <c r="CB70" s="69"/>
      <c r="CC70" s="69"/>
      <c r="CD70" s="69"/>
      <c r="CE70" s="22"/>
      <c r="CF70" s="22"/>
      <c r="CG70" s="22"/>
    </row>
    <row r="71" spans="1:85" ht="15.75" customHeight="1" x14ac:dyDescent="0.45">
      <c r="A71" s="22"/>
      <c r="B71" s="12"/>
      <c r="C71" s="85"/>
      <c r="D71" s="155"/>
      <c r="E71" s="144"/>
      <c r="F71" s="144"/>
      <c r="G71" s="85"/>
      <c r="H71" s="22"/>
      <c r="I71" s="22"/>
      <c r="J71" s="22"/>
      <c r="K71" s="145"/>
      <c r="L71" s="144"/>
      <c r="M71" s="144"/>
      <c r="N71" s="144"/>
      <c r="O71" s="145"/>
      <c r="P71" s="145"/>
      <c r="Q71" s="145"/>
      <c r="R71" s="145"/>
      <c r="S71" s="144"/>
      <c r="T71" s="145"/>
      <c r="U71" s="145"/>
      <c r="V71" s="145"/>
      <c r="W71" s="145"/>
      <c r="X71" s="53"/>
      <c r="Y71" s="74"/>
      <c r="Z71" s="145"/>
      <c r="AA71" s="145"/>
      <c r="AB71" s="145"/>
      <c r="AC71" s="146"/>
      <c r="AD71" s="145"/>
      <c r="AE71" s="145"/>
      <c r="AF71" s="145"/>
      <c r="AG71" s="145"/>
      <c r="AH71" s="146"/>
      <c r="AI71" s="145"/>
      <c r="AJ71" s="145"/>
      <c r="AK71" s="145"/>
      <c r="AL71" s="145"/>
      <c r="AM71" s="145"/>
      <c r="AN71" s="145"/>
      <c r="AO71" s="145"/>
      <c r="AP71" s="74"/>
      <c r="AQ71" s="74"/>
      <c r="AR71" s="74"/>
      <c r="AS71" s="523"/>
      <c r="AT71" s="523"/>
      <c r="AU71" s="523"/>
      <c r="AV71" s="555"/>
      <c r="AW71" s="12"/>
      <c r="AX71" s="12"/>
      <c r="AY71" s="157"/>
      <c r="AZ71" s="22"/>
      <c r="BA71" s="22"/>
      <c r="BB71" s="45"/>
      <c r="BC71" s="22"/>
      <c r="BD71" s="158"/>
      <c r="BE71" s="558"/>
      <c r="BF71" s="45"/>
      <c r="BG71" s="45"/>
      <c r="BH71" s="149"/>
      <c r="BI71" s="149"/>
      <c r="BJ71" s="149"/>
      <c r="BK71" s="149"/>
      <c r="BL71" s="149"/>
      <c r="BM71" s="158"/>
      <c r="BN71" s="558"/>
      <c r="BO71" s="45"/>
      <c r="BP71" s="45"/>
      <c r="BQ71" s="149"/>
      <c r="BR71" s="149"/>
      <c r="BS71" s="149"/>
      <c r="BT71" s="149"/>
      <c r="BU71" s="149"/>
      <c r="BV71" s="559"/>
      <c r="BW71" s="45"/>
      <c r="BX71" s="45"/>
      <c r="BY71" s="45"/>
      <c r="BZ71" s="69"/>
      <c r="CA71" s="69"/>
      <c r="CB71" s="69"/>
      <c r="CC71" s="69"/>
      <c r="CD71" s="69"/>
      <c r="CE71" s="22"/>
      <c r="CF71" s="22"/>
      <c r="CG71" s="22"/>
    </row>
    <row r="72" spans="1:85" ht="15.75" customHeight="1" x14ac:dyDescent="0.45">
      <c r="A72" s="22"/>
      <c r="B72" s="12"/>
      <c r="C72" s="85"/>
      <c r="D72" s="155"/>
      <c r="E72" s="144"/>
      <c r="F72" s="144"/>
      <c r="G72" s="85"/>
      <c r="H72" s="22"/>
      <c r="I72" s="22"/>
      <c r="J72" s="22"/>
      <c r="K72" s="145"/>
      <c r="L72" s="144"/>
      <c r="M72" s="144"/>
      <c r="N72" s="144"/>
      <c r="O72" s="145"/>
      <c r="P72" s="145"/>
      <c r="Q72" s="145"/>
      <c r="R72" s="145"/>
      <c r="S72" s="144"/>
      <c r="T72" s="145"/>
      <c r="U72" s="145"/>
      <c r="V72" s="145"/>
      <c r="W72" s="145"/>
      <c r="X72" s="53"/>
      <c r="Y72" s="74"/>
      <c r="Z72" s="145"/>
      <c r="AA72" s="145"/>
      <c r="AB72" s="145"/>
      <c r="AC72" s="146"/>
      <c r="AD72" s="145"/>
      <c r="AE72" s="145"/>
      <c r="AF72" s="145"/>
      <c r="AG72" s="145"/>
      <c r="AH72" s="146"/>
      <c r="AI72" s="145"/>
      <c r="AJ72" s="145"/>
      <c r="AK72" s="145"/>
      <c r="AL72" s="145"/>
      <c r="AM72" s="145"/>
      <c r="AN72" s="145"/>
      <c r="AO72" s="145"/>
      <c r="AP72" s="74"/>
      <c r="AQ72" s="74"/>
      <c r="AR72" s="74"/>
      <c r="AS72" s="523"/>
      <c r="AT72" s="523"/>
      <c r="AU72" s="523"/>
      <c r="AV72" s="555"/>
      <c r="AW72" s="12"/>
      <c r="AX72" s="12"/>
      <c r="AY72" s="157"/>
      <c r="AZ72" s="22"/>
      <c r="BA72" s="22"/>
      <c r="BB72" s="45"/>
      <c r="BC72" s="22"/>
      <c r="BD72" s="158"/>
      <c r="BE72" s="558"/>
      <c r="BF72" s="45"/>
      <c r="BG72" s="45"/>
      <c r="BH72" s="532"/>
      <c r="BI72" s="532"/>
      <c r="BJ72" s="532"/>
      <c r="BK72" s="532"/>
      <c r="BL72" s="532"/>
      <c r="BM72" s="158"/>
      <c r="BN72" s="558"/>
      <c r="BO72" s="45"/>
      <c r="BP72" s="45"/>
      <c r="BQ72" s="532"/>
      <c r="BR72" s="532"/>
      <c r="BS72" s="532"/>
      <c r="BT72" s="532"/>
      <c r="BU72" s="532"/>
      <c r="BV72" s="559"/>
      <c r="BW72" s="45"/>
      <c r="BX72" s="45"/>
      <c r="BY72" s="45"/>
      <c r="BZ72" s="69"/>
      <c r="CA72" s="69"/>
      <c r="CB72" s="69"/>
      <c r="CC72" s="69"/>
      <c r="CD72" s="69"/>
      <c r="CE72" s="22"/>
      <c r="CF72" s="22"/>
      <c r="CG72" s="22"/>
    </row>
    <row r="73" spans="1:85" ht="15.75" customHeight="1" x14ac:dyDescent="0.45">
      <c r="A73" s="22"/>
      <c r="B73" s="12"/>
      <c r="C73" s="85"/>
      <c r="D73" s="155"/>
      <c r="E73" s="144"/>
      <c r="F73" s="144"/>
      <c r="G73" s="85"/>
      <c r="H73" s="22"/>
      <c r="I73" s="22"/>
      <c r="J73" s="22"/>
      <c r="K73" s="145"/>
      <c r="L73" s="144"/>
      <c r="M73" s="144"/>
      <c r="N73" s="144"/>
      <c r="O73" s="145"/>
      <c r="P73" s="145"/>
      <c r="Q73" s="145"/>
      <c r="R73" s="145"/>
      <c r="S73" s="144"/>
      <c r="T73" s="145"/>
      <c r="U73" s="145"/>
      <c r="V73" s="145"/>
      <c r="W73" s="145"/>
      <c r="X73" s="53"/>
      <c r="Y73" s="74"/>
      <c r="Z73" s="145"/>
      <c r="AA73" s="145"/>
      <c r="AB73" s="145"/>
      <c r="AC73" s="146"/>
      <c r="AD73" s="145"/>
      <c r="AE73" s="145"/>
      <c r="AF73" s="145"/>
      <c r="AG73" s="145"/>
      <c r="AH73" s="146"/>
      <c r="AI73" s="145"/>
      <c r="AJ73" s="145"/>
      <c r="AK73" s="145"/>
      <c r="AL73" s="145"/>
      <c r="AM73" s="145"/>
      <c r="AN73" s="145"/>
      <c r="AO73" s="145"/>
      <c r="AP73" s="74"/>
      <c r="AQ73" s="74"/>
      <c r="AR73" s="74"/>
      <c r="AS73" s="523"/>
      <c r="AT73" s="523"/>
      <c r="AU73" s="523"/>
      <c r="AV73" s="555"/>
      <c r="AW73" s="12"/>
      <c r="AX73" s="12"/>
      <c r="AY73" s="152"/>
      <c r="AZ73" s="22"/>
      <c r="BA73" s="74"/>
      <c r="BB73" s="45"/>
      <c r="BC73" s="22"/>
      <c r="BD73" s="158"/>
      <c r="BE73" s="558"/>
      <c r="BF73" s="45"/>
      <c r="BG73" s="45"/>
      <c r="BH73" s="532"/>
      <c r="BI73" s="532"/>
      <c r="BJ73" s="532"/>
      <c r="BK73" s="532"/>
      <c r="BL73" s="532"/>
      <c r="BM73" s="158"/>
      <c r="BN73" s="558"/>
      <c r="BO73" s="45"/>
      <c r="BP73" s="45"/>
      <c r="BQ73" s="532"/>
      <c r="BR73" s="532"/>
      <c r="BS73" s="532"/>
      <c r="BT73" s="532"/>
      <c r="BU73" s="532"/>
      <c r="BV73" s="559"/>
      <c r="BW73" s="45"/>
      <c r="BX73" s="45"/>
      <c r="BY73" s="45"/>
      <c r="BZ73" s="69"/>
      <c r="CA73" s="69"/>
      <c r="CB73" s="69"/>
      <c r="CC73" s="69"/>
      <c r="CD73" s="69"/>
      <c r="CE73" s="22"/>
      <c r="CF73" s="22"/>
      <c r="CG73" s="22"/>
    </row>
    <row r="74" spans="1:85" ht="15.75" customHeight="1" x14ac:dyDescent="0.45">
      <c r="A74" s="22"/>
      <c r="B74" s="12"/>
      <c r="C74" s="85"/>
      <c r="D74" s="155"/>
      <c r="E74" s="144"/>
      <c r="F74" s="144"/>
      <c r="G74" s="85"/>
      <c r="H74" s="22"/>
      <c r="I74" s="22"/>
      <c r="J74" s="22"/>
      <c r="K74" s="145"/>
      <c r="L74" s="144"/>
      <c r="M74" s="144"/>
      <c r="N74" s="144"/>
      <c r="O74" s="145"/>
      <c r="P74" s="145"/>
      <c r="Q74" s="145"/>
      <c r="R74" s="145"/>
      <c r="S74" s="144"/>
      <c r="T74" s="145"/>
      <c r="U74" s="145"/>
      <c r="V74" s="145"/>
      <c r="W74" s="145"/>
      <c r="X74" s="53"/>
      <c r="Y74" s="74"/>
      <c r="Z74" s="145"/>
      <c r="AA74" s="145"/>
      <c r="AB74" s="145"/>
      <c r="AC74" s="146"/>
      <c r="AD74" s="145"/>
      <c r="AE74" s="145"/>
      <c r="AF74" s="145"/>
      <c r="AG74" s="145"/>
      <c r="AH74" s="146"/>
      <c r="AI74" s="145"/>
      <c r="AJ74" s="145"/>
      <c r="AK74" s="145"/>
      <c r="AL74" s="145"/>
      <c r="AM74" s="145"/>
      <c r="AN74" s="145"/>
      <c r="AO74" s="145"/>
      <c r="AP74" s="74"/>
      <c r="AQ74" s="74"/>
      <c r="AR74" s="74"/>
      <c r="AS74" s="523"/>
      <c r="AT74" s="523"/>
      <c r="AU74" s="523"/>
      <c r="AV74" s="555"/>
      <c r="AW74" s="12"/>
      <c r="AX74" s="12"/>
      <c r="AY74" s="152"/>
      <c r="AZ74" s="22"/>
      <c r="BA74" s="74"/>
      <c r="BB74" s="45"/>
      <c r="BC74" s="22"/>
      <c r="BD74" s="158"/>
      <c r="BE74" s="558"/>
      <c r="BF74" s="45"/>
      <c r="BG74" s="45"/>
      <c r="BH74" s="532"/>
      <c r="BI74" s="532"/>
      <c r="BJ74" s="532"/>
      <c r="BK74" s="532"/>
      <c r="BL74" s="532"/>
      <c r="BM74" s="158"/>
      <c r="BN74" s="558"/>
      <c r="BO74" s="45"/>
      <c r="BP74" s="45"/>
      <c r="BQ74" s="532"/>
      <c r="BR74" s="532"/>
      <c r="BS74" s="532"/>
      <c r="BT74" s="532"/>
      <c r="BU74" s="532"/>
      <c r="BV74" s="559"/>
      <c r="BW74" s="45"/>
      <c r="BX74" s="45"/>
      <c r="BY74" s="45"/>
      <c r="BZ74" s="69"/>
      <c r="CA74" s="69"/>
      <c r="CB74" s="69"/>
      <c r="CC74" s="69"/>
      <c r="CD74" s="69"/>
      <c r="CE74" s="22"/>
      <c r="CF74" s="22"/>
      <c r="CG74" s="22"/>
    </row>
    <row r="75" spans="1:85" ht="15.75" customHeight="1" x14ac:dyDescent="0.45">
      <c r="A75" s="22"/>
      <c r="B75" s="12"/>
      <c r="C75" s="12"/>
      <c r="D75" s="155"/>
      <c r="E75" s="144"/>
      <c r="F75" s="144"/>
      <c r="G75" s="12"/>
      <c r="H75" s="22"/>
      <c r="I75" s="22"/>
      <c r="J75" s="22"/>
      <c r="K75" s="145"/>
      <c r="L75" s="144"/>
      <c r="M75" s="144"/>
      <c r="N75" s="144"/>
      <c r="O75" s="145"/>
      <c r="P75" s="145"/>
      <c r="Q75" s="145"/>
      <c r="R75" s="145"/>
      <c r="S75" s="144"/>
      <c r="T75" s="145"/>
      <c r="U75" s="145"/>
      <c r="V75" s="145"/>
      <c r="W75" s="145"/>
      <c r="X75" s="53"/>
      <c r="Y75" s="74"/>
      <c r="Z75" s="145"/>
      <c r="AA75" s="145"/>
      <c r="AB75" s="145"/>
      <c r="AC75" s="146"/>
      <c r="AD75" s="145"/>
      <c r="AE75" s="145"/>
      <c r="AF75" s="145"/>
      <c r="AG75" s="145"/>
      <c r="AH75" s="146"/>
      <c r="AI75" s="145"/>
      <c r="AJ75" s="145"/>
      <c r="AK75" s="145"/>
      <c r="AL75" s="145"/>
      <c r="AM75" s="145"/>
      <c r="AN75" s="145"/>
      <c r="AO75" s="145"/>
      <c r="AP75" s="74"/>
      <c r="AQ75" s="74"/>
      <c r="AR75" s="74"/>
      <c r="AS75" s="523"/>
      <c r="AT75" s="523"/>
      <c r="AU75" s="523"/>
      <c r="AV75" s="555"/>
      <c r="AW75" s="12"/>
      <c r="AX75" s="12"/>
      <c r="AY75" s="152"/>
      <c r="AZ75" s="22"/>
      <c r="BA75" s="74"/>
      <c r="BB75" s="45"/>
      <c r="BC75" s="22"/>
      <c r="BD75" s="158"/>
      <c r="BE75" s="558"/>
      <c r="BF75" s="45"/>
      <c r="BG75" s="45"/>
      <c r="BH75" s="45"/>
      <c r="BI75" s="45"/>
      <c r="BJ75" s="45"/>
      <c r="BK75" s="45"/>
      <c r="BL75" s="45"/>
      <c r="BM75" s="158"/>
      <c r="BN75" s="558"/>
      <c r="BO75" s="45"/>
      <c r="BP75" s="45"/>
      <c r="BQ75" s="149"/>
      <c r="BR75" s="149"/>
      <c r="BS75" s="149"/>
      <c r="BT75" s="149"/>
      <c r="BU75" s="149"/>
      <c r="BV75" s="559"/>
      <c r="BW75" s="45"/>
      <c r="BX75" s="45"/>
      <c r="BY75" s="45"/>
      <c r="BZ75" s="69"/>
      <c r="CA75" s="69"/>
      <c r="CB75" s="69"/>
      <c r="CC75" s="69"/>
      <c r="CD75" s="69"/>
      <c r="CE75" s="22"/>
      <c r="CF75" s="22"/>
      <c r="CG75" s="22"/>
    </row>
    <row r="76" spans="1:85" ht="15.75" customHeight="1" x14ac:dyDescent="0.45">
      <c r="A76" s="22"/>
      <c r="B76" s="12"/>
      <c r="C76" s="12"/>
      <c r="D76" s="155"/>
      <c r="E76" s="144"/>
      <c r="F76" s="144"/>
      <c r="G76" s="12"/>
      <c r="H76" s="22"/>
      <c r="I76" s="22"/>
      <c r="J76" s="22"/>
      <c r="K76" s="145"/>
      <c r="L76" s="144"/>
      <c r="M76" s="144"/>
      <c r="N76" s="144"/>
      <c r="O76" s="145"/>
      <c r="P76" s="145"/>
      <c r="Q76" s="145"/>
      <c r="R76" s="145"/>
      <c r="S76" s="144"/>
      <c r="T76" s="145"/>
      <c r="U76" s="145"/>
      <c r="V76" s="145"/>
      <c r="W76" s="145"/>
      <c r="X76" s="53"/>
      <c r="Y76" s="74"/>
      <c r="Z76" s="145"/>
      <c r="AA76" s="145"/>
      <c r="AB76" s="145"/>
      <c r="AC76" s="146"/>
      <c r="AD76" s="145"/>
      <c r="AE76" s="145"/>
      <c r="AF76" s="145"/>
      <c r="AG76" s="145"/>
      <c r="AH76" s="146"/>
      <c r="AI76" s="145"/>
      <c r="AJ76" s="145"/>
      <c r="AK76" s="145"/>
      <c r="AL76" s="145"/>
      <c r="AM76" s="145"/>
      <c r="AN76" s="145"/>
      <c r="AO76" s="145"/>
      <c r="AP76" s="74"/>
      <c r="AQ76" s="74"/>
      <c r="AR76" s="74"/>
      <c r="AS76" s="523"/>
      <c r="AT76" s="523"/>
      <c r="AU76" s="523"/>
      <c r="AV76" s="555"/>
      <c r="AW76" s="12"/>
      <c r="AX76" s="12"/>
      <c r="AY76" s="152"/>
      <c r="AZ76" s="22"/>
      <c r="BA76" s="74"/>
      <c r="BB76" s="45"/>
      <c r="BC76" s="22"/>
      <c r="BD76" s="158"/>
      <c r="BE76" s="558"/>
      <c r="BF76" s="45"/>
      <c r="BG76" s="45"/>
      <c r="BH76" s="45"/>
      <c r="BI76" s="45"/>
      <c r="BJ76" s="45"/>
      <c r="BK76" s="45"/>
      <c r="BL76" s="45"/>
      <c r="BM76" s="158"/>
      <c r="BN76" s="558"/>
      <c r="BO76" s="45"/>
      <c r="BP76" s="45"/>
      <c r="BQ76" s="149"/>
      <c r="BR76" s="149"/>
      <c r="BS76" s="149"/>
      <c r="BT76" s="149"/>
      <c r="BU76" s="149"/>
      <c r="BV76" s="559"/>
      <c r="BW76" s="45"/>
      <c r="BX76" s="45"/>
      <c r="BY76" s="45"/>
      <c r="BZ76" s="69"/>
      <c r="CA76" s="69"/>
      <c r="CB76" s="69"/>
      <c r="CC76" s="69"/>
      <c r="CD76" s="69"/>
      <c r="CE76" s="22"/>
      <c r="CF76" s="22"/>
      <c r="CG76" s="22"/>
    </row>
    <row r="77" spans="1:85" ht="15.75" customHeight="1" x14ac:dyDescent="0.45">
      <c r="A77" s="22"/>
      <c r="B77" s="12"/>
      <c r="C77" s="12"/>
      <c r="D77" s="155"/>
      <c r="E77" s="144"/>
      <c r="F77" s="144"/>
      <c r="G77" s="12"/>
      <c r="H77" s="22"/>
      <c r="I77" s="22"/>
      <c r="J77" s="22"/>
      <c r="K77" s="145"/>
      <c r="L77" s="144"/>
      <c r="M77" s="144"/>
      <c r="N77" s="144"/>
      <c r="O77" s="145"/>
      <c r="P77" s="145"/>
      <c r="Q77" s="145"/>
      <c r="R77" s="145"/>
      <c r="S77" s="144"/>
      <c r="T77" s="145"/>
      <c r="U77" s="145"/>
      <c r="V77" s="145"/>
      <c r="W77" s="145"/>
      <c r="X77" s="53"/>
      <c r="Y77" s="74"/>
      <c r="Z77" s="145"/>
      <c r="AA77" s="145"/>
      <c r="AB77" s="145"/>
      <c r="AC77" s="146"/>
      <c r="AD77" s="145"/>
      <c r="AE77" s="145"/>
      <c r="AF77" s="145"/>
      <c r="AG77" s="145"/>
      <c r="AH77" s="146"/>
      <c r="AI77" s="145"/>
      <c r="AJ77" s="145"/>
      <c r="AK77" s="145"/>
      <c r="AL77" s="145"/>
      <c r="AM77" s="145"/>
      <c r="AN77" s="145"/>
      <c r="AO77" s="145"/>
      <c r="AP77" s="74"/>
      <c r="AQ77" s="74"/>
      <c r="AR77" s="74"/>
      <c r="AS77" s="523"/>
      <c r="AT77" s="523"/>
      <c r="AU77" s="523"/>
      <c r="AV77" s="555"/>
      <c r="AW77" s="12"/>
      <c r="AX77" s="12"/>
      <c r="AY77" s="152"/>
      <c r="AZ77" s="22"/>
      <c r="BA77" s="74"/>
      <c r="BB77" s="45"/>
      <c r="BC77" s="22"/>
      <c r="BD77" s="158"/>
      <c r="BE77" s="558"/>
      <c r="BF77" s="45"/>
      <c r="BG77" s="45"/>
      <c r="BH77" s="45"/>
      <c r="BI77" s="45"/>
      <c r="BJ77" s="45"/>
      <c r="BK77" s="45"/>
      <c r="BL77" s="45"/>
      <c r="BM77" s="158"/>
      <c r="BN77" s="558"/>
      <c r="BO77" s="45"/>
      <c r="BP77" s="45"/>
      <c r="BQ77" s="149"/>
      <c r="BR77" s="149"/>
      <c r="BS77" s="149"/>
      <c r="BT77" s="149"/>
      <c r="BU77" s="149"/>
      <c r="BV77" s="559"/>
      <c r="BW77" s="45"/>
      <c r="BX77" s="45"/>
      <c r="BY77" s="45"/>
      <c r="BZ77" s="69"/>
      <c r="CA77" s="69"/>
      <c r="CB77" s="69"/>
      <c r="CC77" s="69"/>
      <c r="CD77" s="69"/>
      <c r="CE77" s="22"/>
      <c r="CF77" s="22"/>
      <c r="CG77" s="22"/>
    </row>
    <row r="78" spans="1:85" ht="15.75" customHeight="1" x14ac:dyDescent="0.45">
      <c r="A78" s="22"/>
      <c r="B78" s="12"/>
      <c r="C78" s="12"/>
      <c r="D78" s="155"/>
      <c r="E78" s="144"/>
      <c r="F78" s="144"/>
      <c r="G78" s="12"/>
      <c r="H78" s="22"/>
      <c r="I78" s="22"/>
      <c r="J78" s="22"/>
      <c r="K78" s="145"/>
      <c r="L78" s="144"/>
      <c r="M78" s="144"/>
      <c r="N78" s="144"/>
      <c r="O78" s="145"/>
      <c r="P78" s="145"/>
      <c r="Q78" s="145"/>
      <c r="R78" s="145"/>
      <c r="S78" s="144"/>
      <c r="T78" s="145"/>
      <c r="U78" s="145"/>
      <c r="V78" s="145"/>
      <c r="W78" s="145"/>
      <c r="X78" s="53"/>
      <c r="Y78" s="74"/>
      <c r="Z78" s="145"/>
      <c r="AA78" s="145"/>
      <c r="AB78" s="145"/>
      <c r="AC78" s="146"/>
      <c r="AD78" s="145"/>
      <c r="AE78" s="145"/>
      <c r="AF78" s="145"/>
      <c r="AG78" s="145"/>
      <c r="AH78" s="146"/>
      <c r="AI78" s="145"/>
      <c r="AJ78" s="145"/>
      <c r="AK78" s="145"/>
      <c r="AL78" s="145"/>
      <c r="AM78" s="145"/>
      <c r="AN78" s="145"/>
      <c r="AO78" s="145"/>
      <c r="AP78" s="74"/>
      <c r="AQ78" s="74"/>
      <c r="AR78" s="74"/>
      <c r="AS78" s="523"/>
      <c r="AT78" s="523"/>
      <c r="AU78" s="523"/>
      <c r="AV78" s="555"/>
      <c r="AW78" s="12"/>
      <c r="AX78" s="12"/>
      <c r="AY78" s="152"/>
      <c r="AZ78" s="22"/>
      <c r="BA78" s="74"/>
      <c r="BB78" s="45"/>
      <c r="BC78" s="22"/>
      <c r="BD78" s="158"/>
      <c r="BE78" s="558"/>
      <c r="BF78" s="45"/>
      <c r="BG78" s="45"/>
      <c r="BH78" s="45"/>
      <c r="BI78" s="45"/>
      <c r="BJ78" s="45"/>
      <c r="BK78" s="45"/>
      <c r="BL78" s="45"/>
      <c r="BM78" s="158"/>
      <c r="BN78" s="558"/>
      <c r="BO78" s="45"/>
      <c r="BP78" s="45"/>
      <c r="BQ78" s="149"/>
      <c r="BR78" s="149"/>
      <c r="BS78" s="149"/>
      <c r="BT78" s="149"/>
      <c r="BU78" s="149"/>
      <c r="BV78" s="559"/>
      <c r="BW78" s="45"/>
      <c r="BX78" s="45"/>
      <c r="BY78" s="45"/>
      <c r="BZ78" s="69"/>
      <c r="CA78" s="69"/>
      <c r="CB78" s="69"/>
      <c r="CC78" s="69"/>
      <c r="CD78" s="69"/>
      <c r="CE78" s="22"/>
      <c r="CF78" s="22"/>
      <c r="CG78" s="22"/>
    </row>
    <row r="79" spans="1:85" ht="15.75" customHeight="1" x14ac:dyDescent="0.45">
      <c r="A79" s="22"/>
      <c r="B79" s="12"/>
      <c r="C79" s="162"/>
      <c r="D79" s="155"/>
      <c r="E79" s="144"/>
      <c r="F79" s="144"/>
      <c r="G79" s="162"/>
      <c r="H79" s="22"/>
      <c r="I79" s="22"/>
      <c r="J79" s="22"/>
      <c r="K79" s="145"/>
      <c r="L79" s="144"/>
      <c r="M79" s="144"/>
      <c r="N79" s="144"/>
      <c r="O79" s="145"/>
      <c r="P79" s="145"/>
      <c r="Q79" s="145"/>
      <c r="R79" s="145"/>
      <c r="S79" s="144"/>
      <c r="T79" s="145"/>
      <c r="U79" s="145"/>
      <c r="V79" s="145"/>
      <c r="W79" s="145"/>
      <c r="X79" s="53"/>
      <c r="Y79" s="74"/>
      <c r="Z79" s="145"/>
      <c r="AA79" s="145"/>
      <c r="AB79" s="145"/>
      <c r="AC79" s="146"/>
      <c r="AD79" s="145"/>
      <c r="AE79" s="145"/>
      <c r="AF79" s="145"/>
      <c r="AG79" s="145"/>
      <c r="AH79" s="146"/>
      <c r="AI79" s="145"/>
      <c r="AJ79" s="145"/>
      <c r="AK79" s="145"/>
      <c r="AL79" s="145"/>
      <c r="AM79" s="145"/>
      <c r="AN79" s="145"/>
      <c r="AO79" s="145"/>
      <c r="AP79" s="74"/>
      <c r="AQ79" s="74"/>
      <c r="AR79" s="74"/>
      <c r="AS79" s="523"/>
      <c r="AT79" s="523"/>
      <c r="AU79" s="523"/>
      <c r="AV79" s="555"/>
      <c r="AW79" s="12"/>
      <c r="AX79" s="12"/>
      <c r="AY79" s="152"/>
      <c r="AZ79" s="22"/>
      <c r="BA79" s="74"/>
      <c r="BB79" s="45"/>
      <c r="BC79" s="22"/>
      <c r="BD79" s="158"/>
      <c r="BE79" s="558"/>
      <c r="BF79" s="45"/>
      <c r="BG79" s="45"/>
      <c r="BH79" s="45"/>
      <c r="BI79" s="45"/>
      <c r="BJ79" s="45"/>
      <c r="BK79" s="45"/>
      <c r="BL79" s="45"/>
      <c r="BM79" s="158"/>
      <c r="BN79" s="558"/>
      <c r="BO79" s="45"/>
      <c r="BP79" s="45"/>
      <c r="BQ79" s="149"/>
      <c r="BR79" s="149"/>
      <c r="BS79" s="149"/>
      <c r="BT79" s="149"/>
      <c r="BU79" s="149"/>
      <c r="BV79" s="559"/>
      <c r="BW79" s="45"/>
      <c r="BX79" s="45"/>
      <c r="BY79" s="45"/>
      <c r="BZ79" s="69"/>
      <c r="CA79" s="69"/>
      <c r="CB79" s="69"/>
      <c r="CC79" s="69"/>
      <c r="CD79" s="69"/>
      <c r="CE79" s="22"/>
      <c r="CF79" s="22"/>
      <c r="CG79" s="22"/>
    </row>
    <row r="80" spans="1:85" ht="15.75" customHeight="1" x14ac:dyDescent="0.45">
      <c r="A80" s="22"/>
      <c r="B80" s="12"/>
      <c r="C80" s="12"/>
      <c r="D80" s="155"/>
      <c r="E80" s="144"/>
      <c r="F80" s="144"/>
      <c r="G80" s="12"/>
      <c r="H80" s="22"/>
      <c r="I80" s="22"/>
      <c r="J80" s="22"/>
      <c r="K80" s="145"/>
      <c r="L80" s="144"/>
      <c r="M80" s="144"/>
      <c r="N80" s="144"/>
      <c r="O80" s="145"/>
      <c r="P80" s="145"/>
      <c r="Q80" s="145"/>
      <c r="R80" s="145"/>
      <c r="S80" s="144"/>
      <c r="T80" s="145"/>
      <c r="U80" s="145"/>
      <c r="V80" s="145"/>
      <c r="W80" s="145"/>
      <c r="X80" s="53"/>
      <c r="Y80" s="74"/>
      <c r="Z80" s="145"/>
      <c r="AA80" s="145"/>
      <c r="AB80" s="145"/>
      <c r="AC80" s="146"/>
      <c r="AD80" s="145"/>
      <c r="AE80" s="145"/>
      <c r="AF80" s="145"/>
      <c r="AG80" s="145"/>
      <c r="AH80" s="146"/>
      <c r="AI80" s="145"/>
      <c r="AJ80" s="145"/>
      <c r="AK80" s="145"/>
      <c r="AL80" s="145"/>
      <c r="AM80" s="145"/>
      <c r="AN80" s="145"/>
      <c r="AO80" s="145"/>
      <c r="AP80" s="74"/>
      <c r="AQ80" s="74"/>
      <c r="AR80" s="74"/>
      <c r="AS80" s="523"/>
      <c r="AT80" s="523"/>
      <c r="AU80" s="523"/>
      <c r="AV80" s="555"/>
      <c r="AW80" s="12"/>
      <c r="AX80" s="12"/>
      <c r="AY80" s="152"/>
      <c r="AZ80" s="22"/>
      <c r="BA80" s="74"/>
      <c r="BB80" s="45"/>
      <c r="BC80" s="22"/>
      <c r="BD80" s="158"/>
      <c r="BE80" s="558"/>
      <c r="BF80" s="45"/>
      <c r="BG80" s="45"/>
      <c r="BH80" s="45"/>
      <c r="BI80" s="45"/>
      <c r="BJ80" s="45"/>
      <c r="BK80" s="45"/>
      <c r="BL80" s="45"/>
      <c r="BM80" s="158"/>
      <c r="BN80" s="558"/>
      <c r="BO80" s="45"/>
      <c r="BP80" s="45"/>
      <c r="BQ80" s="149"/>
      <c r="BR80" s="149"/>
      <c r="BS80" s="149"/>
      <c r="BT80" s="149"/>
      <c r="BU80" s="149"/>
      <c r="BV80" s="559"/>
      <c r="BW80" s="45"/>
      <c r="BX80" s="45"/>
      <c r="BY80" s="45"/>
      <c r="BZ80" s="69"/>
      <c r="CA80" s="69"/>
      <c r="CB80" s="69"/>
      <c r="CC80" s="69"/>
      <c r="CD80" s="69"/>
      <c r="CE80" s="22"/>
      <c r="CF80" s="22"/>
      <c r="CG80" s="22"/>
    </row>
    <row r="81" spans="1:85" ht="15.75" customHeight="1" x14ac:dyDescent="0.45">
      <c r="A81" s="22"/>
      <c r="B81" s="12"/>
      <c r="C81" s="12"/>
      <c r="D81" s="155"/>
      <c r="E81" s="144"/>
      <c r="F81" s="144"/>
      <c r="G81" s="12"/>
      <c r="H81" s="22"/>
      <c r="I81" s="22"/>
      <c r="J81" s="22"/>
      <c r="K81" s="145"/>
      <c r="L81" s="144"/>
      <c r="M81" s="144"/>
      <c r="N81" s="144"/>
      <c r="O81" s="145"/>
      <c r="P81" s="145"/>
      <c r="Q81" s="145"/>
      <c r="R81" s="145"/>
      <c r="S81" s="144"/>
      <c r="T81" s="145"/>
      <c r="U81" s="145"/>
      <c r="V81" s="145"/>
      <c r="W81" s="145"/>
      <c r="X81" s="53"/>
      <c r="Y81" s="74"/>
      <c r="Z81" s="145"/>
      <c r="AA81" s="145"/>
      <c r="AB81" s="145"/>
      <c r="AC81" s="146"/>
      <c r="AD81" s="145"/>
      <c r="AE81" s="145"/>
      <c r="AF81" s="145"/>
      <c r="AG81" s="145"/>
      <c r="AH81" s="146"/>
      <c r="AI81" s="145"/>
      <c r="AJ81" s="145"/>
      <c r="AK81" s="145"/>
      <c r="AL81" s="145"/>
      <c r="AM81" s="145"/>
      <c r="AN81" s="145"/>
      <c r="AO81" s="145"/>
      <c r="AP81" s="74"/>
      <c r="AQ81" s="74"/>
      <c r="AR81" s="74"/>
      <c r="AS81" s="523"/>
      <c r="AT81" s="523"/>
      <c r="AU81" s="523"/>
      <c r="AV81" s="555"/>
      <c r="AW81" s="12"/>
      <c r="AX81" s="12"/>
      <c r="AY81" s="152"/>
      <c r="AZ81" s="22"/>
      <c r="BA81" s="74"/>
      <c r="BB81" s="45"/>
      <c r="BC81" s="22"/>
      <c r="BD81" s="158"/>
      <c r="BE81" s="558"/>
      <c r="BF81" s="45"/>
      <c r="BG81" s="45"/>
      <c r="BH81" s="45"/>
      <c r="BI81" s="45"/>
      <c r="BJ81" s="45"/>
      <c r="BK81" s="45"/>
      <c r="BL81" s="45"/>
      <c r="BM81" s="158"/>
      <c r="BN81" s="558"/>
      <c r="BO81" s="45"/>
      <c r="BP81" s="45"/>
      <c r="BQ81" s="149"/>
      <c r="BR81" s="149"/>
      <c r="BS81" s="149"/>
      <c r="BT81" s="149"/>
      <c r="BU81" s="149"/>
      <c r="BV81" s="559"/>
      <c r="BW81" s="45"/>
      <c r="BX81" s="45"/>
      <c r="BY81" s="45"/>
      <c r="BZ81" s="69"/>
      <c r="CA81" s="69"/>
      <c r="CB81" s="69"/>
      <c r="CC81" s="69"/>
      <c r="CD81" s="69"/>
      <c r="CE81" s="22"/>
      <c r="CF81" s="22"/>
      <c r="CG81" s="22"/>
    </row>
    <row r="82" spans="1:85" ht="15.75" customHeight="1" x14ac:dyDescent="0.45">
      <c r="A82" s="22"/>
      <c r="B82" s="12"/>
      <c r="C82" s="12"/>
      <c r="D82" s="155"/>
      <c r="E82" s="144"/>
      <c r="F82" s="144"/>
      <c r="G82" s="12"/>
      <c r="H82" s="22"/>
      <c r="I82" s="22"/>
      <c r="J82" s="22"/>
      <c r="K82" s="145"/>
      <c r="L82" s="144"/>
      <c r="M82" s="144"/>
      <c r="N82" s="144"/>
      <c r="O82" s="145"/>
      <c r="P82" s="145"/>
      <c r="Q82" s="145"/>
      <c r="R82" s="145"/>
      <c r="S82" s="144"/>
      <c r="T82" s="145"/>
      <c r="U82" s="145"/>
      <c r="V82" s="145"/>
      <c r="W82" s="145"/>
      <c r="X82" s="53"/>
      <c r="Y82" s="74"/>
      <c r="Z82" s="145"/>
      <c r="AA82" s="145"/>
      <c r="AB82" s="145"/>
      <c r="AC82" s="146"/>
      <c r="AD82" s="145"/>
      <c r="AE82" s="145"/>
      <c r="AF82" s="145"/>
      <c r="AG82" s="145"/>
      <c r="AH82" s="146"/>
      <c r="AI82" s="145"/>
      <c r="AJ82" s="145"/>
      <c r="AK82" s="145"/>
      <c r="AL82" s="145"/>
      <c r="AM82" s="145"/>
      <c r="AN82" s="145"/>
      <c r="AO82" s="145"/>
      <c r="AP82" s="74"/>
      <c r="AQ82" s="74"/>
      <c r="AR82" s="74"/>
      <c r="AS82" s="523"/>
      <c r="AT82" s="523"/>
      <c r="AU82" s="523"/>
      <c r="AV82" s="555"/>
      <c r="AW82" s="12"/>
      <c r="AX82" s="12"/>
      <c r="AY82" s="152"/>
      <c r="AZ82" s="22"/>
      <c r="BA82" s="74"/>
      <c r="BB82" s="45"/>
      <c r="BC82" s="22"/>
      <c r="BD82" s="158"/>
      <c r="BE82" s="558"/>
      <c r="BF82" s="45"/>
      <c r="BG82" s="45"/>
      <c r="BH82" s="45"/>
      <c r="BI82" s="45"/>
      <c r="BJ82" s="45"/>
      <c r="BK82" s="45"/>
      <c r="BL82" s="45"/>
      <c r="BM82" s="158"/>
      <c r="BN82" s="558"/>
      <c r="BO82" s="45"/>
      <c r="BP82" s="45"/>
      <c r="BQ82" s="532"/>
      <c r="BR82" s="532"/>
      <c r="BS82" s="532"/>
      <c r="BT82" s="532"/>
      <c r="BU82" s="532"/>
      <c r="BV82" s="559"/>
      <c r="BW82" s="45"/>
      <c r="BX82" s="45"/>
      <c r="BY82" s="45"/>
      <c r="BZ82" s="69"/>
      <c r="CA82" s="69"/>
      <c r="CB82" s="69"/>
      <c r="CC82" s="69"/>
      <c r="CD82" s="69"/>
      <c r="CE82" s="22"/>
      <c r="CF82" s="22"/>
      <c r="CG82" s="22"/>
    </row>
    <row r="83" spans="1:85" ht="15.75" customHeight="1" x14ac:dyDescent="0.45">
      <c r="A83" s="22"/>
      <c r="B83" s="12"/>
      <c r="C83" s="12"/>
      <c r="D83" s="155"/>
      <c r="E83" s="144"/>
      <c r="F83" s="144"/>
      <c r="G83" s="12"/>
      <c r="H83" s="22"/>
      <c r="I83" s="22"/>
      <c r="J83" s="22"/>
      <c r="K83" s="145"/>
      <c r="L83" s="144"/>
      <c r="M83" s="144"/>
      <c r="N83" s="144"/>
      <c r="O83" s="145"/>
      <c r="P83" s="145"/>
      <c r="Q83" s="145"/>
      <c r="R83" s="145"/>
      <c r="S83" s="144"/>
      <c r="T83" s="145"/>
      <c r="U83" s="145"/>
      <c r="V83" s="145"/>
      <c r="W83" s="145"/>
      <c r="X83" s="53"/>
      <c r="Y83" s="74"/>
      <c r="Z83" s="145"/>
      <c r="AA83" s="145"/>
      <c r="AB83" s="145"/>
      <c r="AC83" s="146"/>
      <c r="AD83" s="145"/>
      <c r="AE83" s="145"/>
      <c r="AF83" s="145"/>
      <c r="AG83" s="145"/>
      <c r="AH83" s="146"/>
      <c r="AI83" s="145"/>
      <c r="AJ83" s="145"/>
      <c r="AK83" s="145"/>
      <c r="AL83" s="145"/>
      <c r="AM83" s="145"/>
      <c r="AN83" s="145"/>
      <c r="AO83" s="145"/>
      <c r="AP83" s="74"/>
      <c r="AQ83" s="74"/>
      <c r="AR83" s="74"/>
      <c r="AS83" s="523"/>
      <c r="AT83" s="523"/>
      <c r="AU83" s="523"/>
      <c r="AV83" s="555"/>
      <c r="AW83" s="12"/>
      <c r="AX83" s="12"/>
      <c r="AY83" s="152"/>
      <c r="AZ83" s="22"/>
      <c r="BA83" s="74"/>
      <c r="BB83" s="45"/>
      <c r="BC83" s="22"/>
      <c r="BD83" s="158"/>
      <c r="BE83" s="558"/>
      <c r="BF83" s="45"/>
      <c r="BG83" s="45"/>
      <c r="BH83" s="45"/>
      <c r="BI83" s="45"/>
      <c r="BJ83" s="45"/>
      <c r="BK83" s="45"/>
      <c r="BL83" s="45"/>
      <c r="BM83" s="158"/>
      <c r="BN83" s="558"/>
      <c r="BO83" s="45"/>
      <c r="BP83" s="45"/>
      <c r="BQ83" s="532"/>
      <c r="BR83" s="532"/>
      <c r="BS83" s="532"/>
      <c r="BT83" s="532"/>
      <c r="BU83" s="532"/>
      <c r="BV83" s="559"/>
      <c r="BW83" s="45"/>
      <c r="BX83" s="45"/>
      <c r="BY83" s="45"/>
      <c r="BZ83" s="69"/>
      <c r="CA83" s="69"/>
      <c r="CB83" s="69"/>
      <c r="CC83" s="69"/>
      <c r="CD83" s="69"/>
      <c r="CE83" s="22"/>
      <c r="CF83" s="22"/>
      <c r="CG83" s="22"/>
    </row>
    <row r="84" spans="1:85" ht="15.75" customHeight="1" x14ac:dyDescent="0.45">
      <c r="A84" s="22"/>
      <c r="B84" s="12"/>
      <c r="C84" s="12"/>
      <c r="D84" s="155"/>
      <c r="E84" s="144"/>
      <c r="F84" s="144"/>
      <c r="G84" s="12"/>
      <c r="H84" s="22"/>
      <c r="I84" s="22"/>
      <c r="J84" s="22"/>
      <c r="K84" s="145"/>
      <c r="L84" s="144"/>
      <c r="M84" s="144"/>
      <c r="N84" s="144"/>
      <c r="O84" s="145"/>
      <c r="P84" s="145"/>
      <c r="Q84" s="145"/>
      <c r="R84" s="145"/>
      <c r="S84" s="144"/>
      <c r="T84" s="145"/>
      <c r="U84" s="145"/>
      <c r="V84" s="145"/>
      <c r="W84" s="145"/>
      <c r="X84" s="53"/>
      <c r="Y84" s="74"/>
      <c r="Z84" s="145"/>
      <c r="AA84" s="145"/>
      <c r="AB84" s="145"/>
      <c r="AC84" s="146"/>
      <c r="AD84" s="145"/>
      <c r="AE84" s="145"/>
      <c r="AF84" s="145"/>
      <c r="AG84" s="145"/>
      <c r="AH84" s="146"/>
      <c r="AI84" s="145"/>
      <c r="AJ84" s="145"/>
      <c r="AK84" s="145"/>
      <c r="AL84" s="145"/>
      <c r="AM84" s="145"/>
      <c r="AN84" s="145"/>
      <c r="AO84" s="145"/>
      <c r="AP84" s="74"/>
      <c r="AQ84" s="74"/>
      <c r="AR84" s="74"/>
      <c r="AS84" s="523"/>
      <c r="AT84" s="523"/>
      <c r="AU84" s="523"/>
      <c r="AV84" s="555"/>
      <c r="AW84" s="12"/>
      <c r="AX84" s="12"/>
      <c r="AY84" s="152"/>
      <c r="AZ84" s="22"/>
      <c r="BA84" s="74"/>
      <c r="BB84" s="45"/>
      <c r="BC84" s="22"/>
      <c r="BD84" s="158"/>
      <c r="BE84" s="558"/>
      <c r="BF84" s="45"/>
      <c r="BG84" s="45"/>
      <c r="BH84" s="45"/>
      <c r="BI84" s="45"/>
      <c r="BJ84" s="45"/>
      <c r="BK84" s="45"/>
      <c r="BL84" s="45"/>
      <c r="BM84" s="158"/>
      <c r="BN84" s="558"/>
      <c r="BO84" s="45"/>
      <c r="BP84" s="45"/>
      <c r="BQ84" s="532"/>
      <c r="BR84" s="532"/>
      <c r="BS84" s="149"/>
      <c r="BT84" s="149"/>
      <c r="BU84" s="149"/>
      <c r="BV84" s="559"/>
      <c r="BW84" s="45"/>
      <c r="BX84" s="45"/>
      <c r="BY84" s="45"/>
      <c r="BZ84" s="69"/>
      <c r="CA84" s="69"/>
      <c r="CB84" s="69"/>
      <c r="CC84" s="69"/>
      <c r="CD84" s="69"/>
      <c r="CE84" s="22"/>
      <c r="CF84" s="22"/>
      <c r="CG84" s="22"/>
    </row>
    <row r="85" spans="1:85" ht="15.75" customHeight="1" x14ac:dyDescent="0.45">
      <c r="A85" s="22"/>
      <c r="B85" s="12"/>
      <c r="C85" s="12"/>
      <c r="D85" s="155"/>
      <c r="E85" s="144"/>
      <c r="F85" s="144"/>
      <c r="G85" s="12"/>
      <c r="H85" s="22"/>
      <c r="I85" s="22"/>
      <c r="J85" s="22"/>
      <c r="K85" s="145"/>
      <c r="L85" s="144"/>
      <c r="M85" s="144"/>
      <c r="N85" s="144"/>
      <c r="O85" s="145"/>
      <c r="P85" s="145"/>
      <c r="Q85" s="145"/>
      <c r="R85" s="145"/>
      <c r="S85" s="144"/>
      <c r="T85" s="145"/>
      <c r="U85" s="145"/>
      <c r="V85" s="145"/>
      <c r="W85" s="145"/>
      <c r="X85" s="53"/>
      <c r="Y85" s="74"/>
      <c r="Z85" s="145"/>
      <c r="AA85" s="145"/>
      <c r="AB85" s="145"/>
      <c r="AC85" s="146"/>
      <c r="AD85" s="145"/>
      <c r="AE85" s="145"/>
      <c r="AF85" s="145"/>
      <c r="AG85" s="145"/>
      <c r="AH85" s="146"/>
      <c r="AI85" s="145"/>
      <c r="AJ85" s="145"/>
      <c r="AK85" s="145"/>
      <c r="AL85" s="145"/>
      <c r="AM85" s="145"/>
      <c r="AN85" s="145"/>
      <c r="AO85" s="145"/>
      <c r="AP85" s="74"/>
      <c r="AQ85" s="74"/>
      <c r="AR85" s="74"/>
      <c r="AS85" s="523"/>
      <c r="AT85" s="523"/>
      <c r="AU85" s="523"/>
      <c r="AV85" s="555"/>
      <c r="AW85" s="12"/>
      <c r="AX85" s="12"/>
      <c r="AY85" s="152"/>
      <c r="AZ85" s="22"/>
      <c r="BA85" s="74"/>
      <c r="BB85" s="45"/>
      <c r="BC85" s="22"/>
      <c r="BD85" s="158"/>
      <c r="BE85" s="558"/>
      <c r="BF85" s="45"/>
      <c r="BG85" s="45"/>
      <c r="BH85" s="45"/>
      <c r="BI85" s="45"/>
      <c r="BJ85" s="45"/>
      <c r="BK85" s="45"/>
      <c r="BL85" s="45"/>
      <c r="BM85" s="158"/>
      <c r="BN85" s="558"/>
      <c r="BO85" s="45"/>
      <c r="BP85" s="45"/>
      <c r="BQ85" s="149"/>
      <c r="BR85" s="149"/>
      <c r="BS85" s="149"/>
      <c r="BT85" s="149"/>
      <c r="BU85" s="149"/>
      <c r="BV85" s="559"/>
      <c r="BW85" s="45"/>
      <c r="BX85" s="45"/>
      <c r="BY85" s="45"/>
      <c r="BZ85" s="69"/>
      <c r="CA85" s="69"/>
      <c r="CB85" s="69"/>
      <c r="CC85" s="69"/>
      <c r="CD85" s="69"/>
      <c r="CE85" s="22"/>
      <c r="CF85" s="22"/>
      <c r="CG85" s="22"/>
    </row>
    <row r="86" spans="1:85" ht="15.75" customHeight="1" x14ac:dyDescent="0.45">
      <c r="A86" s="22"/>
      <c r="B86" s="12"/>
      <c r="C86" s="12"/>
      <c r="D86" s="155"/>
      <c r="E86" s="144"/>
      <c r="F86" s="144"/>
      <c r="G86" s="12"/>
      <c r="H86" s="22"/>
      <c r="I86" s="22"/>
      <c r="J86" s="22"/>
      <c r="K86" s="145"/>
      <c r="L86" s="144"/>
      <c r="M86" s="144"/>
      <c r="N86" s="144"/>
      <c r="O86" s="145"/>
      <c r="P86" s="145"/>
      <c r="Q86" s="145"/>
      <c r="R86" s="145"/>
      <c r="S86" s="144"/>
      <c r="T86" s="145"/>
      <c r="U86" s="145"/>
      <c r="V86" s="145"/>
      <c r="W86" s="145"/>
      <c r="X86" s="53"/>
      <c r="Y86" s="74"/>
      <c r="Z86" s="145"/>
      <c r="AA86" s="145"/>
      <c r="AB86" s="145"/>
      <c r="AC86" s="146"/>
      <c r="AD86" s="145"/>
      <c r="AE86" s="145"/>
      <c r="AF86" s="145"/>
      <c r="AG86" s="145"/>
      <c r="AH86" s="146"/>
      <c r="AI86" s="145"/>
      <c r="AJ86" s="145"/>
      <c r="AK86" s="145"/>
      <c r="AL86" s="145"/>
      <c r="AM86" s="145"/>
      <c r="AN86" s="145"/>
      <c r="AO86" s="145"/>
      <c r="AP86" s="74"/>
      <c r="AQ86" s="74"/>
      <c r="AR86" s="74"/>
      <c r="AS86" s="523"/>
      <c r="AT86" s="523"/>
      <c r="AU86" s="523"/>
      <c r="AV86" s="555"/>
      <c r="AW86" s="12"/>
      <c r="AX86" s="12"/>
      <c r="AY86" s="152"/>
      <c r="AZ86" s="22"/>
      <c r="BA86" s="74"/>
      <c r="BB86" s="45"/>
      <c r="BC86" s="22"/>
      <c r="BD86" s="158"/>
      <c r="BE86" s="558"/>
      <c r="BF86" s="45"/>
      <c r="BG86" s="45"/>
      <c r="BH86" s="45"/>
      <c r="BI86" s="45"/>
      <c r="BJ86" s="45"/>
      <c r="BK86" s="45"/>
      <c r="BL86" s="45"/>
      <c r="BM86" s="158"/>
      <c r="BN86" s="558"/>
      <c r="BO86" s="45"/>
      <c r="BP86" s="45"/>
      <c r="BQ86" s="149"/>
      <c r="BR86" s="149"/>
      <c r="BS86" s="149"/>
      <c r="BT86" s="149"/>
      <c r="BU86" s="149"/>
      <c r="BV86" s="559"/>
      <c r="BW86" s="45"/>
      <c r="BX86" s="45"/>
      <c r="BY86" s="45"/>
      <c r="BZ86" s="69"/>
      <c r="CA86" s="69"/>
      <c r="CB86" s="69"/>
      <c r="CC86" s="69"/>
      <c r="CD86" s="69"/>
      <c r="CE86" s="22"/>
      <c r="CF86" s="22"/>
      <c r="CG86" s="22"/>
    </row>
    <row r="87" spans="1:85" ht="15.75" customHeight="1" x14ac:dyDescent="0.45">
      <c r="A87" s="22"/>
      <c r="B87" s="12"/>
      <c r="C87" s="12"/>
      <c r="D87" s="155"/>
      <c r="E87" s="144"/>
      <c r="F87" s="144"/>
      <c r="G87" s="12"/>
      <c r="H87" s="22"/>
      <c r="I87" s="22"/>
      <c r="J87" s="22"/>
      <c r="K87" s="145"/>
      <c r="L87" s="144"/>
      <c r="M87" s="144"/>
      <c r="N87" s="144"/>
      <c r="O87" s="145"/>
      <c r="P87" s="145"/>
      <c r="Q87" s="145"/>
      <c r="R87" s="145"/>
      <c r="S87" s="144"/>
      <c r="T87" s="145"/>
      <c r="U87" s="145"/>
      <c r="V87" s="145"/>
      <c r="W87" s="145"/>
      <c r="X87" s="53"/>
      <c r="Y87" s="74"/>
      <c r="Z87" s="145"/>
      <c r="AA87" s="145"/>
      <c r="AB87" s="145"/>
      <c r="AC87" s="146"/>
      <c r="AD87" s="145"/>
      <c r="AE87" s="145"/>
      <c r="AF87" s="145"/>
      <c r="AG87" s="145"/>
      <c r="AH87" s="146"/>
      <c r="AI87" s="145"/>
      <c r="AJ87" s="145"/>
      <c r="AK87" s="145"/>
      <c r="AL87" s="145"/>
      <c r="AM87" s="145"/>
      <c r="AN87" s="145"/>
      <c r="AO87" s="145"/>
      <c r="AP87" s="74"/>
      <c r="AQ87" s="74"/>
      <c r="AR87" s="74"/>
      <c r="AS87" s="523"/>
      <c r="AT87" s="523"/>
      <c r="AU87" s="523"/>
      <c r="AV87" s="555"/>
      <c r="AW87" s="12"/>
      <c r="AX87" s="12"/>
      <c r="AY87" s="152"/>
      <c r="AZ87" s="22"/>
      <c r="BA87" s="74"/>
      <c r="BB87" s="45"/>
      <c r="BC87" s="22"/>
      <c r="BD87" s="158"/>
      <c r="BE87" s="558"/>
      <c r="BF87" s="45"/>
      <c r="BG87" s="45"/>
      <c r="BH87" s="45"/>
      <c r="BI87" s="45"/>
      <c r="BJ87" s="45"/>
      <c r="BK87" s="45"/>
      <c r="BL87" s="45"/>
      <c r="BM87" s="158"/>
      <c r="BN87" s="558"/>
      <c r="BO87" s="45"/>
      <c r="BP87" s="45"/>
      <c r="BQ87" s="149"/>
      <c r="BR87" s="149"/>
      <c r="BS87" s="149"/>
      <c r="BT87" s="149"/>
      <c r="BU87" s="149"/>
      <c r="BV87" s="559"/>
      <c r="BW87" s="45"/>
      <c r="BX87" s="45"/>
      <c r="BY87" s="45"/>
      <c r="BZ87" s="69"/>
      <c r="CA87" s="69"/>
      <c r="CB87" s="69"/>
      <c r="CC87" s="69"/>
      <c r="CD87" s="69"/>
      <c r="CE87" s="22"/>
      <c r="CF87" s="22"/>
      <c r="CG87" s="22"/>
    </row>
    <row r="88" spans="1:85" ht="15.75" customHeight="1" x14ac:dyDescent="0.45">
      <c r="A88" s="22"/>
      <c r="B88" s="12"/>
      <c r="C88" s="12"/>
      <c r="D88" s="155"/>
      <c r="E88" s="144"/>
      <c r="F88" s="144"/>
      <c r="G88" s="12"/>
      <c r="H88" s="22"/>
      <c r="I88" s="22"/>
      <c r="J88" s="22"/>
      <c r="K88" s="145"/>
      <c r="L88" s="144"/>
      <c r="M88" s="144"/>
      <c r="N88" s="144"/>
      <c r="O88" s="145"/>
      <c r="P88" s="145"/>
      <c r="Q88" s="145"/>
      <c r="R88" s="145"/>
      <c r="S88" s="144"/>
      <c r="T88" s="145"/>
      <c r="U88" s="145"/>
      <c r="V88" s="145"/>
      <c r="W88" s="145"/>
      <c r="X88" s="53"/>
      <c r="Y88" s="74"/>
      <c r="Z88" s="145"/>
      <c r="AA88" s="145"/>
      <c r="AB88" s="145"/>
      <c r="AC88" s="146"/>
      <c r="AD88" s="145"/>
      <c r="AE88" s="145"/>
      <c r="AF88" s="145"/>
      <c r="AG88" s="145"/>
      <c r="AH88" s="146"/>
      <c r="AI88" s="145"/>
      <c r="AJ88" s="145"/>
      <c r="AK88" s="145"/>
      <c r="AL88" s="145"/>
      <c r="AM88" s="145"/>
      <c r="AN88" s="145"/>
      <c r="AO88" s="145"/>
      <c r="AP88" s="74"/>
      <c r="AQ88" s="74"/>
      <c r="AR88" s="74"/>
      <c r="AS88" s="523"/>
      <c r="AT88" s="523"/>
      <c r="AU88" s="523"/>
      <c r="AV88" s="555"/>
      <c r="AW88" s="12"/>
      <c r="AX88" s="12"/>
      <c r="AY88" s="152"/>
      <c r="AZ88" s="22"/>
      <c r="BA88" s="74"/>
      <c r="BB88" s="45"/>
      <c r="BC88" s="22"/>
      <c r="BD88" s="158"/>
      <c r="BE88" s="558"/>
      <c r="BF88" s="45"/>
      <c r="BG88" s="45"/>
      <c r="BH88" s="45"/>
      <c r="BI88" s="45"/>
      <c r="BJ88" s="45"/>
      <c r="BK88" s="45"/>
      <c r="BL88" s="45"/>
      <c r="BM88" s="158"/>
      <c r="BN88" s="558"/>
      <c r="BO88" s="45"/>
      <c r="BP88" s="45"/>
      <c r="BQ88" s="149"/>
      <c r="BR88" s="149"/>
      <c r="BS88" s="149"/>
      <c r="BT88" s="149"/>
      <c r="BU88" s="149"/>
      <c r="BV88" s="559"/>
      <c r="BW88" s="45"/>
      <c r="BX88" s="45"/>
      <c r="BY88" s="45"/>
      <c r="BZ88" s="69"/>
      <c r="CA88" s="69"/>
      <c r="CB88" s="69"/>
      <c r="CC88" s="69"/>
      <c r="CD88" s="69"/>
      <c r="CE88" s="22"/>
      <c r="CF88" s="22"/>
      <c r="CG88" s="22"/>
    </row>
    <row r="89" spans="1:85" ht="15.75" customHeight="1" x14ac:dyDescent="0.45">
      <c r="A89" s="22"/>
      <c r="B89" s="12"/>
      <c r="C89" s="12"/>
      <c r="D89" s="155"/>
      <c r="E89" s="144"/>
      <c r="F89" s="144"/>
      <c r="G89" s="12"/>
      <c r="H89" s="22"/>
      <c r="I89" s="22"/>
      <c r="J89" s="22"/>
      <c r="K89" s="145"/>
      <c r="L89" s="144"/>
      <c r="M89" s="144"/>
      <c r="N89" s="144"/>
      <c r="O89" s="145"/>
      <c r="P89" s="145"/>
      <c r="Q89" s="145"/>
      <c r="R89" s="145"/>
      <c r="S89" s="144"/>
      <c r="T89" s="145"/>
      <c r="U89" s="145"/>
      <c r="V89" s="145"/>
      <c r="W89" s="145"/>
      <c r="X89" s="53"/>
      <c r="Y89" s="74"/>
      <c r="Z89" s="145"/>
      <c r="AA89" s="145"/>
      <c r="AB89" s="145"/>
      <c r="AC89" s="146"/>
      <c r="AD89" s="145"/>
      <c r="AE89" s="145"/>
      <c r="AF89" s="145"/>
      <c r="AG89" s="145"/>
      <c r="AH89" s="146"/>
      <c r="AI89" s="145"/>
      <c r="AJ89" s="145"/>
      <c r="AK89" s="145"/>
      <c r="AL89" s="145"/>
      <c r="AM89" s="145"/>
      <c r="AN89" s="145"/>
      <c r="AO89" s="145"/>
      <c r="AP89" s="74"/>
      <c r="AQ89" s="74"/>
      <c r="AR89" s="74"/>
      <c r="AS89" s="523"/>
      <c r="AT89" s="523"/>
      <c r="AU89" s="523"/>
      <c r="AV89" s="555"/>
      <c r="AW89" s="12"/>
      <c r="AX89" s="12"/>
      <c r="AY89" s="152"/>
      <c r="AZ89" s="22"/>
      <c r="BA89" s="74"/>
      <c r="BB89" s="45"/>
      <c r="BC89" s="22"/>
      <c r="BD89" s="158"/>
      <c r="BE89" s="558"/>
      <c r="BF89" s="45"/>
      <c r="BG89" s="45"/>
      <c r="BH89" s="45"/>
      <c r="BI89" s="45"/>
      <c r="BJ89" s="45"/>
      <c r="BK89" s="45"/>
      <c r="BL89" s="45"/>
      <c r="BM89" s="158"/>
      <c r="BN89" s="558"/>
      <c r="BO89" s="45"/>
      <c r="BP89" s="45"/>
      <c r="BQ89" s="532"/>
      <c r="BR89" s="532"/>
      <c r="BS89" s="532"/>
      <c r="BT89" s="532"/>
      <c r="BU89" s="532"/>
      <c r="BV89" s="559"/>
      <c r="BW89" s="45"/>
      <c r="BX89" s="45"/>
      <c r="BY89" s="45"/>
      <c r="BZ89" s="69"/>
      <c r="CA89" s="69"/>
      <c r="CB89" s="69"/>
      <c r="CC89" s="69"/>
      <c r="CD89" s="69"/>
      <c r="CE89" s="22"/>
      <c r="CF89" s="22"/>
      <c r="CG89" s="22"/>
    </row>
    <row r="90" spans="1:85" ht="15.75" customHeight="1" x14ac:dyDescent="0.45">
      <c r="A90" s="22"/>
      <c r="B90" s="12"/>
      <c r="C90" s="12"/>
      <c r="D90" s="155"/>
      <c r="E90" s="144"/>
      <c r="F90" s="144"/>
      <c r="G90" s="12"/>
      <c r="H90" s="22"/>
      <c r="I90" s="22"/>
      <c r="J90" s="22"/>
      <c r="K90" s="145"/>
      <c r="L90" s="144"/>
      <c r="M90" s="144"/>
      <c r="N90" s="144"/>
      <c r="O90" s="145"/>
      <c r="P90" s="145"/>
      <c r="Q90" s="145"/>
      <c r="R90" s="145"/>
      <c r="S90" s="144"/>
      <c r="T90" s="145"/>
      <c r="U90" s="145"/>
      <c r="V90" s="145"/>
      <c r="W90" s="145"/>
      <c r="X90" s="53"/>
      <c r="Y90" s="74"/>
      <c r="Z90" s="145"/>
      <c r="AA90" s="145"/>
      <c r="AB90" s="145"/>
      <c r="AC90" s="146"/>
      <c r="AD90" s="145"/>
      <c r="AE90" s="145"/>
      <c r="AF90" s="145"/>
      <c r="AG90" s="145"/>
      <c r="AH90" s="146"/>
      <c r="AI90" s="145"/>
      <c r="AJ90" s="145"/>
      <c r="AK90" s="145"/>
      <c r="AL90" s="145"/>
      <c r="AM90" s="145"/>
      <c r="AN90" s="145"/>
      <c r="AO90" s="145"/>
      <c r="AP90" s="74"/>
      <c r="AQ90" s="74"/>
      <c r="AR90" s="74"/>
      <c r="AS90" s="523"/>
      <c r="AT90" s="523"/>
      <c r="AU90" s="523"/>
      <c r="AV90" s="555"/>
      <c r="AW90" s="12"/>
      <c r="AX90" s="12"/>
      <c r="AY90" s="152"/>
      <c r="AZ90" s="22"/>
      <c r="BA90" s="74"/>
      <c r="BB90" s="45"/>
      <c r="BC90" s="22"/>
      <c r="BD90" s="158"/>
      <c r="BE90" s="558"/>
      <c r="BF90" s="45"/>
      <c r="BG90" s="45"/>
      <c r="BH90" s="45"/>
      <c r="BI90" s="45"/>
      <c r="BJ90" s="45"/>
      <c r="BK90" s="45"/>
      <c r="BL90" s="45"/>
      <c r="BM90" s="158"/>
      <c r="BN90" s="558"/>
      <c r="BO90" s="45"/>
      <c r="BP90" s="45"/>
      <c r="BQ90" s="532"/>
      <c r="BR90" s="532"/>
      <c r="BS90" s="532"/>
      <c r="BT90" s="532"/>
      <c r="BU90" s="532"/>
      <c r="BV90" s="559"/>
      <c r="BW90" s="45"/>
      <c r="BX90" s="45"/>
      <c r="BY90" s="45"/>
      <c r="BZ90" s="69"/>
      <c r="CA90" s="69"/>
      <c r="CB90" s="69"/>
      <c r="CC90" s="69"/>
      <c r="CD90" s="69"/>
      <c r="CE90" s="22"/>
      <c r="CF90" s="22"/>
      <c r="CG90" s="22"/>
    </row>
    <row r="91" spans="1:85" ht="15.75" customHeight="1" x14ac:dyDescent="0.45">
      <c r="A91" s="22"/>
      <c r="B91" s="12"/>
      <c r="C91" s="12"/>
      <c r="D91" s="155"/>
      <c r="E91" s="144"/>
      <c r="F91" s="144"/>
      <c r="G91" s="12"/>
      <c r="H91" s="22"/>
      <c r="I91" s="22"/>
      <c r="J91" s="22"/>
      <c r="K91" s="145"/>
      <c r="L91" s="144"/>
      <c r="M91" s="144"/>
      <c r="N91" s="144"/>
      <c r="O91" s="145"/>
      <c r="P91" s="145"/>
      <c r="Q91" s="145"/>
      <c r="R91" s="145"/>
      <c r="S91" s="144"/>
      <c r="T91" s="145"/>
      <c r="U91" s="145"/>
      <c r="V91" s="145"/>
      <c r="W91" s="145"/>
      <c r="X91" s="53"/>
      <c r="Y91" s="74"/>
      <c r="Z91" s="145"/>
      <c r="AA91" s="145"/>
      <c r="AB91" s="145"/>
      <c r="AC91" s="146"/>
      <c r="AD91" s="145"/>
      <c r="AE91" s="145"/>
      <c r="AF91" s="145"/>
      <c r="AG91" s="145"/>
      <c r="AH91" s="146"/>
      <c r="AI91" s="145"/>
      <c r="AJ91" s="145"/>
      <c r="AK91" s="145"/>
      <c r="AL91" s="145"/>
      <c r="AM91" s="145"/>
      <c r="AN91" s="145"/>
      <c r="AO91" s="145"/>
      <c r="AP91" s="74"/>
      <c r="AQ91" s="74"/>
      <c r="AR91" s="74"/>
      <c r="AS91" s="523"/>
      <c r="AT91" s="523"/>
      <c r="AU91" s="523"/>
      <c r="AV91" s="555"/>
      <c r="AW91" s="12"/>
      <c r="AX91" s="12"/>
      <c r="AY91" s="152"/>
      <c r="AZ91" s="22"/>
      <c r="BA91" s="74"/>
      <c r="BB91" s="45"/>
      <c r="BC91" s="22"/>
      <c r="BD91" s="158"/>
      <c r="BE91" s="558"/>
      <c r="BF91" s="45"/>
      <c r="BG91" s="45"/>
      <c r="BH91" s="45"/>
      <c r="BI91" s="45"/>
      <c r="BJ91" s="45"/>
      <c r="BK91" s="45"/>
      <c r="BL91" s="45"/>
      <c r="BM91" s="158"/>
      <c r="BN91" s="558"/>
      <c r="BO91" s="45"/>
      <c r="BP91" s="45"/>
      <c r="BQ91" s="532"/>
      <c r="BR91" s="532"/>
      <c r="BS91" s="532"/>
      <c r="BT91" s="532"/>
      <c r="BU91" s="532"/>
      <c r="BV91" s="559"/>
      <c r="BW91" s="45"/>
      <c r="BX91" s="45"/>
      <c r="BY91" s="45"/>
      <c r="BZ91" s="69"/>
      <c r="CA91" s="69"/>
      <c r="CB91" s="69"/>
      <c r="CC91" s="69"/>
      <c r="CD91" s="69"/>
      <c r="CE91" s="22"/>
      <c r="CF91" s="22"/>
      <c r="CG91" s="22"/>
    </row>
    <row r="92" spans="1:85" ht="15.75" customHeight="1" x14ac:dyDescent="0.45">
      <c r="A92" s="22"/>
      <c r="B92" s="12"/>
      <c r="C92" s="12"/>
      <c r="D92" s="155"/>
      <c r="E92" s="144"/>
      <c r="F92" s="144"/>
      <c r="G92" s="12"/>
      <c r="H92" s="22"/>
      <c r="I92" s="22"/>
      <c r="J92" s="22"/>
      <c r="K92" s="145"/>
      <c r="L92" s="144"/>
      <c r="M92" s="144"/>
      <c r="N92" s="144"/>
      <c r="O92" s="145"/>
      <c r="P92" s="145"/>
      <c r="Q92" s="145"/>
      <c r="R92" s="145"/>
      <c r="S92" s="144"/>
      <c r="T92" s="145"/>
      <c r="U92" s="145"/>
      <c r="V92" s="145"/>
      <c r="W92" s="145"/>
      <c r="X92" s="53"/>
      <c r="Y92" s="74"/>
      <c r="Z92" s="145"/>
      <c r="AA92" s="145"/>
      <c r="AB92" s="145"/>
      <c r="AC92" s="146"/>
      <c r="AD92" s="145"/>
      <c r="AE92" s="145"/>
      <c r="AF92" s="145"/>
      <c r="AG92" s="145"/>
      <c r="AH92" s="146"/>
      <c r="AI92" s="145"/>
      <c r="AJ92" s="145"/>
      <c r="AK92" s="145"/>
      <c r="AL92" s="145"/>
      <c r="AM92" s="145"/>
      <c r="AN92" s="145"/>
      <c r="AO92" s="145"/>
      <c r="AP92" s="74"/>
      <c r="AQ92" s="74"/>
      <c r="AR92" s="74"/>
      <c r="AS92" s="523"/>
      <c r="AT92" s="523"/>
      <c r="AU92" s="523"/>
      <c r="AV92" s="555"/>
      <c r="AW92" s="12"/>
      <c r="AX92" s="12"/>
      <c r="AY92" s="152"/>
      <c r="AZ92" s="22"/>
      <c r="BA92" s="74"/>
      <c r="BB92" s="45"/>
      <c r="BC92" s="22"/>
      <c r="BD92" s="158"/>
      <c r="BE92" s="558"/>
      <c r="BF92" s="45"/>
      <c r="BG92" s="45"/>
      <c r="BH92" s="45"/>
      <c r="BI92" s="45"/>
      <c r="BJ92" s="45"/>
      <c r="BK92" s="45"/>
      <c r="BL92" s="45"/>
      <c r="BM92" s="158"/>
      <c r="BN92" s="558"/>
      <c r="BO92" s="45"/>
      <c r="BP92" s="45"/>
      <c r="BQ92" s="149"/>
      <c r="BR92" s="149"/>
      <c r="BS92" s="149"/>
      <c r="BT92" s="149"/>
      <c r="BU92" s="149"/>
      <c r="BV92" s="559"/>
      <c r="BW92" s="45"/>
      <c r="BX92" s="45"/>
      <c r="BY92" s="45"/>
      <c r="BZ92" s="69"/>
      <c r="CA92" s="69"/>
      <c r="CB92" s="69"/>
      <c r="CC92" s="69"/>
      <c r="CD92" s="69"/>
      <c r="CE92" s="22"/>
      <c r="CF92" s="22"/>
      <c r="CG92" s="22"/>
    </row>
    <row r="93" spans="1:85" ht="15.75" customHeight="1" x14ac:dyDescent="0.45">
      <c r="A93" s="22"/>
      <c r="B93" s="12"/>
      <c r="C93" s="12"/>
      <c r="D93" s="155"/>
      <c r="E93" s="144"/>
      <c r="F93" s="144"/>
      <c r="G93" s="12"/>
      <c r="H93" s="22"/>
      <c r="I93" s="22"/>
      <c r="J93" s="22"/>
      <c r="K93" s="145"/>
      <c r="L93" s="144"/>
      <c r="M93" s="144"/>
      <c r="N93" s="144"/>
      <c r="O93" s="145"/>
      <c r="P93" s="145"/>
      <c r="Q93" s="145"/>
      <c r="R93" s="145"/>
      <c r="S93" s="144"/>
      <c r="T93" s="145"/>
      <c r="U93" s="145"/>
      <c r="V93" s="145"/>
      <c r="W93" s="145"/>
      <c r="X93" s="53"/>
      <c r="Y93" s="74"/>
      <c r="Z93" s="145"/>
      <c r="AA93" s="145"/>
      <c r="AB93" s="145"/>
      <c r="AC93" s="146"/>
      <c r="AD93" s="145"/>
      <c r="AE93" s="145"/>
      <c r="AF93" s="145"/>
      <c r="AG93" s="145"/>
      <c r="AH93" s="146"/>
      <c r="AI93" s="145"/>
      <c r="AJ93" s="145"/>
      <c r="AK93" s="145"/>
      <c r="AL93" s="145"/>
      <c r="AM93" s="145"/>
      <c r="AN93" s="145"/>
      <c r="AO93" s="145"/>
      <c r="AP93" s="74"/>
      <c r="AQ93" s="74"/>
      <c r="AR93" s="74"/>
      <c r="AS93" s="523"/>
      <c r="AT93" s="523"/>
      <c r="AU93" s="523"/>
      <c r="AV93" s="555"/>
      <c r="AW93" s="12"/>
      <c r="AX93" s="12"/>
      <c r="AY93" s="152"/>
      <c r="AZ93" s="22"/>
      <c r="BA93" s="74"/>
      <c r="BB93" s="45"/>
      <c r="BC93" s="22"/>
      <c r="BD93" s="158"/>
      <c r="BE93" s="558"/>
      <c r="BF93" s="45"/>
      <c r="BG93" s="45"/>
      <c r="BH93" s="45"/>
      <c r="BI93" s="45"/>
      <c r="BJ93" s="45"/>
      <c r="BK93" s="45"/>
      <c r="BL93" s="45"/>
      <c r="BM93" s="158"/>
      <c r="BN93" s="558"/>
      <c r="BO93" s="45"/>
      <c r="BP93" s="45"/>
      <c r="BQ93" s="149"/>
      <c r="BR93" s="149"/>
      <c r="BS93" s="149"/>
      <c r="BT93" s="149"/>
      <c r="BU93" s="149"/>
      <c r="BV93" s="559"/>
      <c r="BW93" s="45"/>
      <c r="BX93" s="45"/>
      <c r="BY93" s="45"/>
      <c r="BZ93" s="69"/>
      <c r="CA93" s="69"/>
      <c r="CB93" s="69"/>
      <c r="CC93" s="69"/>
      <c r="CD93" s="69"/>
      <c r="CE93" s="22"/>
      <c r="CF93" s="22"/>
      <c r="CG93" s="22"/>
    </row>
    <row r="94" spans="1:85" ht="15.75" customHeight="1" x14ac:dyDescent="0.45">
      <c r="A94" s="22"/>
      <c r="B94" s="12"/>
      <c r="C94" s="12"/>
      <c r="D94" s="155"/>
      <c r="E94" s="144"/>
      <c r="F94" s="144"/>
      <c r="G94" s="12"/>
      <c r="H94" s="22"/>
      <c r="I94" s="22"/>
      <c r="J94" s="22"/>
      <c r="K94" s="145"/>
      <c r="L94" s="144"/>
      <c r="M94" s="144"/>
      <c r="N94" s="144"/>
      <c r="O94" s="145"/>
      <c r="P94" s="145"/>
      <c r="Q94" s="145"/>
      <c r="R94" s="145"/>
      <c r="S94" s="144"/>
      <c r="T94" s="145"/>
      <c r="U94" s="145"/>
      <c r="V94" s="145"/>
      <c r="W94" s="145"/>
      <c r="X94" s="53"/>
      <c r="Y94" s="74"/>
      <c r="Z94" s="145"/>
      <c r="AA94" s="145"/>
      <c r="AB94" s="145"/>
      <c r="AC94" s="146"/>
      <c r="AD94" s="145"/>
      <c r="AE94" s="145"/>
      <c r="AF94" s="145"/>
      <c r="AG94" s="145"/>
      <c r="AH94" s="146"/>
      <c r="AI94" s="145"/>
      <c r="AJ94" s="145"/>
      <c r="AK94" s="145"/>
      <c r="AL94" s="145"/>
      <c r="AM94" s="145"/>
      <c r="AN94" s="145"/>
      <c r="AO94" s="145"/>
      <c r="AP94" s="74"/>
      <c r="AQ94" s="74"/>
      <c r="AR94" s="74"/>
      <c r="AS94" s="523"/>
      <c r="AT94" s="523"/>
      <c r="AU94" s="523"/>
      <c r="AV94" s="555"/>
      <c r="AW94" s="12"/>
      <c r="AX94" s="12"/>
      <c r="AY94" s="152"/>
      <c r="AZ94" s="22"/>
      <c r="BA94" s="74"/>
      <c r="BB94" s="45"/>
      <c r="BC94" s="22"/>
      <c r="BD94" s="158"/>
      <c r="BE94" s="558"/>
      <c r="BF94" s="45"/>
      <c r="BG94" s="45"/>
      <c r="BH94" s="45"/>
      <c r="BI94" s="45"/>
      <c r="BJ94" s="45"/>
      <c r="BK94" s="45"/>
      <c r="BL94" s="45"/>
      <c r="BM94" s="158"/>
      <c r="BN94" s="558"/>
      <c r="BO94" s="45"/>
      <c r="BP94" s="45"/>
      <c r="BQ94" s="532"/>
      <c r="BR94" s="532"/>
      <c r="BS94" s="532"/>
      <c r="BT94" s="532"/>
      <c r="BU94" s="532"/>
      <c r="BV94" s="559"/>
      <c r="BW94" s="45"/>
      <c r="BX94" s="45"/>
      <c r="BY94" s="45"/>
      <c r="BZ94" s="69"/>
      <c r="CA94" s="69"/>
      <c r="CB94" s="69"/>
      <c r="CC94" s="69"/>
      <c r="CD94" s="69"/>
      <c r="CE94" s="22"/>
      <c r="CF94" s="22"/>
      <c r="CG94" s="22"/>
    </row>
    <row r="95" spans="1:85" ht="15.75" customHeight="1" x14ac:dyDescent="0.45">
      <c r="A95" s="22"/>
      <c r="B95" s="12"/>
      <c r="C95" s="12"/>
      <c r="D95" s="155"/>
      <c r="E95" s="144"/>
      <c r="F95" s="144"/>
      <c r="G95" s="12"/>
      <c r="H95" s="22"/>
      <c r="I95" s="22"/>
      <c r="J95" s="22"/>
      <c r="K95" s="145"/>
      <c r="L95" s="144"/>
      <c r="M95" s="144"/>
      <c r="N95" s="144"/>
      <c r="O95" s="145"/>
      <c r="P95" s="145"/>
      <c r="Q95" s="145"/>
      <c r="R95" s="145"/>
      <c r="S95" s="144"/>
      <c r="T95" s="145"/>
      <c r="U95" s="145"/>
      <c r="V95" s="145"/>
      <c r="W95" s="145"/>
      <c r="X95" s="53"/>
      <c r="Y95" s="74"/>
      <c r="Z95" s="145"/>
      <c r="AA95" s="145"/>
      <c r="AB95" s="145"/>
      <c r="AC95" s="146"/>
      <c r="AD95" s="145"/>
      <c r="AE95" s="145"/>
      <c r="AF95" s="145"/>
      <c r="AG95" s="145"/>
      <c r="AH95" s="146"/>
      <c r="AI95" s="145"/>
      <c r="AJ95" s="145"/>
      <c r="AK95" s="145"/>
      <c r="AL95" s="145"/>
      <c r="AM95" s="145"/>
      <c r="AN95" s="145"/>
      <c r="AO95" s="145"/>
      <c r="AP95" s="74"/>
      <c r="AQ95" s="74"/>
      <c r="AR95" s="74"/>
      <c r="AS95" s="523"/>
      <c r="AT95" s="523"/>
      <c r="AU95" s="523"/>
      <c r="AV95" s="555"/>
      <c r="AW95" s="12"/>
      <c r="AX95" s="12"/>
      <c r="AY95" s="152"/>
      <c r="AZ95" s="22"/>
      <c r="BA95" s="74"/>
      <c r="BB95" s="45"/>
      <c r="BC95" s="22"/>
      <c r="BD95" s="158"/>
      <c r="BE95" s="558"/>
      <c r="BF95" s="45"/>
      <c r="BG95" s="45"/>
      <c r="BH95" s="45"/>
      <c r="BI95" s="45"/>
      <c r="BJ95" s="45"/>
      <c r="BK95" s="45"/>
      <c r="BL95" s="45"/>
      <c r="BM95" s="158"/>
      <c r="BN95" s="558"/>
      <c r="BO95" s="45"/>
      <c r="BP95" s="45"/>
      <c r="BQ95" s="532"/>
      <c r="BR95" s="532"/>
      <c r="BS95" s="532"/>
      <c r="BT95" s="532"/>
      <c r="BU95" s="532"/>
      <c r="BV95" s="559"/>
      <c r="BW95" s="45"/>
      <c r="BX95" s="45"/>
      <c r="BY95" s="45"/>
      <c r="BZ95" s="69"/>
      <c r="CA95" s="69"/>
      <c r="CB95" s="69"/>
      <c r="CC95" s="69"/>
      <c r="CD95" s="69"/>
      <c r="CE95" s="22"/>
      <c r="CF95" s="22"/>
      <c r="CG95" s="22"/>
    </row>
    <row r="96" spans="1:85" ht="15.75" customHeight="1" x14ac:dyDescent="0.45">
      <c r="A96" s="22"/>
      <c r="B96" s="12"/>
      <c r="C96" s="12"/>
      <c r="D96" s="155"/>
      <c r="E96" s="144"/>
      <c r="F96" s="144"/>
      <c r="G96" s="12"/>
      <c r="H96" s="22"/>
      <c r="I96" s="22"/>
      <c r="J96" s="22"/>
      <c r="K96" s="145"/>
      <c r="L96" s="144"/>
      <c r="M96" s="144"/>
      <c r="N96" s="144"/>
      <c r="O96" s="145"/>
      <c r="P96" s="145"/>
      <c r="Q96" s="145"/>
      <c r="R96" s="145"/>
      <c r="S96" s="144"/>
      <c r="T96" s="145"/>
      <c r="U96" s="145"/>
      <c r="V96" s="145"/>
      <c r="W96" s="145"/>
      <c r="X96" s="53"/>
      <c r="Y96" s="74"/>
      <c r="Z96" s="145"/>
      <c r="AA96" s="145"/>
      <c r="AB96" s="145"/>
      <c r="AC96" s="146"/>
      <c r="AD96" s="145"/>
      <c r="AE96" s="145"/>
      <c r="AF96" s="145"/>
      <c r="AG96" s="145"/>
      <c r="AH96" s="146"/>
      <c r="AI96" s="145"/>
      <c r="AJ96" s="145"/>
      <c r="AK96" s="145"/>
      <c r="AL96" s="145"/>
      <c r="AM96" s="145"/>
      <c r="AN96" s="145"/>
      <c r="AO96" s="145"/>
      <c r="AP96" s="74"/>
      <c r="AQ96" s="74"/>
      <c r="AR96" s="74"/>
      <c r="AS96" s="523"/>
      <c r="AT96" s="523"/>
      <c r="AU96" s="523"/>
      <c r="AV96" s="555"/>
      <c r="AW96" s="12"/>
      <c r="AX96" s="12"/>
      <c r="AY96" s="152"/>
      <c r="AZ96" s="22"/>
      <c r="BA96" s="74"/>
      <c r="BB96" s="45"/>
      <c r="BC96" s="22"/>
      <c r="BD96" s="158"/>
      <c r="BE96" s="558"/>
      <c r="BF96" s="45"/>
      <c r="BG96" s="45"/>
      <c r="BH96" s="45"/>
      <c r="BI96" s="45"/>
      <c r="BJ96" s="45"/>
      <c r="BK96" s="45"/>
      <c r="BL96" s="45"/>
      <c r="BM96" s="158"/>
      <c r="BN96" s="558"/>
      <c r="BO96" s="45"/>
      <c r="BP96" s="45"/>
      <c r="BQ96" s="532"/>
      <c r="BR96" s="532"/>
      <c r="BS96" s="532"/>
      <c r="BT96" s="532"/>
      <c r="BU96" s="532"/>
      <c r="BV96" s="559"/>
      <c r="BW96" s="45"/>
      <c r="BX96" s="45"/>
      <c r="BY96" s="45"/>
      <c r="BZ96" s="69"/>
      <c r="CA96" s="69"/>
      <c r="CB96" s="69"/>
      <c r="CC96" s="69"/>
      <c r="CD96" s="69"/>
      <c r="CE96" s="22"/>
      <c r="CF96" s="22"/>
      <c r="CG96" s="22"/>
    </row>
    <row r="97" spans="1:85" ht="15.75" customHeight="1" x14ac:dyDescent="0.45">
      <c r="A97" s="22"/>
      <c r="B97" s="12"/>
      <c r="C97" s="12"/>
      <c r="D97" s="155"/>
      <c r="E97" s="144"/>
      <c r="F97" s="144"/>
      <c r="G97" s="12"/>
      <c r="H97" s="22"/>
      <c r="I97" s="22"/>
      <c r="J97" s="22"/>
      <c r="K97" s="145"/>
      <c r="L97" s="144"/>
      <c r="M97" s="144"/>
      <c r="N97" s="144"/>
      <c r="O97" s="145"/>
      <c r="P97" s="145"/>
      <c r="Q97" s="145"/>
      <c r="R97" s="145"/>
      <c r="S97" s="144"/>
      <c r="T97" s="145"/>
      <c r="U97" s="145"/>
      <c r="V97" s="145"/>
      <c r="W97" s="145"/>
      <c r="X97" s="53"/>
      <c r="Y97" s="74"/>
      <c r="Z97" s="145"/>
      <c r="AA97" s="145"/>
      <c r="AB97" s="145"/>
      <c r="AC97" s="146"/>
      <c r="AD97" s="145"/>
      <c r="AE97" s="145"/>
      <c r="AF97" s="145"/>
      <c r="AG97" s="145"/>
      <c r="AH97" s="146"/>
      <c r="AI97" s="145"/>
      <c r="AJ97" s="145"/>
      <c r="AK97" s="145"/>
      <c r="AL97" s="145"/>
      <c r="AM97" s="145"/>
      <c r="AN97" s="145"/>
      <c r="AO97" s="145"/>
      <c r="AP97" s="74"/>
      <c r="AQ97" s="74"/>
      <c r="AR97" s="74"/>
      <c r="AS97" s="523"/>
      <c r="AT97" s="523"/>
      <c r="AU97" s="523"/>
      <c r="AV97" s="555"/>
      <c r="AW97" s="12"/>
      <c r="AX97" s="12"/>
      <c r="AY97" s="152"/>
      <c r="AZ97" s="22"/>
      <c r="BA97" s="74"/>
      <c r="BB97" s="45"/>
      <c r="BC97" s="22"/>
      <c r="BD97" s="158"/>
      <c r="BE97" s="558"/>
      <c r="BF97" s="45"/>
      <c r="BG97" s="45"/>
      <c r="BH97" s="45"/>
      <c r="BI97" s="45"/>
      <c r="BJ97" s="45"/>
      <c r="BK97" s="45"/>
      <c r="BL97" s="45"/>
      <c r="BM97" s="158"/>
      <c r="BN97" s="558"/>
      <c r="BO97" s="45"/>
      <c r="BP97" s="45"/>
      <c r="BQ97" s="149"/>
      <c r="BR97" s="149"/>
      <c r="BS97" s="149"/>
      <c r="BT97" s="149"/>
      <c r="BU97" s="149"/>
      <c r="BV97" s="559"/>
      <c r="BW97" s="45"/>
      <c r="BX97" s="45"/>
      <c r="BY97" s="45"/>
      <c r="BZ97" s="69"/>
      <c r="CA97" s="69"/>
      <c r="CB97" s="69"/>
      <c r="CC97" s="69"/>
      <c r="CD97" s="69"/>
      <c r="CE97" s="22"/>
      <c r="CF97" s="22"/>
      <c r="CG97" s="22"/>
    </row>
    <row r="98" spans="1:85" ht="15.75" customHeight="1" x14ac:dyDescent="0.45">
      <c r="A98" s="22"/>
      <c r="B98" s="12"/>
      <c r="C98" s="12"/>
      <c r="D98" s="155"/>
      <c r="E98" s="144"/>
      <c r="F98" s="144"/>
      <c r="G98" s="12"/>
      <c r="H98" s="22"/>
      <c r="I98" s="22"/>
      <c r="J98" s="22"/>
      <c r="K98" s="145"/>
      <c r="L98" s="144"/>
      <c r="M98" s="144"/>
      <c r="N98" s="144"/>
      <c r="O98" s="145"/>
      <c r="P98" s="145"/>
      <c r="Q98" s="145"/>
      <c r="R98" s="145"/>
      <c r="S98" s="144"/>
      <c r="T98" s="145"/>
      <c r="U98" s="145"/>
      <c r="V98" s="145"/>
      <c r="W98" s="145"/>
      <c r="X98" s="53"/>
      <c r="Y98" s="74"/>
      <c r="Z98" s="145"/>
      <c r="AA98" s="145"/>
      <c r="AB98" s="145"/>
      <c r="AC98" s="146"/>
      <c r="AD98" s="145"/>
      <c r="AE98" s="145"/>
      <c r="AF98" s="145"/>
      <c r="AG98" s="145"/>
      <c r="AH98" s="146"/>
      <c r="AI98" s="145"/>
      <c r="AJ98" s="145"/>
      <c r="AK98" s="145"/>
      <c r="AL98" s="145"/>
      <c r="AM98" s="145"/>
      <c r="AN98" s="145"/>
      <c r="AO98" s="145"/>
      <c r="AP98" s="74"/>
      <c r="AQ98" s="74"/>
      <c r="AR98" s="74"/>
      <c r="AS98" s="523"/>
      <c r="AT98" s="523"/>
      <c r="AU98" s="523"/>
      <c r="AV98" s="555"/>
      <c r="AW98" s="12"/>
      <c r="AX98" s="12"/>
      <c r="AY98" s="152"/>
      <c r="AZ98" s="22"/>
      <c r="BA98" s="74"/>
      <c r="BB98" s="45"/>
      <c r="BC98" s="22"/>
      <c r="BD98" s="158"/>
      <c r="BE98" s="558"/>
      <c r="BF98" s="45"/>
      <c r="BG98" s="45"/>
      <c r="BH98" s="45"/>
      <c r="BI98" s="45"/>
      <c r="BJ98" s="45"/>
      <c r="BK98" s="45"/>
      <c r="BL98" s="45"/>
      <c r="BM98" s="158"/>
      <c r="BN98" s="558"/>
      <c r="BO98" s="45"/>
      <c r="BP98" s="45"/>
      <c r="BQ98" s="532"/>
      <c r="BR98" s="532"/>
      <c r="BS98" s="532"/>
      <c r="BT98" s="532"/>
      <c r="BU98" s="532"/>
      <c r="BV98" s="559"/>
      <c r="BW98" s="45"/>
      <c r="BX98" s="45"/>
      <c r="BY98" s="45"/>
      <c r="BZ98" s="69"/>
      <c r="CA98" s="69"/>
      <c r="CB98" s="69"/>
      <c r="CC98" s="69"/>
      <c r="CD98" s="69"/>
      <c r="CE98" s="22"/>
      <c r="CF98" s="22"/>
      <c r="CG98" s="22"/>
    </row>
    <row r="99" spans="1:85" ht="15.75" customHeight="1" x14ac:dyDescent="0.45">
      <c r="A99" s="22"/>
      <c r="B99" s="12"/>
      <c r="C99" s="12"/>
      <c r="D99" s="155"/>
      <c r="E99" s="144"/>
      <c r="F99" s="144"/>
      <c r="G99" s="12"/>
      <c r="H99" s="22"/>
      <c r="I99" s="22"/>
      <c r="J99" s="22"/>
      <c r="K99" s="145"/>
      <c r="L99" s="144"/>
      <c r="M99" s="144"/>
      <c r="N99" s="144"/>
      <c r="O99" s="145"/>
      <c r="P99" s="145"/>
      <c r="Q99" s="145"/>
      <c r="R99" s="145"/>
      <c r="S99" s="144"/>
      <c r="T99" s="145"/>
      <c r="U99" s="145"/>
      <c r="V99" s="145"/>
      <c r="W99" s="145"/>
      <c r="X99" s="53"/>
      <c r="Y99" s="74"/>
      <c r="Z99" s="145"/>
      <c r="AA99" s="145"/>
      <c r="AB99" s="145"/>
      <c r="AC99" s="146"/>
      <c r="AD99" s="145"/>
      <c r="AE99" s="145"/>
      <c r="AF99" s="145"/>
      <c r="AG99" s="145"/>
      <c r="AH99" s="146"/>
      <c r="AI99" s="145"/>
      <c r="AJ99" s="145"/>
      <c r="AK99" s="145"/>
      <c r="AL99" s="145"/>
      <c r="AM99" s="145"/>
      <c r="AN99" s="145"/>
      <c r="AO99" s="145"/>
      <c r="AP99" s="74"/>
      <c r="AQ99" s="74"/>
      <c r="AR99" s="74"/>
      <c r="AS99" s="523"/>
      <c r="AT99" s="523"/>
      <c r="AU99" s="523"/>
      <c r="AV99" s="555"/>
      <c r="AW99" s="12"/>
      <c r="AX99" s="12"/>
      <c r="AY99" s="152"/>
      <c r="AZ99" s="22"/>
      <c r="BA99" s="74"/>
      <c r="BB99" s="45"/>
      <c r="BC99" s="22"/>
      <c r="BD99" s="158"/>
      <c r="BE99" s="558"/>
      <c r="BF99" s="45"/>
      <c r="BG99" s="45"/>
      <c r="BH99" s="45"/>
      <c r="BI99" s="45"/>
      <c r="BJ99" s="45"/>
      <c r="BK99" s="45"/>
      <c r="BL99" s="45"/>
      <c r="BM99" s="158"/>
      <c r="BN99" s="558"/>
      <c r="BO99" s="45"/>
      <c r="BP99" s="45"/>
      <c r="BQ99" s="149"/>
      <c r="BR99" s="149"/>
      <c r="BS99" s="149"/>
      <c r="BT99" s="149"/>
      <c r="BU99" s="149"/>
      <c r="BV99" s="559"/>
      <c r="BW99" s="45"/>
      <c r="BX99" s="45"/>
      <c r="BY99" s="45"/>
      <c r="BZ99" s="69"/>
      <c r="CA99" s="69"/>
      <c r="CB99" s="69"/>
      <c r="CC99" s="69"/>
      <c r="CD99" s="69"/>
      <c r="CE99" s="22"/>
      <c r="CF99" s="22"/>
      <c r="CG99" s="22"/>
    </row>
    <row r="100" spans="1:85" ht="15.75" customHeight="1" x14ac:dyDescent="0.45">
      <c r="A100" s="22"/>
      <c r="B100" s="12"/>
      <c r="C100" s="12"/>
      <c r="D100" s="155"/>
      <c r="E100" s="144"/>
      <c r="F100" s="144"/>
      <c r="G100" s="12"/>
      <c r="H100" s="22"/>
      <c r="I100" s="22"/>
      <c r="J100" s="22"/>
      <c r="K100" s="145"/>
      <c r="L100" s="144"/>
      <c r="M100" s="144"/>
      <c r="N100" s="144"/>
      <c r="O100" s="145"/>
      <c r="P100" s="145"/>
      <c r="Q100" s="145"/>
      <c r="R100" s="145"/>
      <c r="S100" s="144"/>
      <c r="T100" s="145"/>
      <c r="U100" s="145"/>
      <c r="V100" s="145"/>
      <c r="W100" s="145"/>
      <c r="X100" s="53"/>
      <c r="Y100" s="74"/>
      <c r="Z100" s="145"/>
      <c r="AA100" s="145"/>
      <c r="AB100" s="145"/>
      <c r="AC100" s="146"/>
      <c r="AD100" s="145"/>
      <c r="AE100" s="145"/>
      <c r="AF100" s="145"/>
      <c r="AG100" s="145"/>
      <c r="AH100" s="146"/>
      <c r="AI100" s="145"/>
      <c r="AJ100" s="145"/>
      <c r="AK100" s="145"/>
      <c r="AL100" s="145"/>
      <c r="AM100" s="145"/>
      <c r="AN100" s="145"/>
      <c r="AO100" s="145"/>
      <c r="AP100" s="74"/>
      <c r="AQ100" s="74"/>
      <c r="AR100" s="74"/>
      <c r="AS100" s="523"/>
      <c r="AT100" s="523"/>
      <c r="AU100" s="523"/>
      <c r="AV100" s="555"/>
      <c r="AW100" s="12"/>
      <c r="AX100" s="12"/>
      <c r="AY100" s="152"/>
      <c r="AZ100" s="22"/>
      <c r="BA100" s="74"/>
      <c r="BB100" s="45"/>
      <c r="BC100" s="22"/>
      <c r="BD100" s="158"/>
      <c r="BE100" s="558"/>
      <c r="BF100" s="45"/>
      <c r="BG100" s="45"/>
      <c r="BH100" s="45"/>
      <c r="BI100" s="45"/>
      <c r="BJ100" s="45"/>
      <c r="BK100" s="45"/>
      <c r="BL100" s="45"/>
      <c r="BM100" s="158"/>
      <c r="BN100" s="558"/>
      <c r="BO100" s="45"/>
      <c r="BP100" s="45"/>
      <c r="BQ100" s="149"/>
      <c r="BR100" s="149"/>
      <c r="BS100" s="149"/>
      <c r="BT100" s="149"/>
      <c r="BU100" s="149"/>
      <c r="BV100" s="559"/>
      <c r="BW100" s="45"/>
      <c r="BX100" s="45"/>
      <c r="BY100" s="45"/>
      <c r="BZ100" s="69"/>
      <c r="CA100" s="69"/>
      <c r="CB100" s="69"/>
      <c r="CC100" s="69"/>
      <c r="CD100" s="69"/>
      <c r="CE100" s="22"/>
      <c r="CF100" s="22"/>
      <c r="CG100" s="22"/>
    </row>
    <row r="101" spans="1:85" ht="15.75" customHeight="1" x14ac:dyDescent="0.45">
      <c r="A101" s="22"/>
      <c r="B101" s="12"/>
      <c r="C101" s="12"/>
      <c r="D101" s="155"/>
      <c r="E101" s="144"/>
      <c r="F101" s="144"/>
      <c r="G101" s="12"/>
      <c r="H101" s="22"/>
      <c r="I101" s="22"/>
      <c r="J101" s="22"/>
      <c r="K101" s="145"/>
      <c r="L101" s="144"/>
      <c r="M101" s="144"/>
      <c r="N101" s="144"/>
      <c r="O101" s="145"/>
      <c r="P101" s="145"/>
      <c r="Q101" s="145"/>
      <c r="R101" s="145"/>
      <c r="S101" s="144"/>
      <c r="T101" s="145"/>
      <c r="U101" s="145"/>
      <c r="V101" s="145"/>
      <c r="W101" s="145"/>
      <c r="X101" s="53"/>
      <c r="Y101" s="74"/>
      <c r="Z101" s="145"/>
      <c r="AA101" s="145"/>
      <c r="AB101" s="145"/>
      <c r="AC101" s="146"/>
      <c r="AD101" s="145"/>
      <c r="AE101" s="145"/>
      <c r="AF101" s="145"/>
      <c r="AG101" s="145"/>
      <c r="AH101" s="146"/>
      <c r="AI101" s="145"/>
      <c r="AJ101" s="145"/>
      <c r="AK101" s="145"/>
      <c r="AL101" s="145"/>
      <c r="AM101" s="145"/>
      <c r="AN101" s="145"/>
      <c r="AO101" s="145"/>
      <c r="AP101" s="74"/>
      <c r="AQ101" s="74"/>
      <c r="AR101" s="74"/>
      <c r="AS101" s="523"/>
      <c r="AT101" s="523"/>
      <c r="AU101" s="523"/>
      <c r="AV101" s="555"/>
      <c r="AW101" s="12"/>
      <c r="AX101" s="12"/>
      <c r="AY101" s="152"/>
      <c r="AZ101" s="22"/>
      <c r="BA101" s="74"/>
      <c r="BB101" s="45"/>
      <c r="BC101" s="22"/>
      <c r="BD101" s="158"/>
      <c r="BE101" s="558"/>
      <c r="BF101" s="45"/>
      <c r="BG101" s="45"/>
      <c r="BH101" s="45"/>
      <c r="BI101" s="45"/>
      <c r="BJ101" s="45"/>
      <c r="BK101" s="45"/>
      <c r="BL101" s="45"/>
      <c r="BM101" s="158"/>
      <c r="BN101" s="558"/>
      <c r="BO101" s="45"/>
      <c r="BP101" s="45"/>
      <c r="BQ101" s="149"/>
      <c r="BR101" s="149"/>
      <c r="BS101" s="149"/>
      <c r="BT101" s="149"/>
      <c r="BU101" s="149"/>
      <c r="BV101" s="559"/>
      <c r="BW101" s="45"/>
      <c r="BX101" s="45"/>
      <c r="BY101" s="45"/>
      <c r="BZ101" s="69"/>
      <c r="CA101" s="69"/>
      <c r="CB101" s="69"/>
      <c r="CC101" s="69"/>
      <c r="CD101" s="69"/>
      <c r="CE101" s="22"/>
      <c r="CF101" s="22"/>
      <c r="CG101" s="22"/>
    </row>
    <row r="102" spans="1:85" ht="15.75" customHeight="1" x14ac:dyDescent="0.45">
      <c r="A102" s="22"/>
      <c r="B102" s="12"/>
      <c r="C102" s="12"/>
      <c r="D102" s="155"/>
      <c r="E102" s="144"/>
      <c r="F102" s="144"/>
      <c r="G102" s="12"/>
      <c r="H102" s="22"/>
      <c r="I102" s="22"/>
      <c r="J102" s="22"/>
      <c r="K102" s="145"/>
      <c r="L102" s="144"/>
      <c r="M102" s="144"/>
      <c r="N102" s="144"/>
      <c r="O102" s="145"/>
      <c r="P102" s="145"/>
      <c r="Q102" s="145"/>
      <c r="R102" s="145"/>
      <c r="S102" s="144"/>
      <c r="T102" s="145"/>
      <c r="U102" s="145"/>
      <c r="V102" s="145"/>
      <c r="W102" s="145"/>
      <c r="X102" s="53"/>
      <c r="Y102" s="74"/>
      <c r="Z102" s="145"/>
      <c r="AA102" s="145"/>
      <c r="AB102" s="145"/>
      <c r="AC102" s="146"/>
      <c r="AD102" s="145"/>
      <c r="AE102" s="145"/>
      <c r="AF102" s="145"/>
      <c r="AG102" s="145"/>
      <c r="AH102" s="146"/>
      <c r="AI102" s="145"/>
      <c r="AJ102" s="145"/>
      <c r="AK102" s="145"/>
      <c r="AL102" s="145"/>
      <c r="AM102" s="145"/>
      <c r="AN102" s="145"/>
      <c r="AO102" s="145"/>
      <c r="AP102" s="74"/>
      <c r="AQ102" s="74"/>
      <c r="AR102" s="74"/>
      <c r="AS102" s="523"/>
      <c r="AT102" s="523"/>
      <c r="AU102" s="523"/>
      <c r="AV102" s="555"/>
      <c r="AW102" s="12"/>
      <c r="AX102" s="12"/>
      <c r="AY102" s="152"/>
      <c r="AZ102" s="22"/>
      <c r="BA102" s="74"/>
      <c r="BB102" s="45"/>
      <c r="BC102" s="22"/>
      <c r="BD102" s="158"/>
      <c r="BE102" s="558"/>
      <c r="BF102" s="45"/>
      <c r="BG102" s="45"/>
      <c r="BH102" s="45"/>
      <c r="BI102" s="45"/>
      <c r="BJ102" s="45"/>
      <c r="BK102" s="45"/>
      <c r="BL102" s="45"/>
      <c r="BM102" s="158"/>
      <c r="BN102" s="558"/>
      <c r="BO102" s="45"/>
      <c r="BP102" s="45"/>
      <c r="BQ102" s="149"/>
      <c r="BR102" s="149"/>
      <c r="BS102" s="149"/>
      <c r="BT102" s="149"/>
      <c r="BU102" s="149"/>
      <c r="BV102" s="559"/>
      <c r="BW102" s="45"/>
      <c r="BX102" s="45"/>
      <c r="BY102" s="45"/>
      <c r="BZ102" s="69"/>
      <c r="CA102" s="69"/>
      <c r="CB102" s="69"/>
      <c r="CC102" s="69"/>
      <c r="CD102" s="69"/>
      <c r="CE102" s="22"/>
      <c r="CF102" s="22"/>
      <c r="CG102" s="22"/>
    </row>
    <row r="103" spans="1:85" ht="15.75" customHeight="1" x14ac:dyDescent="0.45">
      <c r="A103" s="22"/>
      <c r="B103" s="12"/>
      <c r="C103" s="12"/>
      <c r="D103" s="155"/>
      <c r="E103" s="144"/>
      <c r="F103" s="144"/>
      <c r="G103" s="12"/>
      <c r="H103" s="22"/>
      <c r="I103" s="22"/>
      <c r="J103" s="22"/>
      <c r="K103" s="145"/>
      <c r="L103" s="144"/>
      <c r="M103" s="144"/>
      <c r="N103" s="144"/>
      <c r="O103" s="145"/>
      <c r="P103" s="145"/>
      <c r="Q103" s="145"/>
      <c r="R103" s="145"/>
      <c r="S103" s="144"/>
      <c r="T103" s="145"/>
      <c r="U103" s="145"/>
      <c r="V103" s="145"/>
      <c r="W103" s="145"/>
      <c r="X103" s="53"/>
      <c r="Y103" s="74"/>
      <c r="Z103" s="145"/>
      <c r="AA103" s="145"/>
      <c r="AB103" s="145"/>
      <c r="AC103" s="146"/>
      <c r="AD103" s="145"/>
      <c r="AE103" s="145"/>
      <c r="AF103" s="145"/>
      <c r="AG103" s="145"/>
      <c r="AH103" s="146"/>
      <c r="AI103" s="145"/>
      <c r="AJ103" s="145"/>
      <c r="AK103" s="145"/>
      <c r="AL103" s="145"/>
      <c r="AM103" s="145"/>
      <c r="AN103" s="145"/>
      <c r="AO103" s="145"/>
      <c r="AP103" s="74"/>
      <c r="AQ103" s="74"/>
      <c r="AR103" s="74"/>
      <c r="AS103" s="523"/>
      <c r="AT103" s="523"/>
      <c r="AU103" s="523"/>
      <c r="AV103" s="555"/>
      <c r="AW103" s="12"/>
      <c r="AX103" s="12"/>
      <c r="AY103" s="152"/>
      <c r="AZ103" s="22"/>
      <c r="BA103" s="74"/>
      <c r="BB103" s="45"/>
      <c r="BC103" s="22"/>
      <c r="BD103" s="158"/>
      <c r="BE103" s="558"/>
      <c r="BF103" s="45"/>
      <c r="BG103" s="45"/>
      <c r="BH103" s="45"/>
      <c r="BI103" s="45"/>
      <c r="BJ103" s="45"/>
      <c r="BK103" s="45"/>
      <c r="BL103" s="45"/>
      <c r="BM103" s="158"/>
      <c r="BN103" s="558"/>
      <c r="BO103" s="45"/>
      <c r="BP103" s="45"/>
      <c r="BQ103" s="22"/>
      <c r="BR103" s="22"/>
      <c r="BS103" s="22"/>
      <c r="BT103" s="22"/>
      <c r="BU103" s="22"/>
      <c r="BV103" s="559"/>
      <c r="BW103" s="45"/>
      <c r="BX103" s="45"/>
      <c r="BY103" s="45"/>
      <c r="BZ103" s="69"/>
      <c r="CA103" s="69"/>
      <c r="CB103" s="69"/>
      <c r="CC103" s="69"/>
      <c r="CD103" s="69"/>
      <c r="CE103" s="22"/>
      <c r="CF103" s="22"/>
      <c r="CG103" s="22"/>
    </row>
    <row r="104" spans="1:85" ht="15.75" customHeight="1" x14ac:dyDescent="0.45">
      <c r="A104" s="22"/>
      <c r="B104" s="12"/>
      <c r="C104" s="12"/>
      <c r="D104" s="155"/>
      <c r="E104" s="144"/>
      <c r="F104" s="144"/>
      <c r="G104" s="12"/>
      <c r="H104" s="22"/>
      <c r="I104" s="22"/>
      <c r="J104" s="22"/>
      <c r="K104" s="145"/>
      <c r="L104" s="144"/>
      <c r="M104" s="144"/>
      <c r="N104" s="144"/>
      <c r="O104" s="145"/>
      <c r="P104" s="145"/>
      <c r="Q104" s="145"/>
      <c r="R104" s="145"/>
      <c r="S104" s="144"/>
      <c r="T104" s="145"/>
      <c r="U104" s="145"/>
      <c r="V104" s="145"/>
      <c r="W104" s="145"/>
      <c r="X104" s="53"/>
      <c r="Y104" s="74"/>
      <c r="Z104" s="145"/>
      <c r="AA104" s="145"/>
      <c r="AB104" s="145"/>
      <c r="AC104" s="146"/>
      <c r="AD104" s="145"/>
      <c r="AE104" s="145"/>
      <c r="AF104" s="145"/>
      <c r="AG104" s="145"/>
      <c r="AH104" s="146"/>
      <c r="AI104" s="145"/>
      <c r="AJ104" s="145"/>
      <c r="AK104" s="145"/>
      <c r="AL104" s="145"/>
      <c r="AM104" s="145"/>
      <c r="AN104" s="145"/>
      <c r="AO104" s="145"/>
      <c r="AP104" s="74"/>
      <c r="AQ104" s="74"/>
      <c r="AR104" s="74"/>
      <c r="AS104" s="523"/>
      <c r="AT104" s="523"/>
      <c r="AU104" s="523"/>
      <c r="AV104" s="555"/>
      <c r="AW104" s="12"/>
      <c r="AX104" s="12"/>
      <c r="AY104" s="152"/>
      <c r="AZ104" s="22"/>
      <c r="BA104" s="74"/>
      <c r="BB104" s="45"/>
      <c r="BC104" s="22"/>
      <c r="BD104" s="158"/>
      <c r="BE104" s="558"/>
      <c r="BF104" s="45"/>
      <c r="BG104" s="45"/>
      <c r="BH104" s="45"/>
      <c r="BI104" s="45"/>
      <c r="BJ104" s="45"/>
      <c r="BK104" s="45"/>
      <c r="BL104" s="45"/>
      <c r="BM104" s="158"/>
      <c r="BN104" s="558"/>
      <c r="BO104" s="45"/>
      <c r="BP104" s="45"/>
      <c r="BQ104" s="532"/>
      <c r="BR104" s="532"/>
      <c r="BS104" s="532"/>
      <c r="BT104" s="532"/>
      <c r="BU104" s="532"/>
      <c r="BV104" s="559"/>
      <c r="BW104" s="45"/>
      <c r="BX104" s="45"/>
      <c r="BY104" s="45"/>
      <c r="BZ104" s="69"/>
      <c r="CA104" s="69"/>
      <c r="CB104" s="69"/>
      <c r="CC104" s="69"/>
      <c r="CD104" s="69"/>
      <c r="CE104" s="22"/>
      <c r="CF104" s="22"/>
      <c r="CG104" s="22"/>
    </row>
    <row r="105" spans="1:85" ht="15.75" customHeight="1" x14ac:dyDescent="0.45">
      <c r="A105" s="22"/>
      <c r="B105" s="12"/>
      <c r="C105" s="12"/>
      <c r="D105" s="155"/>
      <c r="E105" s="144"/>
      <c r="F105" s="144"/>
      <c r="G105" s="12"/>
      <c r="H105" s="22"/>
      <c r="I105" s="22"/>
      <c r="J105" s="22"/>
      <c r="K105" s="145"/>
      <c r="L105" s="144"/>
      <c r="M105" s="144"/>
      <c r="N105" s="144"/>
      <c r="O105" s="145"/>
      <c r="P105" s="145"/>
      <c r="Q105" s="145"/>
      <c r="R105" s="145"/>
      <c r="S105" s="144"/>
      <c r="T105" s="145"/>
      <c r="U105" s="145"/>
      <c r="V105" s="145"/>
      <c r="W105" s="145"/>
      <c r="X105" s="53"/>
      <c r="Y105" s="74"/>
      <c r="Z105" s="145"/>
      <c r="AA105" s="145"/>
      <c r="AB105" s="145"/>
      <c r="AC105" s="146"/>
      <c r="AD105" s="145"/>
      <c r="AE105" s="145"/>
      <c r="AF105" s="145"/>
      <c r="AG105" s="145"/>
      <c r="AH105" s="146"/>
      <c r="AI105" s="145"/>
      <c r="AJ105" s="145"/>
      <c r="AK105" s="145"/>
      <c r="AL105" s="145"/>
      <c r="AM105" s="145"/>
      <c r="AN105" s="145"/>
      <c r="AO105" s="145"/>
      <c r="AP105" s="74"/>
      <c r="AQ105" s="74"/>
      <c r="AR105" s="74"/>
      <c r="AS105" s="523"/>
      <c r="AT105" s="523"/>
      <c r="AU105" s="523"/>
      <c r="AV105" s="555"/>
      <c r="AW105" s="12"/>
      <c r="AX105" s="12"/>
      <c r="AY105" s="152"/>
      <c r="AZ105" s="22"/>
      <c r="BA105" s="74"/>
      <c r="BB105" s="45"/>
      <c r="BC105" s="22"/>
      <c r="BD105" s="158"/>
      <c r="BE105" s="558"/>
      <c r="BF105" s="45"/>
      <c r="BG105" s="45"/>
      <c r="BH105" s="45"/>
      <c r="BI105" s="45"/>
      <c r="BJ105" s="45"/>
      <c r="BK105" s="45"/>
      <c r="BL105" s="45"/>
      <c r="BM105" s="158"/>
      <c r="BN105" s="558"/>
      <c r="BO105" s="45"/>
      <c r="BP105" s="45"/>
      <c r="BQ105" s="532"/>
      <c r="BR105" s="532"/>
      <c r="BS105" s="532"/>
      <c r="BT105" s="532"/>
      <c r="BU105" s="532"/>
      <c r="BV105" s="559"/>
      <c r="BW105" s="45"/>
      <c r="BX105" s="45"/>
      <c r="BY105" s="45"/>
      <c r="BZ105" s="69"/>
      <c r="CA105" s="69"/>
      <c r="CB105" s="69"/>
      <c r="CC105" s="69"/>
      <c r="CD105" s="69"/>
      <c r="CE105" s="22"/>
      <c r="CF105" s="22"/>
      <c r="CG105" s="22"/>
    </row>
    <row r="106" spans="1:85" ht="15.75" customHeight="1" x14ac:dyDescent="0.45">
      <c r="A106" s="22"/>
      <c r="B106" s="12"/>
      <c r="C106" s="12"/>
      <c r="D106" s="155"/>
      <c r="E106" s="144"/>
      <c r="F106" s="144"/>
      <c r="G106" s="12"/>
      <c r="H106" s="22"/>
      <c r="I106" s="22"/>
      <c r="J106" s="22"/>
      <c r="K106" s="145"/>
      <c r="L106" s="144"/>
      <c r="M106" s="144"/>
      <c r="N106" s="144"/>
      <c r="O106" s="145"/>
      <c r="P106" s="145"/>
      <c r="Q106" s="145"/>
      <c r="R106" s="145"/>
      <c r="S106" s="144"/>
      <c r="T106" s="145"/>
      <c r="U106" s="145"/>
      <c r="V106" s="145"/>
      <c r="W106" s="145"/>
      <c r="X106" s="53"/>
      <c r="Y106" s="74"/>
      <c r="Z106" s="145"/>
      <c r="AA106" s="145"/>
      <c r="AB106" s="145"/>
      <c r="AC106" s="146"/>
      <c r="AD106" s="145"/>
      <c r="AE106" s="145"/>
      <c r="AF106" s="145"/>
      <c r="AG106" s="145"/>
      <c r="AH106" s="146"/>
      <c r="AI106" s="145"/>
      <c r="AJ106" s="145"/>
      <c r="AK106" s="145"/>
      <c r="AL106" s="145"/>
      <c r="AM106" s="145"/>
      <c r="AN106" s="145"/>
      <c r="AO106" s="145"/>
      <c r="AP106" s="74"/>
      <c r="AQ106" s="74"/>
      <c r="AR106" s="74"/>
      <c r="AS106" s="523"/>
      <c r="AT106" s="523"/>
      <c r="AU106" s="523"/>
      <c r="AV106" s="555"/>
      <c r="AW106" s="12"/>
      <c r="AX106" s="12"/>
      <c r="AY106" s="152"/>
      <c r="AZ106" s="22"/>
      <c r="BA106" s="74"/>
      <c r="BB106" s="45"/>
      <c r="BC106" s="22"/>
      <c r="BD106" s="158"/>
      <c r="BE106" s="558"/>
      <c r="BF106" s="45"/>
      <c r="BG106" s="45"/>
      <c r="BH106" s="45"/>
      <c r="BI106" s="45"/>
      <c r="BJ106" s="45"/>
      <c r="BK106" s="45"/>
      <c r="BL106" s="45"/>
      <c r="BM106" s="158"/>
      <c r="BN106" s="558"/>
      <c r="BO106" s="45"/>
      <c r="BP106" s="45"/>
      <c r="BQ106" s="532"/>
      <c r="BR106" s="532"/>
      <c r="BS106" s="532"/>
      <c r="BT106" s="532"/>
      <c r="BU106" s="532"/>
      <c r="BV106" s="559"/>
      <c r="BW106" s="45"/>
      <c r="BX106" s="45"/>
      <c r="BY106" s="45"/>
      <c r="BZ106" s="69"/>
      <c r="CA106" s="69"/>
      <c r="CB106" s="69"/>
      <c r="CC106" s="69"/>
      <c r="CD106" s="69"/>
      <c r="CE106" s="22"/>
      <c r="CF106" s="22"/>
      <c r="CG106" s="22"/>
    </row>
    <row r="107" spans="1:85" ht="15.75" customHeight="1" x14ac:dyDescent="0.45">
      <c r="A107" s="22"/>
      <c r="B107" s="12"/>
      <c r="C107" s="12"/>
      <c r="D107" s="155"/>
      <c r="E107" s="144"/>
      <c r="F107" s="144"/>
      <c r="G107" s="12"/>
      <c r="H107" s="22"/>
      <c r="I107" s="22"/>
      <c r="J107" s="22"/>
      <c r="K107" s="145"/>
      <c r="L107" s="144"/>
      <c r="M107" s="144"/>
      <c r="N107" s="144"/>
      <c r="O107" s="145"/>
      <c r="P107" s="145"/>
      <c r="Q107" s="145"/>
      <c r="R107" s="145"/>
      <c r="S107" s="144"/>
      <c r="T107" s="145"/>
      <c r="U107" s="145"/>
      <c r="V107" s="145"/>
      <c r="W107" s="145"/>
      <c r="X107" s="53"/>
      <c r="Y107" s="74"/>
      <c r="Z107" s="145"/>
      <c r="AA107" s="145"/>
      <c r="AB107" s="145"/>
      <c r="AC107" s="146"/>
      <c r="AD107" s="145"/>
      <c r="AE107" s="145"/>
      <c r="AF107" s="145"/>
      <c r="AG107" s="145"/>
      <c r="AH107" s="146"/>
      <c r="AI107" s="145"/>
      <c r="AJ107" s="145"/>
      <c r="AK107" s="145"/>
      <c r="AL107" s="145"/>
      <c r="AM107" s="145"/>
      <c r="AN107" s="145"/>
      <c r="AO107" s="145"/>
      <c r="AP107" s="74"/>
      <c r="AQ107" s="74"/>
      <c r="AR107" s="74"/>
      <c r="AS107" s="523"/>
      <c r="AT107" s="523"/>
      <c r="AU107" s="523"/>
      <c r="AV107" s="555"/>
      <c r="AW107" s="12"/>
      <c r="AX107" s="12"/>
      <c r="AY107" s="152"/>
      <c r="AZ107" s="22"/>
      <c r="BA107" s="74"/>
      <c r="BB107" s="45"/>
      <c r="BC107" s="22"/>
      <c r="BD107" s="158"/>
      <c r="BE107" s="558"/>
      <c r="BF107" s="45"/>
      <c r="BG107" s="45"/>
      <c r="BH107" s="45"/>
      <c r="BI107" s="45"/>
      <c r="BJ107" s="45"/>
      <c r="BK107" s="45"/>
      <c r="BL107" s="45"/>
      <c r="BM107" s="158"/>
      <c r="BN107" s="558"/>
      <c r="BO107" s="45"/>
      <c r="BP107" s="45"/>
      <c r="BQ107" s="532"/>
      <c r="BR107" s="532"/>
      <c r="BS107" s="532"/>
      <c r="BT107" s="532"/>
      <c r="BU107" s="532"/>
      <c r="BV107" s="559"/>
      <c r="BW107" s="45"/>
      <c r="BX107" s="45"/>
      <c r="BY107" s="45"/>
      <c r="BZ107" s="69"/>
      <c r="CA107" s="69"/>
      <c r="CB107" s="69"/>
      <c r="CC107" s="69"/>
      <c r="CD107" s="69"/>
      <c r="CE107" s="22"/>
      <c r="CF107" s="22"/>
      <c r="CG107" s="22"/>
    </row>
    <row r="108" spans="1:85" ht="15.75" customHeight="1" x14ac:dyDescent="0.45">
      <c r="A108" s="22"/>
      <c r="B108" s="12"/>
      <c r="C108" s="12"/>
      <c r="D108" s="155"/>
      <c r="E108" s="144"/>
      <c r="F108" s="144"/>
      <c r="G108" s="12"/>
      <c r="H108" s="22"/>
      <c r="I108" s="22"/>
      <c r="J108" s="22"/>
      <c r="K108" s="145"/>
      <c r="L108" s="144"/>
      <c r="M108" s="144"/>
      <c r="N108" s="144"/>
      <c r="O108" s="145"/>
      <c r="P108" s="145"/>
      <c r="Q108" s="145"/>
      <c r="R108" s="145"/>
      <c r="S108" s="144"/>
      <c r="T108" s="145"/>
      <c r="U108" s="145"/>
      <c r="V108" s="145"/>
      <c r="W108" s="145"/>
      <c r="X108" s="53"/>
      <c r="Y108" s="74"/>
      <c r="Z108" s="145"/>
      <c r="AA108" s="145"/>
      <c r="AB108" s="145"/>
      <c r="AC108" s="146"/>
      <c r="AD108" s="145"/>
      <c r="AE108" s="145"/>
      <c r="AF108" s="145"/>
      <c r="AG108" s="145"/>
      <c r="AH108" s="146"/>
      <c r="AI108" s="145"/>
      <c r="AJ108" s="145"/>
      <c r="AK108" s="145"/>
      <c r="AL108" s="145"/>
      <c r="AM108" s="145"/>
      <c r="AN108" s="145"/>
      <c r="AO108" s="145"/>
      <c r="AP108" s="74"/>
      <c r="AQ108" s="74"/>
      <c r="AR108" s="74"/>
      <c r="AS108" s="523"/>
      <c r="AT108" s="523"/>
      <c r="AU108" s="523"/>
      <c r="AV108" s="555"/>
      <c r="AW108" s="12"/>
      <c r="AX108" s="12"/>
      <c r="AY108" s="152"/>
      <c r="AZ108" s="22"/>
      <c r="BA108" s="74"/>
      <c r="BB108" s="45"/>
      <c r="BC108" s="22"/>
      <c r="BD108" s="158"/>
      <c r="BE108" s="558"/>
      <c r="BF108" s="45"/>
      <c r="BG108" s="45"/>
      <c r="BH108" s="45"/>
      <c r="BI108" s="45"/>
      <c r="BJ108" s="45"/>
      <c r="BK108" s="45"/>
      <c r="BL108" s="45"/>
      <c r="BM108" s="158"/>
      <c r="BN108" s="558"/>
      <c r="BO108" s="45"/>
      <c r="BP108" s="45"/>
      <c r="BQ108" s="149"/>
      <c r="BR108" s="149"/>
      <c r="BS108" s="149"/>
      <c r="BT108" s="149"/>
      <c r="BU108" s="149"/>
      <c r="BV108" s="559"/>
      <c r="BW108" s="45"/>
      <c r="BX108" s="45"/>
      <c r="BY108" s="45"/>
      <c r="BZ108" s="69"/>
      <c r="CA108" s="69"/>
      <c r="CB108" s="69"/>
      <c r="CC108" s="69"/>
      <c r="CD108" s="69"/>
      <c r="CE108" s="22"/>
      <c r="CF108" s="22"/>
      <c r="CG108" s="22"/>
    </row>
    <row r="109" spans="1:85" ht="15.75" customHeight="1" x14ac:dyDescent="0.45">
      <c r="A109" s="22"/>
      <c r="B109" s="12"/>
      <c r="C109" s="12"/>
      <c r="D109" s="155"/>
      <c r="E109" s="144"/>
      <c r="F109" s="144"/>
      <c r="G109" s="12"/>
      <c r="H109" s="22"/>
      <c r="I109" s="22"/>
      <c r="J109" s="22"/>
      <c r="K109" s="145"/>
      <c r="L109" s="144"/>
      <c r="M109" s="144"/>
      <c r="N109" s="144"/>
      <c r="O109" s="145"/>
      <c r="P109" s="145"/>
      <c r="Q109" s="145"/>
      <c r="R109" s="145"/>
      <c r="S109" s="144"/>
      <c r="T109" s="145"/>
      <c r="U109" s="145"/>
      <c r="V109" s="145"/>
      <c r="W109" s="145"/>
      <c r="X109" s="53"/>
      <c r="Y109" s="74"/>
      <c r="Z109" s="145"/>
      <c r="AA109" s="145"/>
      <c r="AB109" s="145"/>
      <c r="AC109" s="146"/>
      <c r="AD109" s="145"/>
      <c r="AE109" s="145"/>
      <c r="AF109" s="145"/>
      <c r="AG109" s="145"/>
      <c r="AH109" s="146"/>
      <c r="AI109" s="145"/>
      <c r="AJ109" s="145"/>
      <c r="AK109" s="145"/>
      <c r="AL109" s="145"/>
      <c r="AM109" s="145"/>
      <c r="AN109" s="145"/>
      <c r="AO109" s="145"/>
      <c r="AP109" s="74"/>
      <c r="AQ109" s="74"/>
      <c r="AR109" s="74"/>
      <c r="AS109" s="523"/>
      <c r="AT109" s="523"/>
      <c r="AU109" s="523"/>
      <c r="AV109" s="555"/>
      <c r="AW109" s="12"/>
      <c r="AX109" s="12"/>
      <c r="AY109" s="152"/>
      <c r="AZ109" s="22"/>
      <c r="BA109" s="74"/>
      <c r="BB109" s="45"/>
      <c r="BC109" s="22"/>
      <c r="BD109" s="158"/>
      <c r="BE109" s="558"/>
      <c r="BF109" s="45"/>
      <c r="BG109" s="45"/>
      <c r="BH109" s="45"/>
      <c r="BI109" s="45"/>
      <c r="BJ109" s="45"/>
      <c r="BK109" s="45"/>
      <c r="BL109" s="45"/>
      <c r="BM109" s="158"/>
      <c r="BN109" s="558"/>
      <c r="BO109" s="45"/>
      <c r="BP109" s="45"/>
      <c r="BQ109" s="149"/>
      <c r="BR109" s="149"/>
      <c r="BS109" s="149"/>
      <c r="BT109" s="149"/>
      <c r="BU109" s="149"/>
      <c r="BV109" s="559"/>
      <c r="BW109" s="45"/>
      <c r="BX109" s="45"/>
      <c r="BY109" s="45"/>
      <c r="BZ109" s="69"/>
      <c r="CA109" s="69"/>
      <c r="CB109" s="69"/>
      <c r="CC109" s="69"/>
      <c r="CD109" s="69"/>
      <c r="CE109" s="22"/>
      <c r="CF109" s="22"/>
      <c r="CG109" s="22"/>
    </row>
    <row r="110" spans="1:85" ht="15.75" customHeight="1" x14ac:dyDescent="0.45">
      <c r="A110" s="22"/>
      <c r="B110" s="12"/>
      <c r="C110" s="12"/>
      <c r="D110" s="155"/>
      <c r="E110" s="144"/>
      <c r="F110" s="144"/>
      <c r="G110" s="12"/>
      <c r="H110" s="22"/>
      <c r="I110" s="22"/>
      <c r="J110" s="22"/>
      <c r="K110" s="145"/>
      <c r="L110" s="144"/>
      <c r="M110" s="144"/>
      <c r="N110" s="144"/>
      <c r="O110" s="145"/>
      <c r="P110" s="145"/>
      <c r="Q110" s="145"/>
      <c r="R110" s="145"/>
      <c r="S110" s="144"/>
      <c r="T110" s="145"/>
      <c r="U110" s="145"/>
      <c r="V110" s="145"/>
      <c r="W110" s="145"/>
      <c r="X110" s="53"/>
      <c r="Y110" s="74"/>
      <c r="Z110" s="145"/>
      <c r="AA110" s="145"/>
      <c r="AB110" s="145"/>
      <c r="AC110" s="146"/>
      <c r="AD110" s="145"/>
      <c r="AE110" s="145"/>
      <c r="AF110" s="145"/>
      <c r="AG110" s="145"/>
      <c r="AH110" s="146"/>
      <c r="AI110" s="145"/>
      <c r="AJ110" s="145"/>
      <c r="AK110" s="145"/>
      <c r="AL110" s="145"/>
      <c r="AM110" s="145"/>
      <c r="AN110" s="145"/>
      <c r="AO110" s="145"/>
      <c r="AP110" s="74"/>
      <c r="AQ110" s="74"/>
      <c r="AR110" s="74"/>
      <c r="AS110" s="523"/>
      <c r="AT110" s="523"/>
      <c r="AU110" s="523"/>
      <c r="AV110" s="555"/>
      <c r="AW110" s="12"/>
      <c r="AX110" s="12"/>
      <c r="AY110" s="152"/>
      <c r="AZ110" s="22"/>
      <c r="BA110" s="74"/>
      <c r="BB110" s="45"/>
      <c r="BC110" s="22"/>
      <c r="BD110" s="158"/>
      <c r="BE110" s="558"/>
      <c r="BF110" s="45"/>
      <c r="BG110" s="45"/>
      <c r="BH110" s="45"/>
      <c r="BI110" s="45"/>
      <c r="BJ110" s="45"/>
      <c r="BK110" s="45"/>
      <c r="BL110" s="45"/>
      <c r="BM110" s="158"/>
      <c r="BN110" s="558"/>
      <c r="BO110" s="45"/>
      <c r="BP110" s="45"/>
      <c r="BQ110" s="149"/>
      <c r="BR110" s="149"/>
      <c r="BS110" s="149"/>
      <c r="BT110" s="149"/>
      <c r="BU110" s="149"/>
      <c r="BV110" s="559"/>
      <c r="BW110" s="45"/>
      <c r="BX110" s="45"/>
      <c r="BY110" s="45"/>
      <c r="BZ110" s="69"/>
      <c r="CA110" s="69"/>
      <c r="CB110" s="69"/>
      <c r="CC110" s="69"/>
      <c r="CD110" s="69"/>
      <c r="CE110" s="22"/>
      <c r="CF110" s="22"/>
      <c r="CG110" s="22"/>
    </row>
    <row r="111" spans="1:85" ht="15.75" customHeight="1" x14ac:dyDescent="0.45">
      <c r="A111" s="22"/>
      <c r="B111" s="12"/>
      <c r="C111" s="12"/>
      <c r="D111" s="155"/>
      <c r="E111" s="144"/>
      <c r="F111" s="144"/>
      <c r="G111" s="12"/>
      <c r="H111" s="22"/>
      <c r="I111" s="22"/>
      <c r="J111" s="22"/>
      <c r="K111" s="145"/>
      <c r="L111" s="144"/>
      <c r="M111" s="144"/>
      <c r="N111" s="144"/>
      <c r="O111" s="145"/>
      <c r="P111" s="145"/>
      <c r="Q111" s="145"/>
      <c r="R111" s="145"/>
      <c r="S111" s="144"/>
      <c r="T111" s="145"/>
      <c r="U111" s="145"/>
      <c r="V111" s="145"/>
      <c r="W111" s="145"/>
      <c r="X111" s="53"/>
      <c r="Y111" s="74"/>
      <c r="Z111" s="145"/>
      <c r="AA111" s="145"/>
      <c r="AB111" s="145"/>
      <c r="AC111" s="146"/>
      <c r="AD111" s="145"/>
      <c r="AE111" s="145"/>
      <c r="AF111" s="145"/>
      <c r="AG111" s="145"/>
      <c r="AH111" s="146"/>
      <c r="AI111" s="145"/>
      <c r="AJ111" s="145"/>
      <c r="AK111" s="145"/>
      <c r="AL111" s="145"/>
      <c r="AM111" s="145"/>
      <c r="AN111" s="145"/>
      <c r="AO111" s="145"/>
      <c r="AP111" s="74"/>
      <c r="AQ111" s="74"/>
      <c r="AR111" s="74"/>
      <c r="AS111" s="523"/>
      <c r="AT111" s="523"/>
      <c r="AU111" s="523"/>
      <c r="AV111" s="555"/>
      <c r="AW111" s="12"/>
      <c r="AX111" s="12"/>
      <c r="AY111" s="152"/>
      <c r="AZ111" s="22"/>
      <c r="BA111" s="74"/>
      <c r="BB111" s="45"/>
      <c r="BC111" s="22"/>
      <c r="BD111" s="158"/>
      <c r="BE111" s="558"/>
      <c r="BF111" s="45"/>
      <c r="BG111" s="45"/>
      <c r="BH111" s="45"/>
      <c r="BI111" s="45"/>
      <c r="BJ111" s="45"/>
      <c r="BK111" s="45"/>
      <c r="BL111" s="45"/>
      <c r="BM111" s="158"/>
      <c r="BN111" s="558"/>
      <c r="BO111" s="45"/>
      <c r="BP111" s="45"/>
      <c r="BQ111" s="149"/>
      <c r="BR111" s="149"/>
      <c r="BS111" s="149"/>
      <c r="BT111" s="149"/>
      <c r="BU111" s="149"/>
      <c r="BV111" s="559"/>
      <c r="BW111" s="45"/>
      <c r="BX111" s="45"/>
      <c r="BY111" s="45"/>
      <c r="BZ111" s="69"/>
      <c r="CA111" s="69"/>
      <c r="CB111" s="69"/>
      <c r="CC111" s="69"/>
      <c r="CD111" s="69"/>
      <c r="CE111" s="22"/>
      <c r="CF111" s="22"/>
      <c r="CG111" s="22"/>
    </row>
    <row r="112" spans="1:85" ht="15.75" customHeight="1" x14ac:dyDescent="0.45">
      <c r="A112" s="22"/>
      <c r="B112" s="12"/>
      <c r="C112" s="12"/>
      <c r="D112" s="155"/>
      <c r="E112" s="144"/>
      <c r="F112" s="144"/>
      <c r="G112" s="12"/>
      <c r="H112" s="22"/>
      <c r="I112" s="22"/>
      <c r="J112" s="22"/>
      <c r="K112" s="145"/>
      <c r="L112" s="144"/>
      <c r="M112" s="144"/>
      <c r="N112" s="144"/>
      <c r="O112" s="145"/>
      <c r="P112" s="145"/>
      <c r="Q112" s="145"/>
      <c r="R112" s="145"/>
      <c r="S112" s="144"/>
      <c r="T112" s="145"/>
      <c r="U112" s="145"/>
      <c r="V112" s="145"/>
      <c r="W112" s="145"/>
      <c r="X112" s="53"/>
      <c r="Y112" s="74"/>
      <c r="Z112" s="145"/>
      <c r="AA112" s="145"/>
      <c r="AB112" s="145"/>
      <c r="AC112" s="146"/>
      <c r="AD112" s="145"/>
      <c r="AE112" s="145"/>
      <c r="AF112" s="145"/>
      <c r="AG112" s="145"/>
      <c r="AH112" s="146"/>
      <c r="AI112" s="145"/>
      <c r="AJ112" s="145"/>
      <c r="AK112" s="145"/>
      <c r="AL112" s="145"/>
      <c r="AM112" s="145"/>
      <c r="AN112" s="145"/>
      <c r="AO112" s="145"/>
      <c r="AP112" s="74"/>
      <c r="AQ112" s="74"/>
      <c r="AR112" s="74"/>
      <c r="AS112" s="523"/>
      <c r="AT112" s="523"/>
      <c r="AU112" s="523"/>
      <c r="AV112" s="555"/>
      <c r="AW112" s="12"/>
      <c r="AX112" s="12"/>
      <c r="AY112" s="152"/>
      <c r="AZ112" s="22"/>
      <c r="BA112" s="74"/>
      <c r="BB112" s="45"/>
      <c r="BC112" s="22"/>
      <c r="BD112" s="158"/>
      <c r="BE112" s="558"/>
      <c r="BF112" s="45"/>
      <c r="BG112" s="45"/>
      <c r="BH112" s="45"/>
      <c r="BI112" s="45"/>
      <c r="BJ112" s="45"/>
      <c r="BK112" s="45"/>
      <c r="BL112" s="45"/>
      <c r="BM112" s="158"/>
      <c r="BN112" s="558"/>
      <c r="BO112" s="45"/>
      <c r="BP112" s="45"/>
      <c r="BQ112" s="149"/>
      <c r="BR112" s="149"/>
      <c r="BS112" s="149"/>
      <c r="BT112" s="149"/>
      <c r="BU112" s="149"/>
      <c r="BV112" s="559"/>
      <c r="BW112" s="45"/>
      <c r="BX112" s="45"/>
      <c r="BY112" s="45"/>
      <c r="BZ112" s="69"/>
      <c r="CA112" s="69"/>
      <c r="CB112" s="69"/>
      <c r="CC112" s="69"/>
      <c r="CD112" s="69"/>
      <c r="CE112" s="22"/>
      <c r="CF112" s="22"/>
      <c r="CG112" s="22"/>
    </row>
    <row r="113" spans="1:85" ht="15.75" customHeight="1" x14ac:dyDescent="0.45">
      <c r="A113" s="22"/>
      <c r="B113" s="12"/>
      <c r="C113" s="12"/>
      <c r="D113" s="155"/>
      <c r="E113" s="144"/>
      <c r="F113" s="144"/>
      <c r="G113" s="12"/>
      <c r="H113" s="22"/>
      <c r="I113" s="22"/>
      <c r="J113" s="22"/>
      <c r="K113" s="145"/>
      <c r="L113" s="144"/>
      <c r="M113" s="144"/>
      <c r="N113" s="144"/>
      <c r="O113" s="145"/>
      <c r="P113" s="145"/>
      <c r="Q113" s="145"/>
      <c r="R113" s="145"/>
      <c r="S113" s="144"/>
      <c r="T113" s="145"/>
      <c r="U113" s="145"/>
      <c r="V113" s="145"/>
      <c r="W113" s="145"/>
      <c r="X113" s="53"/>
      <c r="Y113" s="74"/>
      <c r="Z113" s="145"/>
      <c r="AA113" s="145"/>
      <c r="AB113" s="145"/>
      <c r="AC113" s="146"/>
      <c r="AD113" s="145"/>
      <c r="AE113" s="145"/>
      <c r="AF113" s="145"/>
      <c r="AG113" s="145"/>
      <c r="AH113" s="146"/>
      <c r="AI113" s="145"/>
      <c r="AJ113" s="145"/>
      <c r="AK113" s="145"/>
      <c r="AL113" s="145"/>
      <c r="AM113" s="145"/>
      <c r="AN113" s="145"/>
      <c r="AO113" s="145"/>
      <c r="AP113" s="74"/>
      <c r="AQ113" s="74"/>
      <c r="AR113" s="74"/>
      <c r="AS113" s="523"/>
      <c r="AT113" s="523"/>
      <c r="AU113" s="523"/>
      <c r="AV113" s="555"/>
      <c r="AW113" s="12"/>
      <c r="AX113" s="12"/>
      <c r="AY113" s="152"/>
      <c r="AZ113" s="22"/>
      <c r="BA113" s="74"/>
      <c r="BB113" s="45"/>
      <c r="BC113" s="22"/>
      <c r="BD113" s="158"/>
      <c r="BE113" s="558"/>
      <c r="BF113" s="45"/>
      <c r="BG113" s="45"/>
      <c r="BH113" s="45"/>
      <c r="BI113" s="45"/>
      <c r="BJ113" s="45"/>
      <c r="BK113" s="45"/>
      <c r="BL113" s="45"/>
      <c r="BM113" s="158"/>
      <c r="BN113" s="558"/>
      <c r="BO113" s="45"/>
      <c r="BP113" s="45"/>
      <c r="BQ113" s="149"/>
      <c r="BR113" s="149"/>
      <c r="BS113" s="149"/>
      <c r="BT113" s="149"/>
      <c r="BU113" s="149"/>
      <c r="BV113" s="559"/>
      <c r="BW113" s="45"/>
      <c r="BX113" s="45"/>
      <c r="BY113" s="45"/>
      <c r="BZ113" s="69"/>
      <c r="CA113" s="69"/>
      <c r="CB113" s="69"/>
      <c r="CC113" s="69"/>
      <c r="CD113" s="69"/>
      <c r="CE113" s="22"/>
      <c r="CF113" s="22"/>
      <c r="CG113" s="22"/>
    </row>
    <row r="114" spans="1:85" ht="15.75" customHeight="1" x14ac:dyDescent="0.45">
      <c r="A114" s="22"/>
      <c r="B114" s="12"/>
      <c r="C114" s="12"/>
      <c r="D114" s="155"/>
      <c r="E114" s="144"/>
      <c r="F114" s="144"/>
      <c r="G114" s="12"/>
      <c r="H114" s="22"/>
      <c r="I114" s="22"/>
      <c r="J114" s="22"/>
      <c r="K114" s="145"/>
      <c r="L114" s="144"/>
      <c r="M114" s="144"/>
      <c r="N114" s="144"/>
      <c r="O114" s="145"/>
      <c r="P114" s="145"/>
      <c r="Q114" s="145"/>
      <c r="R114" s="145"/>
      <c r="S114" s="144"/>
      <c r="T114" s="145"/>
      <c r="U114" s="145"/>
      <c r="V114" s="145"/>
      <c r="W114" s="145"/>
      <c r="X114" s="53"/>
      <c r="Y114" s="74"/>
      <c r="Z114" s="145"/>
      <c r="AA114" s="145"/>
      <c r="AB114" s="145"/>
      <c r="AC114" s="146"/>
      <c r="AD114" s="145"/>
      <c r="AE114" s="145"/>
      <c r="AF114" s="145"/>
      <c r="AG114" s="145"/>
      <c r="AH114" s="146"/>
      <c r="AI114" s="145"/>
      <c r="AJ114" s="145"/>
      <c r="AK114" s="145"/>
      <c r="AL114" s="145"/>
      <c r="AM114" s="145"/>
      <c r="AN114" s="145"/>
      <c r="AO114" s="145"/>
      <c r="AP114" s="74"/>
      <c r="AQ114" s="74"/>
      <c r="AR114" s="74"/>
      <c r="AS114" s="523"/>
      <c r="AT114" s="523"/>
      <c r="AU114" s="523"/>
      <c r="AV114" s="555"/>
      <c r="AW114" s="12"/>
      <c r="AX114" s="12"/>
      <c r="AY114" s="152"/>
      <c r="AZ114" s="22"/>
      <c r="BA114" s="74"/>
      <c r="BB114" s="45"/>
      <c r="BC114" s="22"/>
      <c r="BD114" s="158"/>
      <c r="BE114" s="558"/>
      <c r="BF114" s="45"/>
      <c r="BG114" s="45"/>
      <c r="BH114" s="45"/>
      <c r="BI114" s="45"/>
      <c r="BJ114" s="45"/>
      <c r="BK114" s="45"/>
      <c r="BL114" s="45"/>
      <c r="BM114" s="158"/>
      <c r="BN114" s="558"/>
      <c r="BO114" s="45"/>
      <c r="BP114" s="45"/>
      <c r="BQ114" s="149"/>
      <c r="BR114" s="149"/>
      <c r="BS114" s="149"/>
      <c r="BT114" s="149"/>
      <c r="BU114" s="149"/>
      <c r="BV114" s="559"/>
      <c r="BW114" s="45"/>
      <c r="BX114" s="45"/>
      <c r="BY114" s="45"/>
      <c r="BZ114" s="69"/>
      <c r="CA114" s="69"/>
      <c r="CB114" s="69"/>
      <c r="CC114" s="69"/>
      <c r="CD114" s="69"/>
      <c r="CE114" s="22"/>
      <c r="CF114" s="22"/>
      <c r="CG114" s="22"/>
    </row>
    <row r="115" spans="1:85" ht="15.75" customHeight="1" x14ac:dyDescent="0.45">
      <c r="A115" s="22"/>
      <c r="B115" s="12"/>
      <c r="C115" s="12"/>
      <c r="D115" s="155"/>
      <c r="E115" s="144"/>
      <c r="F115" s="144"/>
      <c r="G115" s="12"/>
      <c r="H115" s="22"/>
      <c r="I115" s="22"/>
      <c r="J115" s="22"/>
      <c r="K115" s="145"/>
      <c r="L115" s="144"/>
      <c r="M115" s="144"/>
      <c r="N115" s="144"/>
      <c r="O115" s="145"/>
      <c r="P115" s="145"/>
      <c r="Q115" s="145"/>
      <c r="R115" s="145"/>
      <c r="S115" s="144"/>
      <c r="T115" s="145"/>
      <c r="U115" s="145"/>
      <c r="V115" s="145"/>
      <c r="W115" s="145"/>
      <c r="X115" s="53"/>
      <c r="Y115" s="74"/>
      <c r="Z115" s="145"/>
      <c r="AA115" s="145"/>
      <c r="AB115" s="145"/>
      <c r="AC115" s="146"/>
      <c r="AD115" s="145"/>
      <c r="AE115" s="145"/>
      <c r="AF115" s="145"/>
      <c r="AG115" s="145"/>
      <c r="AH115" s="146"/>
      <c r="AI115" s="145"/>
      <c r="AJ115" s="145"/>
      <c r="AK115" s="145"/>
      <c r="AL115" s="145"/>
      <c r="AM115" s="145"/>
      <c r="AN115" s="145"/>
      <c r="AO115" s="145"/>
      <c r="AP115" s="74"/>
      <c r="AQ115" s="74"/>
      <c r="AR115" s="74"/>
      <c r="AS115" s="523"/>
      <c r="AT115" s="523"/>
      <c r="AU115" s="523"/>
      <c r="AV115" s="555"/>
      <c r="AW115" s="12"/>
      <c r="AX115" s="12"/>
      <c r="AY115" s="152"/>
      <c r="AZ115" s="22"/>
      <c r="BA115" s="74"/>
      <c r="BB115" s="45"/>
      <c r="BC115" s="22"/>
      <c r="BD115" s="158"/>
      <c r="BE115" s="558"/>
      <c r="BF115" s="45"/>
      <c r="BG115" s="45"/>
      <c r="BH115" s="45"/>
      <c r="BI115" s="45"/>
      <c r="BJ115" s="45"/>
      <c r="BK115" s="45"/>
      <c r="BL115" s="45"/>
      <c r="BM115" s="158"/>
      <c r="BN115" s="558"/>
      <c r="BO115" s="45"/>
      <c r="BP115" s="45"/>
      <c r="BQ115" s="149"/>
      <c r="BR115" s="149"/>
      <c r="BS115" s="149"/>
      <c r="BT115" s="149"/>
      <c r="BU115" s="149"/>
      <c r="BV115" s="559"/>
      <c r="BW115" s="45"/>
      <c r="BX115" s="45"/>
      <c r="BY115" s="45"/>
      <c r="BZ115" s="69"/>
      <c r="CA115" s="69"/>
      <c r="CB115" s="69"/>
      <c r="CC115" s="69"/>
      <c r="CD115" s="69"/>
      <c r="CE115" s="22"/>
      <c r="CF115" s="22"/>
      <c r="CG115" s="22"/>
    </row>
    <row r="116" spans="1:85" ht="15.75" customHeight="1" x14ac:dyDescent="0.45">
      <c r="A116" s="22"/>
      <c r="B116" s="12"/>
      <c r="C116" s="12"/>
      <c r="D116" s="155"/>
      <c r="E116" s="144"/>
      <c r="F116" s="144"/>
      <c r="G116" s="12"/>
      <c r="H116" s="22"/>
      <c r="I116" s="22"/>
      <c r="J116" s="22"/>
      <c r="K116" s="145"/>
      <c r="L116" s="144"/>
      <c r="M116" s="144"/>
      <c r="N116" s="144"/>
      <c r="O116" s="145"/>
      <c r="P116" s="145"/>
      <c r="Q116" s="145"/>
      <c r="R116" s="145"/>
      <c r="S116" s="144"/>
      <c r="T116" s="145"/>
      <c r="U116" s="145"/>
      <c r="V116" s="145"/>
      <c r="W116" s="145"/>
      <c r="X116" s="53"/>
      <c r="Y116" s="74"/>
      <c r="Z116" s="145"/>
      <c r="AA116" s="145"/>
      <c r="AB116" s="145"/>
      <c r="AC116" s="146"/>
      <c r="AD116" s="145"/>
      <c r="AE116" s="145"/>
      <c r="AF116" s="145"/>
      <c r="AG116" s="145"/>
      <c r="AH116" s="146"/>
      <c r="AI116" s="145"/>
      <c r="AJ116" s="145"/>
      <c r="AK116" s="145"/>
      <c r="AL116" s="145"/>
      <c r="AM116" s="145"/>
      <c r="AN116" s="145"/>
      <c r="AO116" s="145"/>
      <c r="AP116" s="74"/>
      <c r="AQ116" s="74"/>
      <c r="AR116" s="74"/>
      <c r="AS116" s="523"/>
      <c r="AT116" s="523"/>
      <c r="AU116" s="523"/>
      <c r="AV116" s="555"/>
      <c r="AW116" s="12"/>
      <c r="AX116" s="12"/>
      <c r="AY116" s="152"/>
      <c r="AZ116" s="22"/>
      <c r="BA116" s="74"/>
      <c r="BB116" s="45"/>
      <c r="BC116" s="22"/>
      <c r="BD116" s="158"/>
      <c r="BE116" s="558"/>
      <c r="BF116" s="45"/>
      <c r="BG116" s="45"/>
      <c r="BH116" s="45"/>
      <c r="BI116" s="45"/>
      <c r="BJ116" s="45"/>
      <c r="BK116" s="45"/>
      <c r="BL116" s="45"/>
      <c r="BM116" s="158"/>
      <c r="BN116" s="558"/>
      <c r="BO116" s="45"/>
      <c r="BP116" s="45"/>
      <c r="BQ116" s="532"/>
      <c r="BR116" s="532"/>
      <c r="BS116" s="532"/>
      <c r="BT116" s="532"/>
      <c r="BU116" s="532"/>
      <c r="BV116" s="559"/>
      <c r="BW116" s="45"/>
      <c r="BX116" s="45"/>
      <c r="BY116" s="45"/>
      <c r="BZ116" s="69"/>
      <c r="CA116" s="69"/>
      <c r="CB116" s="69"/>
      <c r="CC116" s="69"/>
      <c r="CD116" s="69"/>
      <c r="CE116" s="22"/>
      <c r="CF116" s="22"/>
      <c r="CG116" s="22"/>
    </row>
    <row r="117" spans="1:85" ht="15.75" customHeight="1" x14ac:dyDescent="0.45">
      <c r="A117" s="22"/>
      <c r="B117" s="12"/>
      <c r="C117" s="12"/>
      <c r="D117" s="155"/>
      <c r="E117" s="144"/>
      <c r="F117" s="144"/>
      <c r="G117" s="12"/>
      <c r="H117" s="22"/>
      <c r="I117" s="22"/>
      <c r="J117" s="22"/>
      <c r="K117" s="145"/>
      <c r="L117" s="144"/>
      <c r="M117" s="144"/>
      <c r="N117" s="144"/>
      <c r="O117" s="145"/>
      <c r="P117" s="145"/>
      <c r="Q117" s="145"/>
      <c r="R117" s="145"/>
      <c r="S117" s="144"/>
      <c r="T117" s="145"/>
      <c r="U117" s="145"/>
      <c r="V117" s="145"/>
      <c r="W117" s="145"/>
      <c r="X117" s="53"/>
      <c r="Y117" s="74"/>
      <c r="Z117" s="145"/>
      <c r="AA117" s="145"/>
      <c r="AB117" s="145"/>
      <c r="AC117" s="146"/>
      <c r="AD117" s="145"/>
      <c r="AE117" s="145"/>
      <c r="AF117" s="145"/>
      <c r="AG117" s="145"/>
      <c r="AH117" s="146"/>
      <c r="AI117" s="145"/>
      <c r="AJ117" s="145"/>
      <c r="AK117" s="145"/>
      <c r="AL117" s="145"/>
      <c r="AM117" s="145"/>
      <c r="AN117" s="145"/>
      <c r="AO117" s="145"/>
      <c r="AP117" s="74"/>
      <c r="AQ117" s="74"/>
      <c r="AR117" s="74"/>
      <c r="AS117" s="523"/>
      <c r="AT117" s="523"/>
      <c r="AU117" s="523"/>
      <c r="AV117" s="555"/>
      <c r="AW117" s="12"/>
      <c r="AX117" s="12"/>
      <c r="AY117" s="152"/>
      <c r="AZ117" s="22"/>
      <c r="BA117" s="74"/>
      <c r="BB117" s="45"/>
      <c r="BC117" s="22"/>
      <c r="BD117" s="158"/>
      <c r="BE117" s="558"/>
      <c r="BF117" s="45"/>
      <c r="BG117" s="45"/>
      <c r="BH117" s="45"/>
      <c r="BI117" s="45"/>
      <c r="BJ117" s="45"/>
      <c r="BK117" s="45"/>
      <c r="BL117" s="45"/>
      <c r="BM117" s="158"/>
      <c r="BN117" s="558"/>
      <c r="BO117" s="45"/>
      <c r="BP117" s="45"/>
      <c r="BQ117" s="149"/>
      <c r="BR117" s="149"/>
      <c r="BS117" s="149"/>
      <c r="BT117" s="149"/>
      <c r="BU117" s="149"/>
      <c r="BV117" s="559"/>
      <c r="BW117" s="45"/>
      <c r="BX117" s="45"/>
      <c r="BY117" s="45"/>
      <c r="BZ117" s="69"/>
      <c r="CA117" s="69"/>
      <c r="CB117" s="69"/>
      <c r="CC117" s="69"/>
      <c r="CD117" s="69"/>
      <c r="CE117" s="22"/>
      <c r="CF117" s="22"/>
      <c r="CG117" s="22"/>
    </row>
    <row r="118" spans="1:85" ht="15.75" customHeight="1" x14ac:dyDescent="0.45">
      <c r="A118" s="22"/>
      <c r="B118" s="12"/>
      <c r="C118" s="12"/>
      <c r="D118" s="155"/>
      <c r="E118" s="144"/>
      <c r="F118" s="144"/>
      <c r="G118" s="12"/>
      <c r="H118" s="22"/>
      <c r="I118" s="22"/>
      <c r="J118" s="22"/>
      <c r="K118" s="145"/>
      <c r="L118" s="144"/>
      <c r="M118" s="144"/>
      <c r="N118" s="144"/>
      <c r="O118" s="145"/>
      <c r="P118" s="145"/>
      <c r="Q118" s="145"/>
      <c r="R118" s="145"/>
      <c r="S118" s="144"/>
      <c r="T118" s="145"/>
      <c r="U118" s="145"/>
      <c r="V118" s="145"/>
      <c r="W118" s="145"/>
      <c r="X118" s="53"/>
      <c r="Y118" s="74"/>
      <c r="Z118" s="145"/>
      <c r="AA118" s="145"/>
      <c r="AB118" s="145"/>
      <c r="AC118" s="146"/>
      <c r="AD118" s="145"/>
      <c r="AE118" s="145"/>
      <c r="AF118" s="145"/>
      <c r="AG118" s="145"/>
      <c r="AH118" s="146"/>
      <c r="AI118" s="145"/>
      <c r="AJ118" s="145"/>
      <c r="AK118" s="145"/>
      <c r="AL118" s="145"/>
      <c r="AM118" s="145"/>
      <c r="AN118" s="145"/>
      <c r="AO118" s="145"/>
      <c r="AP118" s="74"/>
      <c r="AQ118" s="74"/>
      <c r="AR118" s="74"/>
      <c r="AS118" s="523"/>
      <c r="AT118" s="523"/>
      <c r="AU118" s="523"/>
      <c r="AV118" s="555"/>
      <c r="AW118" s="12"/>
      <c r="AX118" s="12"/>
      <c r="AY118" s="152"/>
      <c r="AZ118" s="22"/>
      <c r="BA118" s="74"/>
      <c r="BB118" s="45"/>
      <c r="BC118" s="22"/>
      <c r="BD118" s="158"/>
      <c r="BE118" s="558"/>
      <c r="BF118" s="45"/>
      <c r="BG118" s="45"/>
      <c r="BH118" s="45"/>
      <c r="BI118" s="45"/>
      <c r="BJ118" s="45"/>
      <c r="BK118" s="45"/>
      <c r="BL118" s="45"/>
      <c r="BM118" s="158"/>
      <c r="BN118" s="558"/>
      <c r="BO118" s="45"/>
      <c r="BP118" s="45"/>
      <c r="BQ118" s="532"/>
      <c r="BR118" s="532"/>
      <c r="BS118" s="532"/>
      <c r="BT118" s="532"/>
      <c r="BU118" s="532"/>
      <c r="BV118" s="559"/>
      <c r="BW118" s="45"/>
      <c r="BX118" s="45"/>
      <c r="BY118" s="45"/>
      <c r="BZ118" s="69"/>
      <c r="CA118" s="69"/>
      <c r="CB118" s="69"/>
      <c r="CC118" s="69"/>
      <c r="CD118" s="69"/>
      <c r="CE118" s="22"/>
      <c r="CF118" s="22"/>
      <c r="CG118" s="22"/>
    </row>
    <row r="119" spans="1:85" ht="15.75" customHeight="1" x14ac:dyDescent="0.45">
      <c r="A119" s="22"/>
      <c r="B119" s="12"/>
      <c r="C119" s="12"/>
      <c r="D119" s="155"/>
      <c r="E119" s="144"/>
      <c r="F119" s="144"/>
      <c r="G119" s="12"/>
      <c r="H119" s="22"/>
      <c r="I119" s="22"/>
      <c r="J119" s="22"/>
      <c r="K119" s="145"/>
      <c r="L119" s="144"/>
      <c r="M119" s="144"/>
      <c r="N119" s="144"/>
      <c r="O119" s="145"/>
      <c r="P119" s="145"/>
      <c r="Q119" s="145"/>
      <c r="R119" s="145"/>
      <c r="S119" s="144"/>
      <c r="T119" s="145"/>
      <c r="U119" s="145"/>
      <c r="V119" s="145"/>
      <c r="W119" s="145"/>
      <c r="X119" s="53"/>
      <c r="Y119" s="74"/>
      <c r="Z119" s="145"/>
      <c r="AA119" s="145"/>
      <c r="AB119" s="145"/>
      <c r="AC119" s="146"/>
      <c r="AD119" s="145"/>
      <c r="AE119" s="145"/>
      <c r="AF119" s="145"/>
      <c r="AG119" s="145"/>
      <c r="AH119" s="146"/>
      <c r="AI119" s="145"/>
      <c r="AJ119" s="145"/>
      <c r="AK119" s="145"/>
      <c r="AL119" s="145"/>
      <c r="AM119" s="145"/>
      <c r="AN119" s="145"/>
      <c r="AO119" s="145"/>
      <c r="AP119" s="74"/>
      <c r="AQ119" s="74"/>
      <c r="AR119" s="74"/>
      <c r="AS119" s="523"/>
      <c r="AT119" s="523"/>
      <c r="AU119" s="523"/>
      <c r="AV119" s="555"/>
      <c r="AW119" s="12"/>
      <c r="AX119" s="12"/>
      <c r="AY119" s="152"/>
      <c r="AZ119" s="22"/>
      <c r="BA119" s="74"/>
      <c r="BB119" s="45"/>
      <c r="BC119" s="22"/>
      <c r="BD119" s="158"/>
      <c r="BE119" s="558"/>
      <c r="BF119" s="45"/>
      <c r="BG119" s="45"/>
      <c r="BH119" s="45"/>
      <c r="BI119" s="45"/>
      <c r="BJ119" s="45"/>
      <c r="BK119" s="45"/>
      <c r="BL119" s="45"/>
      <c r="BM119" s="158"/>
      <c r="BN119" s="558"/>
      <c r="BO119" s="45"/>
      <c r="BP119" s="45"/>
      <c r="BQ119" s="532"/>
      <c r="BR119" s="532"/>
      <c r="BS119" s="532"/>
      <c r="BT119" s="532"/>
      <c r="BU119" s="532"/>
      <c r="BV119" s="559"/>
      <c r="BW119" s="45"/>
      <c r="BX119" s="45"/>
      <c r="BY119" s="45"/>
      <c r="BZ119" s="69"/>
      <c r="CA119" s="69"/>
      <c r="CB119" s="69"/>
      <c r="CC119" s="69"/>
      <c r="CD119" s="69"/>
      <c r="CE119" s="22"/>
      <c r="CF119" s="22"/>
      <c r="CG119" s="22"/>
    </row>
    <row r="120" spans="1:85" ht="15.75" customHeight="1" x14ac:dyDescent="0.45">
      <c r="A120" s="22"/>
      <c r="B120" s="12"/>
      <c r="C120" s="12"/>
      <c r="D120" s="155"/>
      <c r="E120" s="144"/>
      <c r="F120" s="144"/>
      <c r="G120" s="12"/>
      <c r="H120" s="22"/>
      <c r="I120" s="22"/>
      <c r="J120" s="22"/>
      <c r="K120" s="145"/>
      <c r="L120" s="144"/>
      <c r="M120" s="144"/>
      <c r="N120" s="144"/>
      <c r="O120" s="145"/>
      <c r="P120" s="145"/>
      <c r="Q120" s="145"/>
      <c r="R120" s="145"/>
      <c r="S120" s="144"/>
      <c r="T120" s="145"/>
      <c r="U120" s="145"/>
      <c r="V120" s="145"/>
      <c r="W120" s="145"/>
      <c r="X120" s="53"/>
      <c r="Y120" s="74"/>
      <c r="Z120" s="145"/>
      <c r="AA120" s="145"/>
      <c r="AB120" s="145"/>
      <c r="AC120" s="146"/>
      <c r="AD120" s="145"/>
      <c r="AE120" s="145"/>
      <c r="AF120" s="145"/>
      <c r="AG120" s="145"/>
      <c r="AH120" s="146"/>
      <c r="AI120" s="145"/>
      <c r="AJ120" s="145"/>
      <c r="AK120" s="145"/>
      <c r="AL120" s="145"/>
      <c r="AM120" s="145"/>
      <c r="AN120" s="145"/>
      <c r="AO120" s="145"/>
      <c r="AP120" s="74"/>
      <c r="AQ120" s="74"/>
      <c r="AR120" s="74"/>
      <c r="AS120" s="523"/>
      <c r="AT120" s="523"/>
      <c r="AU120" s="523"/>
      <c r="AV120" s="555"/>
      <c r="AW120" s="12"/>
      <c r="AX120" s="12"/>
      <c r="AY120" s="152"/>
      <c r="AZ120" s="22"/>
      <c r="BA120" s="74"/>
      <c r="BB120" s="45"/>
      <c r="BC120" s="22"/>
      <c r="BD120" s="158"/>
      <c r="BE120" s="558"/>
      <c r="BF120" s="45"/>
      <c r="BG120" s="45"/>
      <c r="BH120" s="45"/>
      <c r="BI120" s="45"/>
      <c r="BJ120" s="45"/>
      <c r="BK120" s="45"/>
      <c r="BL120" s="45"/>
      <c r="BM120" s="158"/>
      <c r="BN120" s="558"/>
      <c r="BO120" s="45"/>
      <c r="BP120" s="45"/>
      <c r="BQ120" s="532"/>
      <c r="BR120" s="532"/>
      <c r="BS120" s="532"/>
      <c r="BT120" s="532"/>
      <c r="BU120" s="532"/>
      <c r="BV120" s="559"/>
      <c r="BW120" s="45"/>
      <c r="BX120" s="45"/>
      <c r="BY120" s="45"/>
      <c r="BZ120" s="69"/>
      <c r="CA120" s="69"/>
      <c r="CB120" s="69"/>
      <c r="CC120" s="69"/>
      <c r="CD120" s="69"/>
      <c r="CE120" s="22"/>
      <c r="CF120" s="22"/>
      <c r="CG120" s="22"/>
    </row>
    <row r="121" spans="1:85" ht="15.75" customHeight="1" x14ac:dyDescent="0.45">
      <c r="A121" s="22"/>
      <c r="B121" s="12"/>
      <c r="C121" s="12"/>
      <c r="D121" s="155"/>
      <c r="E121" s="144"/>
      <c r="F121" s="144"/>
      <c r="G121" s="12"/>
      <c r="H121" s="22"/>
      <c r="I121" s="22"/>
      <c r="J121" s="22"/>
      <c r="K121" s="145"/>
      <c r="L121" s="144"/>
      <c r="M121" s="144"/>
      <c r="N121" s="144"/>
      <c r="O121" s="145"/>
      <c r="P121" s="145"/>
      <c r="Q121" s="145"/>
      <c r="R121" s="145"/>
      <c r="S121" s="144"/>
      <c r="T121" s="145"/>
      <c r="U121" s="145"/>
      <c r="V121" s="145"/>
      <c r="W121" s="145"/>
      <c r="X121" s="53"/>
      <c r="Y121" s="74"/>
      <c r="Z121" s="145"/>
      <c r="AA121" s="145"/>
      <c r="AB121" s="145"/>
      <c r="AC121" s="146"/>
      <c r="AD121" s="145"/>
      <c r="AE121" s="145"/>
      <c r="AF121" s="145"/>
      <c r="AG121" s="145"/>
      <c r="AH121" s="146"/>
      <c r="AI121" s="145"/>
      <c r="AJ121" s="145"/>
      <c r="AK121" s="145"/>
      <c r="AL121" s="145"/>
      <c r="AM121" s="145"/>
      <c r="AN121" s="145"/>
      <c r="AO121" s="145"/>
      <c r="AP121" s="74"/>
      <c r="AQ121" s="74"/>
      <c r="AR121" s="74"/>
      <c r="AS121" s="523"/>
      <c r="AT121" s="523"/>
      <c r="AU121" s="523"/>
      <c r="AV121" s="555"/>
      <c r="AW121" s="12"/>
      <c r="AX121" s="12"/>
      <c r="AY121" s="152"/>
      <c r="AZ121" s="22"/>
      <c r="BA121" s="74"/>
      <c r="BB121" s="45"/>
      <c r="BC121" s="22"/>
      <c r="BD121" s="158"/>
      <c r="BE121" s="558"/>
      <c r="BF121" s="45"/>
      <c r="BG121" s="45"/>
      <c r="BH121" s="45"/>
      <c r="BI121" s="45"/>
      <c r="BJ121" s="45"/>
      <c r="BK121" s="45"/>
      <c r="BL121" s="45"/>
      <c r="BM121" s="158"/>
      <c r="BN121" s="558"/>
      <c r="BO121" s="45"/>
      <c r="BP121" s="45"/>
      <c r="BQ121" s="532"/>
      <c r="BR121" s="532"/>
      <c r="BS121" s="532"/>
      <c r="BT121" s="532"/>
      <c r="BU121" s="532"/>
      <c r="BV121" s="559"/>
      <c r="BW121" s="45"/>
      <c r="BX121" s="45"/>
      <c r="BY121" s="45"/>
      <c r="BZ121" s="69"/>
      <c r="CA121" s="69"/>
      <c r="CB121" s="69"/>
      <c r="CC121" s="69"/>
      <c r="CD121" s="69"/>
      <c r="CE121" s="22"/>
      <c r="CF121" s="22"/>
      <c r="CG121" s="22"/>
    </row>
    <row r="122" spans="1:85" ht="15.75" customHeight="1" x14ac:dyDescent="0.45">
      <c r="A122" s="22"/>
      <c r="B122" s="12"/>
      <c r="C122" s="12"/>
      <c r="D122" s="155"/>
      <c r="E122" s="144"/>
      <c r="F122" s="144"/>
      <c r="G122" s="12"/>
      <c r="H122" s="22"/>
      <c r="I122" s="22"/>
      <c r="J122" s="22"/>
      <c r="K122" s="145"/>
      <c r="L122" s="144"/>
      <c r="M122" s="144"/>
      <c r="N122" s="144"/>
      <c r="O122" s="145"/>
      <c r="P122" s="145"/>
      <c r="Q122" s="145"/>
      <c r="R122" s="145"/>
      <c r="S122" s="144"/>
      <c r="T122" s="145"/>
      <c r="U122" s="145"/>
      <c r="V122" s="145"/>
      <c r="W122" s="145"/>
      <c r="X122" s="53"/>
      <c r="Y122" s="74"/>
      <c r="Z122" s="145"/>
      <c r="AA122" s="145"/>
      <c r="AB122" s="145"/>
      <c r="AC122" s="146"/>
      <c r="AD122" s="145"/>
      <c r="AE122" s="145"/>
      <c r="AF122" s="145"/>
      <c r="AG122" s="145"/>
      <c r="AH122" s="146"/>
      <c r="AI122" s="145"/>
      <c r="AJ122" s="145"/>
      <c r="AK122" s="145"/>
      <c r="AL122" s="145"/>
      <c r="AM122" s="145"/>
      <c r="AN122" s="145"/>
      <c r="AO122" s="145"/>
      <c r="AP122" s="74"/>
      <c r="AQ122" s="74"/>
      <c r="AR122" s="74"/>
      <c r="AS122" s="523"/>
      <c r="AT122" s="523"/>
      <c r="AU122" s="523"/>
      <c r="AV122" s="555"/>
      <c r="AW122" s="12"/>
      <c r="AX122" s="12"/>
      <c r="AY122" s="152"/>
      <c r="AZ122" s="22"/>
      <c r="BA122" s="74"/>
      <c r="BB122" s="45"/>
      <c r="BC122" s="22"/>
      <c r="BD122" s="158"/>
      <c r="BE122" s="558"/>
      <c r="BF122" s="45"/>
      <c r="BG122" s="45"/>
      <c r="BH122" s="45"/>
      <c r="BI122" s="45"/>
      <c r="BJ122" s="45"/>
      <c r="BK122" s="45"/>
      <c r="BL122" s="45"/>
      <c r="BM122" s="158"/>
      <c r="BN122" s="558"/>
      <c r="BO122" s="45"/>
      <c r="BP122" s="45"/>
      <c r="BQ122" s="532"/>
      <c r="BR122" s="532"/>
      <c r="BS122" s="532"/>
      <c r="BT122" s="532"/>
      <c r="BU122" s="532"/>
      <c r="BV122" s="559"/>
      <c r="BW122" s="45"/>
      <c r="BX122" s="45"/>
      <c r="BY122" s="45"/>
      <c r="BZ122" s="69"/>
      <c r="CA122" s="69"/>
      <c r="CB122" s="69"/>
      <c r="CC122" s="69"/>
      <c r="CD122" s="69"/>
      <c r="CE122" s="22"/>
      <c r="CF122" s="22"/>
      <c r="CG122" s="22"/>
    </row>
    <row r="123" spans="1:85" ht="15.75" customHeight="1" x14ac:dyDescent="0.45">
      <c r="A123" s="22"/>
      <c r="B123" s="12"/>
      <c r="C123" s="12"/>
      <c r="D123" s="155"/>
      <c r="E123" s="144"/>
      <c r="F123" s="144"/>
      <c r="G123" s="12"/>
      <c r="H123" s="22"/>
      <c r="I123" s="22"/>
      <c r="J123" s="22"/>
      <c r="K123" s="145"/>
      <c r="L123" s="144"/>
      <c r="M123" s="144"/>
      <c r="N123" s="144"/>
      <c r="O123" s="145"/>
      <c r="P123" s="145"/>
      <c r="Q123" s="145"/>
      <c r="R123" s="145"/>
      <c r="S123" s="144"/>
      <c r="T123" s="145"/>
      <c r="U123" s="145"/>
      <c r="V123" s="145"/>
      <c r="W123" s="145"/>
      <c r="X123" s="53"/>
      <c r="Y123" s="74"/>
      <c r="Z123" s="145"/>
      <c r="AA123" s="145"/>
      <c r="AB123" s="145"/>
      <c r="AC123" s="146"/>
      <c r="AD123" s="145"/>
      <c r="AE123" s="145"/>
      <c r="AF123" s="145"/>
      <c r="AG123" s="145"/>
      <c r="AH123" s="146"/>
      <c r="AI123" s="145"/>
      <c r="AJ123" s="145"/>
      <c r="AK123" s="145"/>
      <c r="AL123" s="145"/>
      <c r="AM123" s="145"/>
      <c r="AN123" s="145"/>
      <c r="AO123" s="145"/>
      <c r="AP123" s="74"/>
      <c r="AQ123" s="74"/>
      <c r="AR123" s="74"/>
      <c r="AS123" s="523"/>
      <c r="AT123" s="523"/>
      <c r="AU123" s="523"/>
      <c r="AV123" s="555"/>
      <c r="AW123" s="12"/>
      <c r="AX123" s="12"/>
      <c r="AY123" s="152"/>
      <c r="AZ123" s="22"/>
      <c r="BA123" s="74"/>
      <c r="BB123" s="45"/>
      <c r="BC123" s="22"/>
      <c r="BD123" s="158"/>
      <c r="BE123" s="558"/>
      <c r="BF123" s="45"/>
      <c r="BG123" s="45"/>
      <c r="BH123" s="45"/>
      <c r="BI123" s="45"/>
      <c r="BJ123" s="45"/>
      <c r="BK123" s="45"/>
      <c r="BL123" s="45"/>
      <c r="BM123" s="158"/>
      <c r="BN123" s="558"/>
      <c r="BO123" s="45"/>
      <c r="BP123" s="45"/>
      <c r="BQ123" s="149"/>
      <c r="BR123" s="149"/>
      <c r="BS123" s="149"/>
      <c r="BT123" s="149"/>
      <c r="BU123" s="149"/>
      <c r="BV123" s="559"/>
      <c r="BW123" s="45"/>
      <c r="BX123" s="45"/>
      <c r="BY123" s="45"/>
      <c r="BZ123" s="69"/>
      <c r="CA123" s="69"/>
      <c r="CB123" s="69"/>
      <c r="CC123" s="69"/>
      <c r="CD123" s="69"/>
      <c r="CE123" s="22"/>
      <c r="CF123" s="22"/>
      <c r="CG123" s="22"/>
    </row>
    <row r="124" spans="1:85" ht="15.75" customHeight="1" x14ac:dyDescent="0.45">
      <c r="A124" s="22"/>
      <c r="B124" s="12"/>
      <c r="C124" s="12"/>
      <c r="D124" s="155"/>
      <c r="E124" s="144"/>
      <c r="F124" s="144"/>
      <c r="G124" s="12"/>
      <c r="H124" s="22"/>
      <c r="I124" s="22"/>
      <c r="J124" s="22"/>
      <c r="K124" s="145"/>
      <c r="L124" s="144"/>
      <c r="M124" s="144"/>
      <c r="N124" s="144"/>
      <c r="O124" s="145"/>
      <c r="P124" s="145"/>
      <c r="Q124" s="145"/>
      <c r="R124" s="145"/>
      <c r="S124" s="144"/>
      <c r="T124" s="145"/>
      <c r="U124" s="145"/>
      <c r="V124" s="145"/>
      <c r="W124" s="145"/>
      <c r="X124" s="53"/>
      <c r="Y124" s="74"/>
      <c r="Z124" s="145"/>
      <c r="AA124" s="145"/>
      <c r="AB124" s="145"/>
      <c r="AC124" s="146"/>
      <c r="AD124" s="145"/>
      <c r="AE124" s="145"/>
      <c r="AF124" s="145"/>
      <c r="AG124" s="145"/>
      <c r="AH124" s="146"/>
      <c r="AI124" s="145"/>
      <c r="AJ124" s="145"/>
      <c r="AK124" s="145"/>
      <c r="AL124" s="145"/>
      <c r="AM124" s="145"/>
      <c r="AN124" s="145"/>
      <c r="AO124" s="145"/>
      <c r="AP124" s="74"/>
      <c r="AQ124" s="74"/>
      <c r="AR124" s="74"/>
      <c r="AS124" s="523"/>
      <c r="AT124" s="523"/>
      <c r="AU124" s="523"/>
      <c r="AV124" s="555"/>
      <c r="AW124" s="12"/>
      <c r="AX124" s="12"/>
      <c r="AY124" s="152"/>
      <c r="AZ124" s="22"/>
      <c r="BA124" s="74"/>
      <c r="BB124" s="45"/>
      <c r="BC124" s="22"/>
      <c r="BD124" s="158"/>
      <c r="BE124" s="558"/>
      <c r="BF124" s="45"/>
      <c r="BG124" s="45"/>
      <c r="BH124" s="45"/>
      <c r="BI124" s="45"/>
      <c r="BJ124" s="45"/>
      <c r="BK124" s="45"/>
      <c r="BL124" s="45"/>
      <c r="BM124" s="158"/>
      <c r="BN124" s="558"/>
      <c r="BO124" s="45"/>
      <c r="BP124" s="45"/>
      <c r="BQ124" s="149"/>
      <c r="BR124" s="149"/>
      <c r="BS124" s="149"/>
      <c r="BT124" s="149"/>
      <c r="BU124" s="149"/>
      <c r="BV124" s="559"/>
      <c r="BW124" s="45"/>
      <c r="BX124" s="45"/>
      <c r="BY124" s="45"/>
      <c r="BZ124" s="69"/>
      <c r="CA124" s="69"/>
      <c r="CB124" s="69"/>
      <c r="CC124" s="69"/>
      <c r="CD124" s="69"/>
      <c r="CE124" s="22"/>
      <c r="CF124" s="22"/>
      <c r="CG124" s="22"/>
    </row>
    <row r="125" spans="1:85" ht="15.75" customHeight="1" x14ac:dyDescent="0.45">
      <c r="A125" s="22"/>
      <c r="B125" s="12"/>
      <c r="C125" s="12"/>
      <c r="D125" s="155"/>
      <c r="E125" s="144"/>
      <c r="F125" s="144"/>
      <c r="G125" s="12"/>
      <c r="H125" s="22"/>
      <c r="I125" s="22"/>
      <c r="J125" s="22"/>
      <c r="K125" s="145"/>
      <c r="L125" s="144"/>
      <c r="M125" s="144"/>
      <c r="N125" s="144"/>
      <c r="O125" s="145"/>
      <c r="P125" s="145"/>
      <c r="Q125" s="145"/>
      <c r="R125" s="145"/>
      <c r="S125" s="144"/>
      <c r="T125" s="145"/>
      <c r="U125" s="145"/>
      <c r="V125" s="145"/>
      <c r="W125" s="145"/>
      <c r="X125" s="53"/>
      <c r="Y125" s="74"/>
      <c r="Z125" s="145"/>
      <c r="AA125" s="145"/>
      <c r="AB125" s="145"/>
      <c r="AC125" s="146"/>
      <c r="AD125" s="145"/>
      <c r="AE125" s="145"/>
      <c r="AF125" s="145"/>
      <c r="AG125" s="145"/>
      <c r="AH125" s="146"/>
      <c r="AI125" s="145"/>
      <c r="AJ125" s="145"/>
      <c r="AK125" s="145"/>
      <c r="AL125" s="145"/>
      <c r="AM125" s="145"/>
      <c r="AN125" s="145"/>
      <c r="AO125" s="145"/>
      <c r="AP125" s="74"/>
      <c r="AQ125" s="74"/>
      <c r="AR125" s="74"/>
      <c r="AS125" s="523"/>
      <c r="AT125" s="523"/>
      <c r="AU125" s="523"/>
      <c r="AV125" s="555"/>
      <c r="AW125" s="12"/>
      <c r="AX125" s="12"/>
      <c r="AY125" s="152"/>
      <c r="AZ125" s="22"/>
      <c r="BA125" s="74"/>
      <c r="BB125" s="45"/>
      <c r="BC125" s="22"/>
      <c r="BD125" s="158"/>
      <c r="BE125" s="558"/>
      <c r="BF125" s="45"/>
      <c r="BG125" s="45"/>
      <c r="BH125" s="45"/>
      <c r="BI125" s="45"/>
      <c r="BJ125" s="45"/>
      <c r="BK125" s="45"/>
      <c r="BL125" s="45"/>
      <c r="BM125" s="158"/>
      <c r="BN125" s="558"/>
      <c r="BO125" s="45"/>
      <c r="BP125" s="45"/>
      <c r="BQ125" s="149"/>
      <c r="BR125" s="149"/>
      <c r="BS125" s="149"/>
      <c r="BT125" s="149"/>
      <c r="BU125" s="149"/>
      <c r="BV125" s="559"/>
      <c r="BW125" s="45"/>
      <c r="BX125" s="45"/>
      <c r="BY125" s="45"/>
      <c r="BZ125" s="69"/>
      <c r="CA125" s="69"/>
      <c r="CB125" s="69"/>
      <c r="CC125" s="69"/>
      <c r="CD125" s="69"/>
      <c r="CE125" s="22"/>
      <c r="CF125" s="22"/>
      <c r="CG125" s="22"/>
    </row>
    <row r="126" spans="1:85" ht="15.75" customHeight="1" x14ac:dyDescent="0.45">
      <c r="A126" s="22"/>
      <c r="B126" s="12"/>
      <c r="C126" s="12"/>
      <c r="D126" s="155"/>
      <c r="E126" s="144"/>
      <c r="F126" s="144"/>
      <c r="G126" s="12"/>
      <c r="H126" s="22"/>
      <c r="I126" s="22"/>
      <c r="J126" s="22"/>
      <c r="K126" s="145"/>
      <c r="L126" s="144"/>
      <c r="M126" s="144"/>
      <c r="N126" s="144"/>
      <c r="O126" s="145"/>
      <c r="P126" s="145"/>
      <c r="Q126" s="145"/>
      <c r="R126" s="145"/>
      <c r="S126" s="144"/>
      <c r="T126" s="145"/>
      <c r="U126" s="145"/>
      <c r="V126" s="145"/>
      <c r="W126" s="145"/>
      <c r="X126" s="53"/>
      <c r="Y126" s="74"/>
      <c r="Z126" s="145"/>
      <c r="AA126" s="145"/>
      <c r="AB126" s="145"/>
      <c r="AC126" s="146"/>
      <c r="AD126" s="145"/>
      <c r="AE126" s="145"/>
      <c r="AF126" s="145"/>
      <c r="AG126" s="145"/>
      <c r="AH126" s="146"/>
      <c r="AI126" s="145"/>
      <c r="AJ126" s="145"/>
      <c r="AK126" s="145"/>
      <c r="AL126" s="145"/>
      <c r="AM126" s="145"/>
      <c r="AN126" s="145"/>
      <c r="AO126" s="145"/>
      <c r="AP126" s="74"/>
      <c r="AQ126" s="74"/>
      <c r="AR126" s="74"/>
      <c r="AS126" s="523"/>
      <c r="AT126" s="523"/>
      <c r="AU126" s="523"/>
      <c r="AV126" s="555"/>
      <c r="AW126" s="12"/>
      <c r="AX126" s="12"/>
      <c r="AY126" s="152"/>
      <c r="AZ126" s="22"/>
      <c r="BA126" s="74"/>
      <c r="BB126" s="45"/>
      <c r="BC126" s="22"/>
      <c r="BD126" s="158"/>
      <c r="BE126" s="558"/>
      <c r="BF126" s="45"/>
      <c r="BG126" s="45"/>
      <c r="BH126" s="45"/>
      <c r="BI126" s="45"/>
      <c r="BJ126" s="45"/>
      <c r="BK126" s="45"/>
      <c r="BL126" s="45"/>
      <c r="BM126" s="158"/>
      <c r="BN126" s="558"/>
      <c r="BO126" s="45"/>
      <c r="BP126" s="45"/>
      <c r="BQ126" s="22"/>
      <c r="BR126" s="22"/>
      <c r="BS126" s="22"/>
      <c r="BT126" s="22"/>
      <c r="BU126" s="22"/>
      <c r="BV126" s="559"/>
      <c r="BW126" s="45"/>
      <c r="BX126" s="45"/>
      <c r="BY126" s="45"/>
      <c r="BZ126" s="69"/>
      <c r="CA126" s="69"/>
      <c r="CB126" s="69"/>
      <c r="CC126" s="69"/>
      <c r="CD126" s="69"/>
      <c r="CE126" s="22"/>
      <c r="CF126" s="22"/>
      <c r="CG126" s="22"/>
    </row>
    <row r="127" spans="1:85" ht="15.75" customHeight="1" x14ac:dyDescent="0.45">
      <c r="A127" s="22"/>
      <c r="B127" s="12"/>
      <c r="C127" s="12"/>
      <c r="D127" s="155"/>
      <c r="E127" s="144"/>
      <c r="F127" s="144"/>
      <c r="G127" s="12"/>
      <c r="H127" s="22"/>
      <c r="I127" s="22"/>
      <c r="J127" s="22"/>
      <c r="K127" s="145"/>
      <c r="L127" s="144"/>
      <c r="M127" s="144"/>
      <c r="N127" s="144"/>
      <c r="O127" s="145"/>
      <c r="P127" s="145"/>
      <c r="Q127" s="145"/>
      <c r="R127" s="145"/>
      <c r="S127" s="144"/>
      <c r="T127" s="145"/>
      <c r="U127" s="145"/>
      <c r="V127" s="145"/>
      <c r="W127" s="145"/>
      <c r="X127" s="53"/>
      <c r="Y127" s="74"/>
      <c r="Z127" s="145"/>
      <c r="AA127" s="145"/>
      <c r="AB127" s="145"/>
      <c r="AC127" s="146"/>
      <c r="AD127" s="145"/>
      <c r="AE127" s="145"/>
      <c r="AF127" s="145"/>
      <c r="AG127" s="145"/>
      <c r="AH127" s="146"/>
      <c r="AI127" s="145"/>
      <c r="AJ127" s="145"/>
      <c r="AK127" s="145"/>
      <c r="AL127" s="145"/>
      <c r="AM127" s="145"/>
      <c r="AN127" s="145"/>
      <c r="AO127" s="145"/>
      <c r="AP127" s="74"/>
      <c r="AQ127" s="74"/>
      <c r="AR127" s="74"/>
      <c r="AS127" s="523"/>
      <c r="AT127" s="523"/>
      <c r="AU127" s="523"/>
      <c r="AV127" s="555"/>
      <c r="AW127" s="12"/>
      <c r="AX127" s="12"/>
      <c r="AY127" s="152"/>
      <c r="AZ127" s="22"/>
      <c r="BA127" s="74"/>
      <c r="BB127" s="45"/>
      <c r="BC127" s="22"/>
      <c r="BD127" s="158"/>
      <c r="BE127" s="558"/>
      <c r="BF127" s="45"/>
      <c r="BG127" s="45"/>
      <c r="BH127" s="45"/>
      <c r="BI127" s="45"/>
      <c r="BJ127" s="45"/>
      <c r="BK127" s="45"/>
      <c r="BL127" s="45"/>
      <c r="BM127" s="158"/>
      <c r="BN127" s="558"/>
      <c r="BO127" s="45"/>
      <c r="BP127" s="45"/>
      <c r="BQ127" s="149"/>
      <c r="BR127" s="149"/>
      <c r="BS127" s="149"/>
      <c r="BT127" s="149"/>
      <c r="BU127" s="149"/>
      <c r="BV127" s="559"/>
      <c r="BW127" s="45"/>
      <c r="BX127" s="45"/>
      <c r="BY127" s="45"/>
      <c r="BZ127" s="69"/>
      <c r="CA127" s="69"/>
      <c r="CB127" s="69"/>
      <c r="CC127" s="69"/>
      <c r="CD127" s="69"/>
      <c r="CE127" s="22"/>
      <c r="CF127" s="22"/>
      <c r="CG127" s="22"/>
    </row>
    <row r="128" spans="1:85" ht="15.75" customHeight="1" x14ac:dyDescent="0.45">
      <c r="A128" s="22"/>
      <c r="B128" s="12"/>
      <c r="C128" s="12"/>
      <c r="D128" s="155"/>
      <c r="E128" s="144"/>
      <c r="F128" s="144"/>
      <c r="G128" s="12"/>
      <c r="H128" s="22"/>
      <c r="I128" s="22"/>
      <c r="J128" s="22"/>
      <c r="K128" s="145"/>
      <c r="L128" s="144"/>
      <c r="M128" s="144"/>
      <c r="N128" s="144"/>
      <c r="O128" s="145"/>
      <c r="P128" s="145"/>
      <c r="Q128" s="145"/>
      <c r="R128" s="145"/>
      <c r="S128" s="144"/>
      <c r="T128" s="145"/>
      <c r="U128" s="145"/>
      <c r="V128" s="145"/>
      <c r="W128" s="145"/>
      <c r="X128" s="53"/>
      <c r="Y128" s="74"/>
      <c r="Z128" s="145"/>
      <c r="AA128" s="145"/>
      <c r="AB128" s="145"/>
      <c r="AC128" s="146"/>
      <c r="AD128" s="145"/>
      <c r="AE128" s="145"/>
      <c r="AF128" s="145"/>
      <c r="AG128" s="145"/>
      <c r="AH128" s="146"/>
      <c r="AI128" s="145"/>
      <c r="AJ128" s="145"/>
      <c r="AK128" s="145"/>
      <c r="AL128" s="145"/>
      <c r="AM128" s="145"/>
      <c r="AN128" s="145"/>
      <c r="AO128" s="145"/>
      <c r="AP128" s="74"/>
      <c r="AQ128" s="74"/>
      <c r="AR128" s="74"/>
      <c r="AS128" s="523"/>
      <c r="AT128" s="523"/>
      <c r="AU128" s="523"/>
      <c r="AV128" s="555"/>
      <c r="AW128" s="12"/>
      <c r="AX128" s="12"/>
      <c r="AY128" s="152"/>
      <c r="AZ128" s="22"/>
      <c r="BA128" s="74"/>
      <c r="BB128" s="45"/>
      <c r="BC128" s="22"/>
      <c r="BD128" s="158"/>
      <c r="BE128" s="558"/>
      <c r="BF128" s="45"/>
      <c r="BG128" s="45"/>
      <c r="BH128" s="45"/>
      <c r="BI128" s="45"/>
      <c r="BJ128" s="45"/>
      <c r="BK128" s="45"/>
      <c r="BL128" s="45"/>
      <c r="BM128" s="158"/>
      <c r="BN128" s="558"/>
      <c r="BO128" s="45"/>
      <c r="BP128" s="45"/>
      <c r="BQ128" s="149"/>
      <c r="BR128" s="149"/>
      <c r="BS128" s="149"/>
      <c r="BT128" s="149"/>
      <c r="BU128" s="149"/>
      <c r="BV128" s="559"/>
      <c r="BW128" s="45"/>
      <c r="BX128" s="45"/>
      <c r="BY128" s="45"/>
      <c r="BZ128" s="69"/>
      <c r="CA128" s="69"/>
      <c r="CB128" s="69"/>
      <c r="CC128" s="69"/>
      <c r="CD128" s="69"/>
      <c r="CE128" s="22"/>
      <c r="CF128" s="22"/>
      <c r="CG128" s="22"/>
    </row>
    <row r="129" spans="1:85" ht="15.75" customHeight="1" x14ac:dyDescent="0.45">
      <c r="A129" s="22"/>
      <c r="B129" s="12"/>
      <c r="C129" s="12"/>
      <c r="D129" s="155"/>
      <c r="E129" s="144"/>
      <c r="F129" s="144"/>
      <c r="G129" s="12"/>
      <c r="H129" s="22"/>
      <c r="I129" s="22"/>
      <c r="J129" s="22"/>
      <c r="K129" s="145"/>
      <c r="L129" s="144"/>
      <c r="M129" s="144"/>
      <c r="N129" s="144"/>
      <c r="O129" s="145"/>
      <c r="P129" s="145"/>
      <c r="Q129" s="145"/>
      <c r="R129" s="145"/>
      <c r="S129" s="144"/>
      <c r="T129" s="145"/>
      <c r="U129" s="145"/>
      <c r="V129" s="145"/>
      <c r="W129" s="145"/>
      <c r="X129" s="53"/>
      <c r="Y129" s="74"/>
      <c r="Z129" s="145"/>
      <c r="AA129" s="145"/>
      <c r="AB129" s="145"/>
      <c r="AC129" s="146"/>
      <c r="AD129" s="145"/>
      <c r="AE129" s="145"/>
      <c r="AF129" s="145"/>
      <c r="AG129" s="145"/>
      <c r="AH129" s="146"/>
      <c r="AI129" s="145"/>
      <c r="AJ129" s="145"/>
      <c r="AK129" s="145"/>
      <c r="AL129" s="145"/>
      <c r="AM129" s="145"/>
      <c r="AN129" s="145"/>
      <c r="AO129" s="145"/>
      <c r="AP129" s="74"/>
      <c r="AQ129" s="74"/>
      <c r="AR129" s="74"/>
      <c r="AS129" s="523"/>
      <c r="AT129" s="523"/>
      <c r="AU129" s="523"/>
      <c r="AV129" s="555"/>
      <c r="AW129" s="12"/>
      <c r="AX129" s="12"/>
      <c r="AY129" s="152"/>
      <c r="AZ129" s="22"/>
      <c r="BA129" s="74"/>
      <c r="BB129" s="45"/>
      <c r="BC129" s="22"/>
      <c r="BD129" s="158"/>
      <c r="BE129" s="558"/>
      <c r="BF129" s="45"/>
      <c r="BG129" s="45"/>
      <c r="BH129" s="45"/>
      <c r="BI129" s="45"/>
      <c r="BJ129" s="45"/>
      <c r="BK129" s="45"/>
      <c r="BL129" s="45"/>
      <c r="BM129" s="158"/>
      <c r="BN129" s="558"/>
      <c r="BO129" s="45"/>
      <c r="BP129" s="45"/>
      <c r="BQ129" s="149"/>
      <c r="BR129" s="149"/>
      <c r="BS129" s="149"/>
      <c r="BT129" s="149"/>
      <c r="BU129" s="149"/>
      <c r="BV129" s="559"/>
      <c r="BW129" s="45"/>
      <c r="BX129" s="45"/>
      <c r="BY129" s="45"/>
      <c r="BZ129" s="69"/>
      <c r="CA129" s="69"/>
      <c r="CB129" s="69"/>
      <c r="CC129" s="69"/>
      <c r="CD129" s="69"/>
      <c r="CE129" s="22"/>
      <c r="CF129" s="22"/>
      <c r="CG129" s="22"/>
    </row>
    <row r="130" spans="1:85" ht="15.75" customHeight="1" x14ac:dyDescent="0.45">
      <c r="A130" s="22"/>
      <c r="B130" s="12"/>
      <c r="C130" s="12"/>
      <c r="D130" s="155"/>
      <c r="E130" s="144"/>
      <c r="F130" s="144"/>
      <c r="G130" s="12"/>
      <c r="H130" s="22"/>
      <c r="I130" s="22"/>
      <c r="J130" s="22"/>
      <c r="K130" s="145"/>
      <c r="L130" s="144"/>
      <c r="M130" s="144"/>
      <c r="N130" s="144"/>
      <c r="O130" s="145"/>
      <c r="P130" s="145"/>
      <c r="Q130" s="145"/>
      <c r="R130" s="145"/>
      <c r="S130" s="144"/>
      <c r="T130" s="145"/>
      <c r="U130" s="145"/>
      <c r="V130" s="145"/>
      <c r="W130" s="145"/>
      <c r="X130" s="53"/>
      <c r="Y130" s="74"/>
      <c r="Z130" s="145"/>
      <c r="AA130" s="145"/>
      <c r="AB130" s="145"/>
      <c r="AC130" s="146"/>
      <c r="AD130" s="145"/>
      <c r="AE130" s="145"/>
      <c r="AF130" s="145"/>
      <c r="AG130" s="145"/>
      <c r="AH130" s="146"/>
      <c r="AI130" s="145"/>
      <c r="AJ130" s="145"/>
      <c r="AK130" s="145"/>
      <c r="AL130" s="145"/>
      <c r="AM130" s="145"/>
      <c r="AN130" s="145"/>
      <c r="AO130" s="145"/>
      <c r="AP130" s="74"/>
      <c r="AQ130" s="74"/>
      <c r="AR130" s="74"/>
      <c r="AS130" s="523"/>
      <c r="AT130" s="523"/>
      <c r="AU130" s="523"/>
      <c r="AV130" s="555"/>
      <c r="AW130" s="12"/>
      <c r="AX130" s="12"/>
      <c r="AY130" s="152"/>
      <c r="AZ130" s="22"/>
      <c r="BA130" s="74"/>
      <c r="BB130" s="45"/>
      <c r="BC130" s="22"/>
      <c r="BD130" s="158"/>
      <c r="BE130" s="558"/>
      <c r="BF130" s="45"/>
      <c r="BG130" s="45"/>
      <c r="BH130" s="45"/>
      <c r="BI130" s="45"/>
      <c r="BJ130" s="45"/>
      <c r="BK130" s="45"/>
      <c r="BL130" s="45"/>
      <c r="BM130" s="158"/>
      <c r="BN130" s="558"/>
      <c r="BO130" s="45"/>
      <c r="BP130" s="45"/>
      <c r="BQ130" s="532"/>
      <c r="BR130" s="532"/>
      <c r="BS130" s="532"/>
      <c r="BT130" s="532"/>
      <c r="BU130" s="532"/>
      <c r="BV130" s="559"/>
      <c r="BW130" s="45"/>
      <c r="BX130" s="45"/>
      <c r="BY130" s="45"/>
      <c r="BZ130" s="69"/>
      <c r="CA130" s="69"/>
      <c r="CB130" s="69"/>
      <c r="CC130" s="69"/>
      <c r="CD130" s="69"/>
      <c r="CE130" s="22"/>
      <c r="CF130" s="22"/>
      <c r="CG130" s="22"/>
    </row>
    <row r="131" spans="1:85" ht="15.75" customHeight="1" x14ac:dyDescent="0.45">
      <c r="A131" s="22"/>
      <c r="B131" s="12"/>
      <c r="C131" s="12"/>
      <c r="D131" s="155"/>
      <c r="E131" s="144"/>
      <c r="F131" s="144"/>
      <c r="G131" s="12"/>
      <c r="H131" s="22"/>
      <c r="I131" s="22"/>
      <c r="J131" s="22"/>
      <c r="K131" s="145"/>
      <c r="L131" s="144"/>
      <c r="M131" s="144"/>
      <c r="N131" s="144"/>
      <c r="O131" s="145"/>
      <c r="P131" s="145"/>
      <c r="Q131" s="145"/>
      <c r="R131" s="145"/>
      <c r="S131" s="144"/>
      <c r="T131" s="145"/>
      <c r="U131" s="145"/>
      <c r="V131" s="145"/>
      <c r="W131" s="145"/>
      <c r="X131" s="53"/>
      <c r="Y131" s="74"/>
      <c r="Z131" s="145"/>
      <c r="AA131" s="145"/>
      <c r="AB131" s="145"/>
      <c r="AC131" s="146"/>
      <c r="AD131" s="145"/>
      <c r="AE131" s="145"/>
      <c r="AF131" s="145"/>
      <c r="AG131" s="145"/>
      <c r="AH131" s="146"/>
      <c r="AI131" s="145"/>
      <c r="AJ131" s="145"/>
      <c r="AK131" s="145"/>
      <c r="AL131" s="145"/>
      <c r="AM131" s="145"/>
      <c r="AN131" s="145"/>
      <c r="AO131" s="145"/>
      <c r="AP131" s="74"/>
      <c r="AQ131" s="74"/>
      <c r="AR131" s="74"/>
      <c r="AS131" s="523"/>
      <c r="AT131" s="523"/>
      <c r="AU131" s="523"/>
      <c r="AV131" s="555"/>
      <c r="AW131" s="12"/>
      <c r="AX131" s="12"/>
      <c r="AY131" s="152"/>
      <c r="AZ131" s="22"/>
      <c r="BA131" s="74"/>
      <c r="BB131" s="45"/>
      <c r="BC131" s="22"/>
      <c r="BD131" s="158"/>
      <c r="BE131" s="558"/>
      <c r="BF131" s="45"/>
      <c r="BG131" s="45"/>
      <c r="BH131" s="45"/>
      <c r="BI131" s="45"/>
      <c r="BJ131" s="45"/>
      <c r="BK131" s="45"/>
      <c r="BL131" s="45"/>
      <c r="BM131" s="158"/>
      <c r="BN131" s="558"/>
      <c r="BO131" s="45"/>
      <c r="BP131" s="45"/>
      <c r="BQ131" s="532"/>
      <c r="BR131" s="532"/>
      <c r="BS131" s="532"/>
      <c r="BT131" s="532"/>
      <c r="BU131" s="532"/>
      <c r="BV131" s="559"/>
      <c r="BW131" s="45"/>
      <c r="BX131" s="45"/>
      <c r="BY131" s="45"/>
      <c r="BZ131" s="69"/>
      <c r="CA131" s="69"/>
      <c r="CB131" s="69"/>
      <c r="CC131" s="69"/>
      <c r="CD131" s="69"/>
      <c r="CE131" s="22"/>
      <c r="CF131" s="22"/>
      <c r="CG131" s="22"/>
    </row>
    <row r="132" spans="1:85" ht="15.75" customHeight="1" x14ac:dyDescent="0.45">
      <c r="A132" s="22"/>
      <c r="B132" s="12"/>
      <c r="C132" s="12"/>
      <c r="D132" s="155"/>
      <c r="E132" s="144"/>
      <c r="F132" s="144"/>
      <c r="G132" s="12"/>
      <c r="H132" s="22"/>
      <c r="I132" s="22"/>
      <c r="J132" s="22"/>
      <c r="K132" s="145"/>
      <c r="L132" s="144"/>
      <c r="M132" s="144"/>
      <c r="N132" s="144"/>
      <c r="O132" s="145"/>
      <c r="P132" s="145"/>
      <c r="Q132" s="145"/>
      <c r="R132" s="145"/>
      <c r="S132" s="144"/>
      <c r="T132" s="145"/>
      <c r="U132" s="145"/>
      <c r="V132" s="145"/>
      <c r="W132" s="145"/>
      <c r="X132" s="53"/>
      <c r="Y132" s="74"/>
      <c r="Z132" s="145"/>
      <c r="AA132" s="145"/>
      <c r="AB132" s="145"/>
      <c r="AC132" s="146"/>
      <c r="AD132" s="145"/>
      <c r="AE132" s="145"/>
      <c r="AF132" s="145"/>
      <c r="AG132" s="145"/>
      <c r="AH132" s="146"/>
      <c r="AI132" s="145"/>
      <c r="AJ132" s="145"/>
      <c r="AK132" s="145"/>
      <c r="AL132" s="145"/>
      <c r="AM132" s="145"/>
      <c r="AN132" s="145"/>
      <c r="AO132" s="145"/>
      <c r="AP132" s="74"/>
      <c r="AQ132" s="74"/>
      <c r="AR132" s="74"/>
      <c r="AS132" s="523"/>
      <c r="AT132" s="523"/>
      <c r="AU132" s="523"/>
      <c r="AV132" s="555"/>
      <c r="AW132" s="12"/>
      <c r="AX132" s="12"/>
      <c r="AY132" s="152"/>
      <c r="AZ132" s="22"/>
      <c r="BA132" s="74"/>
      <c r="BB132" s="45"/>
      <c r="BC132" s="22"/>
      <c r="BD132" s="158"/>
      <c r="BE132" s="558"/>
      <c r="BF132" s="45"/>
      <c r="BG132" s="45"/>
      <c r="BH132" s="45"/>
      <c r="BI132" s="45"/>
      <c r="BJ132" s="45"/>
      <c r="BK132" s="45"/>
      <c r="BL132" s="45"/>
      <c r="BM132" s="158"/>
      <c r="BN132" s="558"/>
      <c r="BO132" s="45"/>
      <c r="BP132" s="45"/>
      <c r="BQ132" s="532"/>
      <c r="BR132" s="532"/>
      <c r="BS132" s="532"/>
      <c r="BT132" s="532"/>
      <c r="BU132" s="532"/>
      <c r="BV132" s="559"/>
      <c r="BW132" s="45"/>
      <c r="BX132" s="45"/>
      <c r="BY132" s="45"/>
      <c r="BZ132" s="69"/>
      <c r="CA132" s="69"/>
      <c r="CB132" s="69"/>
      <c r="CC132" s="69"/>
      <c r="CD132" s="69"/>
      <c r="CE132" s="22"/>
      <c r="CF132" s="22"/>
      <c r="CG132" s="22"/>
    </row>
    <row r="133" spans="1:85" ht="15.75" customHeight="1" x14ac:dyDescent="0.45">
      <c r="A133" s="22"/>
      <c r="B133" s="12"/>
      <c r="C133" s="12"/>
      <c r="D133" s="155"/>
      <c r="E133" s="144"/>
      <c r="F133" s="144"/>
      <c r="G133" s="12"/>
      <c r="H133" s="22"/>
      <c r="I133" s="22"/>
      <c r="J133" s="22"/>
      <c r="K133" s="145"/>
      <c r="L133" s="144"/>
      <c r="M133" s="144"/>
      <c r="N133" s="144"/>
      <c r="O133" s="145"/>
      <c r="P133" s="145"/>
      <c r="Q133" s="145"/>
      <c r="R133" s="145"/>
      <c r="S133" s="144"/>
      <c r="T133" s="145"/>
      <c r="U133" s="145"/>
      <c r="V133" s="145"/>
      <c r="W133" s="145"/>
      <c r="X133" s="53"/>
      <c r="Y133" s="74"/>
      <c r="Z133" s="145"/>
      <c r="AA133" s="145"/>
      <c r="AB133" s="145"/>
      <c r="AC133" s="146"/>
      <c r="AD133" s="145"/>
      <c r="AE133" s="145"/>
      <c r="AF133" s="145"/>
      <c r="AG133" s="145"/>
      <c r="AH133" s="146"/>
      <c r="AI133" s="145"/>
      <c r="AJ133" s="145"/>
      <c r="AK133" s="145"/>
      <c r="AL133" s="145"/>
      <c r="AM133" s="145"/>
      <c r="AN133" s="145"/>
      <c r="AO133" s="145"/>
      <c r="AP133" s="74"/>
      <c r="AQ133" s="74"/>
      <c r="AR133" s="74"/>
      <c r="AS133" s="523"/>
      <c r="AT133" s="523"/>
      <c r="AU133" s="523"/>
      <c r="AV133" s="555"/>
      <c r="AW133" s="12"/>
      <c r="AX133" s="12"/>
      <c r="AY133" s="152"/>
      <c r="AZ133" s="22"/>
      <c r="BA133" s="74"/>
      <c r="BB133" s="45"/>
      <c r="BC133" s="22"/>
      <c r="BD133" s="158"/>
      <c r="BE133" s="558"/>
      <c r="BF133" s="45"/>
      <c r="BG133" s="45"/>
      <c r="BH133" s="45"/>
      <c r="BI133" s="45"/>
      <c r="BJ133" s="45"/>
      <c r="BK133" s="45"/>
      <c r="BL133" s="45"/>
      <c r="BM133" s="158"/>
      <c r="BN133" s="558"/>
      <c r="BO133" s="45"/>
      <c r="BP133" s="45"/>
      <c r="BQ133" s="532"/>
      <c r="BR133" s="532"/>
      <c r="BS133" s="532"/>
      <c r="BT133" s="532"/>
      <c r="BU133" s="532"/>
      <c r="BV133" s="559"/>
      <c r="BW133" s="45"/>
      <c r="BX133" s="45"/>
      <c r="BY133" s="45"/>
      <c r="BZ133" s="69"/>
      <c r="CA133" s="69"/>
      <c r="CB133" s="69"/>
      <c r="CC133" s="69"/>
      <c r="CD133" s="69"/>
      <c r="CE133" s="22"/>
      <c r="CF133" s="22"/>
      <c r="CG133" s="22"/>
    </row>
    <row r="134" spans="1:85" ht="15.75" customHeight="1" x14ac:dyDescent="0.45">
      <c r="A134" s="22"/>
      <c r="B134" s="12"/>
      <c r="C134" s="12"/>
      <c r="D134" s="155"/>
      <c r="E134" s="144"/>
      <c r="F134" s="144"/>
      <c r="G134" s="12"/>
      <c r="H134" s="22"/>
      <c r="I134" s="22"/>
      <c r="J134" s="22"/>
      <c r="K134" s="145"/>
      <c r="L134" s="144"/>
      <c r="M134" s="144"/>
      <c r="N134" s="144"/>
      <c r="O134" s="145"/>
      <c r="P134" s="145"/>
      <c r="Q134" s="145"/>
      <c r="R134" s="145"/>
      <c r="S134" s="144"/>
      <c r="T134" s="145"/>
      <c r="U134" s="145"/>
      <c r="V134" s="145"/>
      <c r="W134" s="145"/>
      <c r="X134" s="53"/>
      <c r="Y134" s="74"/>
      <c r="Z134" s="145"/>
      <c r="AA134" s="145"/>
      <c r="AB134" s="145"/>
      <c r="AC134" s="146"/>
      <c r="AD134" s="145"/>
      <c r="AE134" s="145"/>
      <c r="AF134" s="145"/>
      <c r="AG134" s="145"/>
      <c r="AH134" s="146"/>
      <c r="AI134" s="145"/>
      <c r="AJ134" s="145"/>
      <c r="AK134" s="145"/>
      <c r="AL134" s="145"/>
      <c r="AM134" s="145"/>
      <c r="AN134" s="145"/>
      <c r="AO134" s="145"/>
      <c r="AP134" s="74"/>
      <c r="AQ134" s="74"/>
      <c r="AR134" s="74"/>
      <c r="AS134" s="523"/>
      <c r="AT134" s="523"/>
      <c r="AU134" s="523"/>
      <c r="AV134" s="555"/>
      <c r="AW134" s="12"/>
      <c r="AX134" s="12"/>
      <c r="AY134" s="152"/>
      <c r="AZ134" s="22"/>
      <c r="BA134" s="74"/>
      <c r="BB134" s="45"/>
      <c r="BC134" s="22"/>
      <c r="BD134" s="158"/>
      <c r="BE134" s="558"/>
      <c r="BF134" s="45"/>
      <c r="BG134" s="45"/>
      <c r="BH134" s="45"/>
      <c r="BI134" s="45"/>
      <c r="BJ134" s="45"/>
      <c r="BK134" s="45"/>
      <c r="BL134" s="45"/>
      <c r="BM134" s="158"/>
      <c r="BN134" s="558"/>
      <c r="BO134" s="45"/>
      <c r="BP134" s="45"/>
      <c r="BQ134" s="532"/>
      <c r="BR134" s="532"/>
      <c r="BS134" s="532"/>
      <c r="BT134" s="532"/>
      <c r="BU134" s="532"/>
      <c r="BV134" s="559"/>
      <c r="BW134" s="45"/>
      <c r="BX134" s="45"/>
      <c r="BY134" s="45"/>
      <c r="BZ134" s="69"/>
      <c r="CA134" s="69"/>
      <c r="CB134" s="69"/>
      <c r="CC134" s="69"/>
      <c r="CD134" s="69"/>
      <c r="CE134" s="22"/>
      <c r="CF134" s="22"/>
      <c r="CG134" s="22"/>
    </row>
    <row r="135" spans="1:85" ht="15.75" customHeight="1" x14ac:dyDescent="0.45">
      <c r="A135" s="22"/>
      <c r="B135" s="12"/>
      <c r="C135" s="12"/>
      <c r="D135" s="155"/>
      <c r="E135" s="144"/>
      <c r="F135" s="144"/>
      <c r="G135" s="12"/>
      <c r="H135" s="22"/>
      <c r="I135" s="22"/>
      <c r="J135" s="22"/>
      <c r="K135" s="145"/>
      <c r="L135" s="144"/>
      <c r="M135" s="144"/>
      <c r="N135" s="144"/>
      <c r="O135" s="145"/>
      <c r="P135" s="145"/>
      <c r="Q135" s="145"/>
      <c r="R135" s="145"/>
      <c r="S135" s="144"/>
      <c r="T135" s="145"/>
      <c r="U135" s="145"/>
      <c r="V135" s="145"/>
      <c r="W135" s="145"/>
      <c r="X135" s="53"/>
      <c r="Y135" s="74"/>
      <c r="Z135" s="145"/>
      <c r="AA135" s="145"/>
      <c r="AB135" s="145"/>
      <c r="AC135" s="146"/>
      <c r="AD135" s="145"/>
      <c r="AE135" s="145"/>
      <c r="AF135" s="145"/>
      <c r="AG135" s="145"/>
      <c r="AH135" s="146"/>
      <c r="AI135" s="145"/>
      <c r="AJ135" s="145"/>
      <c r="AK135" s="145"/>
      <c r="AL135" s="145"/>
      <c r="AM135" s="145"/>
      <c r="AN135" s="145"/>
      <c r="AO135" s="145"/>
      <c r="AP135" s="74"/>
      <c r="AQ135" s="74"/>
      <c r="AR135" s="74"/>
      <c r="AS135" s="523"/>
      <c r="AT135" s="523"/>
      <c r="AU135" s="523"/>
      <c r="AV135" s="555"/>
      <c r="AW135" s="12"/>
      <c r="AX135" s="12"/>
      <c r="AY135" s="152"/>
      <c r="AZ135" s="22"/>
      <c r="BA135" s="74"/>
      <c r="BB135" s="45"/>
      <c r="BC135" s="22"/>
      <c r="BD135" s="158"/>
      <c r="BE135" s="558"/>
      <c r="BF135" s="45"/>
      <c r="BG135" s="45"/>
      <c r="BH135" s="45"/>
      <c r="BI135" s="45"/>
      <c r="BJ135" s="45"/>
      <c r="BK135" s="45"/>
      <c r="BL135" s="45"/>
      <c r="BM135" s="158"/>
      <c r="BN135" s="558"/>
      <c r="BO135" s="45"/>
      <c r="BP135" s="45"/>
      <c r="BQ135" s="532"/>
      <c r="BR135" s="532"/>
      <c r="BS135" s="532"/>
      <c r="BT135" s="532"/>
      <c r="BU135" s="532"/>
      <c r="BV135" s="559"/>
      <c r="BW135" s="45"/>
      <c r="BX135" s="45"/>
      <c r="BY135" s="45"/>
      <c r="BZ135" s="69"/>
      <c r="CA135" s="69"/>
      <c r="CB135" s="69"/>
      <c r="CC135" s="69"/>
      <c r="CD135" s="69"/>
      <c r="CE135" s="22"/>
      <c r="CF135" s="22"/>
      <c r="CG135" s="22"/>
    </row>
    <row r="136" spans="1:85" ht="15.75" customHeight="1" x14ac:dyDescent="0.45">
      <c r="A136" s="22"/>
      <c r="B136" s="12"/>
      <c r="C136" s="12"/>
      <c r="D136" s="155"/>
      <c r="E136" s="144"/>
      <c r="F136" s="144"/>
      <c r="G136" s="12"/>
      <c r="H136" s="22"/>
      <c r="I136" s="22"/>
      <c r="J136" s="22"/>
      <c r="K136" s="145"/>
      <c r="L136" s="144"/>
      <c r="M136" s="144"/>
      <c r="N136" s="144"/>
      <c r="O136" s="145"/>
      <c r="P136" s="145"/>
      <c r="Q136" s="145"/>
      <c r="R136" s="145"/>
      <c r="S136" s="144"/>
      <c r="T136" s="145"/>
      <c r="U136" s="145"/>
      <c r="V136" s="145"/>
      <c r="W136" s="145"/>
      <c r="X136" s="53"/>
      <c r="Y136" s="74"/>
      <c r="Z136" s="145"/>
      <c r="AA136" s="145"/>
      <c r="AB136" s="145"/>
      <c r="AC136" s="146"/>
      <c r="AD136" s="145"/>
      <c r="AE136" s="145"/>
      <c r="AF136" s="145"/>
      <c r="AG136" s="145"/>
      <c r="AH136" s="146"/>
      <c r="AI136" s="145"/>
      <c r="AJ136" s="145"/>
      <c r="AK136" s="145"/>
      <c r="AL136" s="145"/>
      <c r="AM136" s="145"/>
      <c r="AN136" s="145"/>
      <c r="AO136" s="145"/>
      <c r="AP136" s="74"/>
      <c r="AQ136" s="74"/>
      <c r="AR136" s="74"/>
      <c r="AS136" s="523"/>
      <c r="AT136" s="523"/>
      <c r="AU136" s="523"/>
      <c r="AV136" s="555"/>
      <c r="AW136" s="12"/>
      <c r="AX136" s="12"/>
      <c r="AY136" s="152"/>
      <c r="AZ136" s="22"/>
      <c r="BA136" s="74"/>
      <c r="BB136" s="45"/>
      <c r="BC136" s="22"/>
      <c r="BD136" s="158"/>
      <c r="BE136" s="558"/>
      <c r="BF136" s="45"/>
      <c r="BG136" s="45"/>
      <c r="BH136" s="45"/>
      <c r="BI136" s="45"/>
      <c r="BJ136" s="45"/>
      <c r="BK136" s="45"/>
      <c r="BL136" s="45"/>
      <c r="BM136" s="158"/>
      <c r="BN136" s="558"/>
      <c r="BO136" s="45"/>
      <c r="BP136" s="45"/>
      <c r="BQ136" s="532"/>
      <c r="BR136" s="532"/>
      <c r="BS136" s="532"/>
      <c r="BT136" s="532"/>
      <c r="BU136" s="532"/>
      <c r="BV136" s="559"/>
      <c r="BW136" s="45"/>
      <c r="BX136" s="45"/>
      <c r="BY136" s="45"/>
      <c r="BZ136" s="69"/>
      <c r="CA136" s="69"/>
      <c r="CB136" s="69"/>
      <c r="CC136" s="69"/>
      <c r="CD136" s="69"/>
      <c r="CE136" s="22"/>
      <c r="CF136" s="22"/>
      <c r="CG136" s="22"/>
    </row>
    <row r="137" spans="1:85" ht="15.75" customHeight="1" x14ac:dyDescent="0.45">
      <c r="A137" s="22"/>
      <c r="B137" s="12"/>
      <c r="C137" s="12"/>
      <c r="D137" s="155"/>
      <c r="E137" s="144"/>
      <c r="F137" s="144"/>
      <c r="G137" s="12"/>
      <c r="H137" s="22"/>
      <c r="I137" s="22"/>
      <c r="J137" s="22"/>
      <c r="K137" s="145"/>
      <c r="L137" s="144"/>
      <c r="M137" s="144"/>
      <c r="N137" s="144"/>
      <c r="O137" s="145"/>
      <c r="P137" s="145"/>
      <c r="Q137" s="145"/>
      <c r="R137" s="145"/>
      <c r="S137" s="144"/>
      <c r="T137" s="145"/>
      <c r="U137" s="145"/>
      <c r="V137" s="145"/>
      <c r="W137" s="145"/>
      <c r="X137" s="53"/>
      <c r="Y137" s="74"/>
      <c r="Z137" s="145"/>
      <c r="AA137" s="145"/>
      <c r="AB137" s="145"/>
      <c r="AC137" s="146"/>
      <c r="AD137" s="145"/>
      <c r="AE137" s="145"/>
      <c r="AF137" s="145"/>
      <c r="AG137" s="145"/>
      <c r="AH137" s="146"/>
      <c r="AI137" s="145"/>
      <c r="AJ137" s="145"/>
      <c r="AK137" s="145"/>
      <c r="AL137" s="145"/>
      <c r="AM137" s="145"/>
      <c r="AN137" s="145"/>
      <c r="AO137" s="145"/>
      <c r="AP137" s="74"/>
      <c r="AQ137" s="74"/>
      <c r="AR137" s="74"/>
      <c r="AS137" s="523"/>
      <c r="AT137" s="523"/>
      <c r="AU137" s="523"/>
      <c r="AV137" s="555"/>
      <c r="AW137" s="12"/>
      <c r="AX137" s="12"/>
      <c r="AY137" s="152"/>
      <c r="AZ137" s="22"/>
      <c r="BA137" s="74"/>
      <c r="BB137" s="45"/>
      <c r="BC137" s="22"/>
      <c r="BD137" s="158"/>
      <c r="BE137" s="558"/>
      <c r="BF137" s="45"/>
      <c r="BG137" s="45"/>
      <c r="BH137" s="45"/>
      <c r="BI137" s="45"/>
      <c r="BJ137" s="45"/>
      <c r="BK137" s="45"/>
      <c r="BL137" s="45"/>
      <c r="BM137" s="158"/>
      <c r="BN137" s="558"/>
      <c r="BO137" s="45"/>
      <c r="BP137" s="45"/>
      <c r="BQ137" s="149"/>
      <c r="BR137" s="149"/>
      <c r="BS137" s="149"/>
      <c r="BT137" s="149"/>
      <c r="BU137" s="149"/>
      <c r="BV137" s="559"/>
      <c r="BW137" s="45"/>
      <c r="BX137" s="45"/>
      <c r="BY137" s="45"/>
      <c r="BZ137" s="69"/>
      <c r="CA137" s="69"/>
      <c r="CB137" s="69"/>
      <c r="CC137" s="69"/>
      <c r="CD137" s="69"/>
      <c r="CE137" s="22"/>
      <c r="CF137" s="22"/>
      <c r="CG137" s="22"/>
    </row>
    <row r="138" spans="1:85" ht="15.75" customHeight="1" x14ac:dyDescent="0.45">
      <c r="A138" s="22"/>
      <c r="B138" s="12"/>
      <c r="C138" s="12"/>
      <c r="D138" s="155"/>
      <c r="E138" s="144"/>
      <c r="F138" s="144"/>
      <c r="G138" s="12"/>
      <c r="H138" s="22"/>
      <c r="I138" s="22"/>
      <c r="J138" s="22"/>
      <c r="K138" s="145"/>
      <c r="L138" s="144"/>
      <c r="M138" s="144"/>
      <c r="N138" s="144"/>
      <c r="O138" s="145"/>
      <c r="P138" s="145"/>
      <c r="Q138" s="145"/>
      <c r="R138" s="145"/>
      <c r="S138" s="144"/>
      <c r="T138" s="145"/>
      <c r="U138" s="145"/>
      <c r="V138" s="145"/>
      <c r="W138" s="145"/>
      <c r="X138" s="53"/>
      <c r="Y138" s="74"/>
      <c r="Z138" s="145"/>
      <c r="AA138" s="145"/>
      <c r="AB138" s="145"/>
      <c r="AC138" s="146"/>
      <c r="AD138" s="145"/>
      <c r="AE138" s="145"/>
      <c r="AF138" s="145"/>
      <c r="AG138" s="145"/>
      <c r="AH138" s="146"/>
      <c r="AI138" s="145"/>
      <c r="AJ138" s="145"/>
      <c r="AK138" s="145"/>
      <c r="AL138" s="145"/>
      <c r="AM138" s="145"/>
      <c r="AN138" s="145"/>
      <c r="AO138" s="145"/>
      <c r="AP138" s="74"/>
      <c r="AQ138" s="74"/>
      <c r="AR138" s="74"/>
      <c r="AS138" s="523"/>
      <c r="AT138" s="523"/>
      <c r="AU138" s="523"/>
      <c r="AV138" s="555"/>
      <c r="AW138" s="12"/>
      <c r="AX138" s="12"/>
      <c r="AY138" s="152"/>
      <c r="AZ138" s="22"/>
      <c r="BA138" s="74"/>
      <c r="BB138" s="45"/>
      <c r="BC138" s="22"/>
      <c r="BD138" s="158"/>
      <c r="BE138" s="558"/>
      <c r="BF138" s="45"/>
      <c r="BG138" s="45"/>
      <c r="BH138" s="45"/>
      <c r="BI138" s="45"/>
      <c r="BJ138" s="45"/>
      <c r="BK138" s="45"/>
      <c r="BL138" s="45"/>
      <c r="BM138" s="158"/>
      <c r="BN138" s="558"/>
      <c r="BO138" s="45"/>
      <c r="BP138" s="45"/>
      <c r="BQ138" s="149"/>
      <c r="BR138" s="149"/>
      <c r="BS138" s="149"/>
      <c r="BT138" s="149"/>
      <c r="BU138" s="149"/>
      <c r="BV138" s="559"/>
      <c r="BW138" s="45"/>
      <c r="BX138" s="45"/>
      <c r="BY138" s="45"/>
      <c r="BZ138" s="69"/>
      <c r="CA138" s="69"/>
      <c r="CB138" s="69"/>
      <c r="CC138" s="69"/>
      <c r="CD138" s="69"/>
      <c r="CE138" s="22"/>
      <c r="CF138" s="22"/>
      <c r="CG138" s="22"/>
    </row>
    <row r="139" spans="1:85" ht="15.75" customHeight="1" x14ac:dyDescent="0.45">
      <c r="A139" s="22"/>
      <c r="B139" s="12"/>
      <c r="C139" s="12"/>
      <c r="D139" s="155"/>
      <c r="E139" s="144"/>
      <c r="F139" s="144"/>
      <c r="G139" s="12"/>
      <c r="H139" s="22"/>
      <c r="I139" s="22"/>
      <c r="J139" s="22"/>
      <c r="K139" s="145"/>
      <c r="L139" s="144"/>
      <c r="M139" s="144"/>
      <c r="N139" s="144"/>
      <c r="O139" s="145"/>
      <c r="P139" s="145"/>
      <c r="Q139" s="145"/>
      <c r="R139" s="145"/>
      <c r="S139" s="144"/>
      <c r="T139" s="145"/>
      <c r="U139" s="145"/>
      <c r="V139" s="145"/>
      <c r="W139" s="145"/>
      <c r="X139" s="53"/>
      <c r="Y139" s="74"/>
      <c r="Z139" s="145"/>
      <c r="AA139" s="145"/>
      <c r="AB139" s="145"/>
      <c r="AC139" s="146"/>
      <c r="AD139" s="145"/>
      <c r="AE139" s="145"/>
      <c r="AF139" s="145"/>
      <c r="AG139" s="145"/>
      <c r="AH139" s="146"/>
      <c r="AI139" s="145"/>
      <c r="AJ139" s="145"/>
      <c r="AK139" s="145"/>
      <c r="AL139" s="145"/>
      <c r="AM139" s="145"/>
      <c r="AN139" s="145"/>
      <c r="AO139" s="145"/>
      <c r="AP139" s="74"/>
      <c r="AQ139" s="74"/>
      <c r="AR139" s="74"/>
      <c r="AS139" s="523"/>
      <c r="AT139" s="523"/>
      <c r="AU139" s="523"/>
      <c r="AV139" s="555"/>
      <c r="AW139" s="12"/>
      <c r="AX139" s="12"/>
      <c r="AY139" s="152"/>
      <c r="AZ139" s="22"/>
      <c r="BA139" s="74"/>
      <c r="BB139" s="45"/>
      <c r="BC139" s="22"/>
      <c r="BD139" s="158"/>
      <c r="BE139" s="558"/>
      <c r="BF139" s="45"/>
      <c r="BG139" s="45"/>
      <c r="BH139" s="45"/>
      <c r="BI139" s="45"/>
      <c r="BJ139" s="45"/>
      <c r="BK139" s="45"/>
      <c r="BL139" s="45"/>
      <c r="BM139" s="158"/>
      <c r="BN139" s="558"/>
      <c r="BO139" s="45"/>
      <c r="BP139" s="45"/>
      <c r="BQ139" s="532"/>
      <c r="BR139" s="532"/>
      <c r="BS139" s="532"/>
      <c r="BT139" s="532"/>
      <c r="BU139" s="532"/>
      <c r="BV139" s="559"/>
      <c r="BW139" s="45"/>
      <c r="BX139" s="45"/>
      <c r="BY139" s="45"/>
      <c r="BZ139" s="69"/>
      <c r="CA139" s="69"/>
      <c r="CB139" s="69"/>
      <c r="CC139" s="69"/>
      <c r="CD139" s="69"/>
      <c r="CE139" s="22"/>
      <c r="CF139" s="22"/>
      <c r="CG139" s="22"/>
    </row>
    <row r="140" spans="1:85" ht="15.75" customHeight="1" x14ac:dyDescent="0.45">
      <c r="A140" s="22"/>
      <c r="B140" s="12"/>
      <c r="C140" s="12"/>
      <c r="D140" s="155"/>
      <c r="E140" s="144"/>
      <c r="F140" s="144"/>
      <c r="G140" s="12"/>
      <c r="H140" s="22"/>
      <c r="I140" s="22"/>
      <c r="J140" s="22"/>
      <c r="K140" s="145"/>
      <c r="L140" s="144"/>
      <c r="M140" s="144"/>
      <c r="N140" s="144"/>
      <c r="O140" s="145"/>
      <c r="P140" s="145"/>
      <c r="Q140" s="145"/>
      <c r="R140" s="145"/>
      <c r="S140" s="144"/>
      <c r="T140" s="145"/>
      <c r="U140" s="145"/>
      <c r="V140" s="145"/>
      <c r="W140" s="145"/>
      <c r="X140" s="53"/>
      <c r="Y140" s="74"/>
      <c r="Z140" s="145"/>
      <c r="AA140" s="145"/>
      <c r="AB140" s="145"/>
      <c r="AC140" s="146"/>
      <c r="AD140" s="145"/>
      <c r="AE140" s="145"/>
      <c r="AF140" s="145"/>
      <c r="AG140" s="145"/>
      <c r="AH140" s="146"/>
      <c r="AI140" s="145"/>
      <c r="AJ140" s="145"/>
      <c r="AK140" s="145"/>
      <c r="AL140" s="145"/>
      <c r="AM140" s="145"/>
      <c r="AN140" s="145"/>
      <c r="AO140" s="145"/>
      <c r="AP140" s="74"/>
      <c r="AQ140" s="74"/>
      <c r="AR140" s="74"/>
      <c r="AS140" s="523"/>
      <c r="AT140" s="523"/>
      <c r="AU140" s="523"/>
      <c r="AV140" s="555"/>
      <c r="AW140" s="12"/>
      <c r="AX140" s="12"/>
      <c r="AY140" s="152"/>
      <c r="AZ140" s="22"/>
      <c r="BA140" s="74"/>
      <c r="BB140" s="45"/>
      <c r="BC140" s="22"/>
      <c r="BD140" s="158"/>
      <c r="BE140" s="558"/>
      <c r="BF140" s="45"/>
      <c r="BG140" s="45"/>
      <c r="BH140" s="45"/>
      <c r="BI140" s="45"/>
      <c r="BJ140" s="45"/>
      <c r="BK140" s="45"/>
      <c r="BL140" s="45"/>
      <c r="BM140" s="158"/>
      <c r="BN140" s="558"/>
      <c r="BO140" s="45"/>
      <c r="BP140" s="45"/>
      <c r="BQ140" s="532"/>
      <c r="BR140" s="532"/>
      <c r="BS140" s="532"/>
      <c r="BT140" s="532"/>
      <c r="BU140" s="532"/>
      <c r="BV140" s="559"/>
      <c r="BW140" s="45"/>
      <c r="BX140" s="45"/>
      <c r="BY140" s="45"/>
      <c r="BZ140" s="69"/>
      <c r="CA140" s="69"/>
      <c r="CB140" s="69"/>
      <c r="CC140" s="69"/>
      <c r="CD140" s="69"/>
      <c r="CE140" s="22"/>
      <c r="CF140" s="22"/>
      <c r="CG140" s="22"/>
    </row>
    <row r="141" spans="1:85" ht="15.75" customHeight="1" x14ac:dyDescent="0.45">
      <c r="A141" s="22"/>
      <c r="B141" s="12"/>
      <c r="C141" s="12"/>
      <c r="D141" s="155"/>
      <c r="E141" s="144"/>
      <c r="F141" s="144"/>
      <c r="G141" s="12"/>
      <c r="H141" s="22"/>
      <c r="I141" s="22"/>
      <c r="J141" s="22"/>
      <c r="K141" s="145"/>
      <c r="L141" s="144"/>
      <c r="M141" s="144"/>
      <c r="N141" s="144"/>
      <c r="O141" s="145"/>
      <c r="P141" s="145"/>
      <c r="Q141" s="145"/>
      <c r="R141" s="145"/>
      <c r="S141" s="144"/>
      <c r="T141" s="145"/>
      <c r="U141" s="145"/>
      <c r="V141" s="145"/>
      <c r="W141" s="145"/>
      <c r="X141" s="53"/>
      <c r="Y141" s="74"/>
      <c r="Z141" s="145"/>
      <c r="AA141" s="145"/>
      <c r="AB141" s="145"/>
      <c r="AC141" s="146"/>
      <c r="AD141" s="145"/>
      <c r="AE141" s="145"/>
      <c r="AF141" s="145"/>
      <c r="AG141" s="145"/>
      <c r="AH141" s="146"/>
      <c r="AI141" s="145"/>
      <c r="AJ141" s="145"/>
      <c r="AK141" s="145"/>
      <c r="AL141" s="145"/>
      <c r="AM141" s="145"/>
      <c r="AN141" s="145"/>
      <c r="AO141" s="145"/>
      <c r="AP141" s="74"/>
      <c r="AQ141" s="74"/>
      <c r="AR141" s="74"/>
      <c r="AS141" s="523"/>
      <c r="AT141" s="523"/>
      <c r="AU141" s="523"/>
      <c r="AV141" s="555"/>
      <c r="AW141" s="12"/>
      <c r="AX141" s="12"/>
      <c r="AY141" s="152"/>
      <c r="AZ141" s="22"/>
      <c r="BA141" s="74"/>
      <c r="BB141" s="45"/>
      <c r="BC141" s="22"/>
      <c r="BD141" s="158"/>
      <c r="BE141" s="558"/>
      <c r="BF141" s="45"/>
      <c r="BG141" s="45"/>
      <c r="BH141" s="45"/>
      <c r="BI141" s="45"/>
      <c r="BJ141" s="45"/>
      <c r="BK141" s="45"/>
      <c r="BL141" s="45"/>
      <c r="BM141" s="158"/>
      <c r="BN141" s="558"/>
      <c r="BO141" s="45"/>
      <c r="BP141" s="45"/>
      <c r="BQ141" s="532"/>
      <c r="BR141" s="532"/>
      <c r="BS141" s="532"/>
      <c r="BT141" s="532"/>
      <c r="BU141" s="532"/>
      <c r="BV141" s="559"/>
      <c r="BW141" s="45"/>
      <c r="BX141" s="45"/>
      <c r="BY141" s="45"/>
      <c r="BZ141" s="69"/>
      <c r="CA141" s="69"/>
      <c r="CB141" s="69"/>
      <c r="CC141" s="69"/>
      <c r="CD141" s="69"/>
      <c r="CE141" s="22"/>
      <c r="CF141" s="22"/>
      <c r="CG141" s="22"/>
    </row>
    <row r="142" spans="1:85" ht="15.75" customHeight="1" x14ac:dyDescent="0.45">
      <c r="A142" s="22"/>
      <c r="B142" s="12"/>
      <c r="C142" s="12"/>
      <c r="D142" s="155"/>
      <c r="E142" s="144"/>
      <c r="F142" s="144"/>
      <c r="G142" s="12"/>
      <c r="H142" s="22"/>
      <c r="I142" s="22"/>
      <c r="J142" s="22"/>
      <c r="K142" s="145"/>
      <c r="L142" s="144"/>
      <c r="M142" s="144"/>
      <c r="N142" s="144"/>
      <c r="O142" s="145"/>
      <c r="P142" s="145"/>
      <c r="Q142" s="145"/>
      <c r="R142" s="145"/>
      <c r="S142" s="144"/>
      <c r="T142" s="145"/>
      <c r="U142" s="145"/>
      <c r="V142" s="145"/>
      <c r="W142" s="145"/>
      <c r="X142" s="53"/>
      <c r="Y142" s="74"/>
      <c r="Z142" s="145"/>
      <c r="AA142" s="145"/>
      <c r="AB142" s="145"/>
      <c r="AC142" s="146"/>
      <c r="AD142" s="145"/>
      <c r="AE142" s="145"/>
      <c r="AF142" s="145"/>
      <c r="AG142" s="145"/>
      <c r="AH142" s="146"/>
      <c r="AI142" s="145"/>
      <c r="AJ142" s="145"/>
      <c r="AK142" s="145"/>
      <c r="AL142" s="145"/>
      <c r="AM142" s="145"/>
      <c r="AN142" s="145"/>
      <c r="AO142" s="145"/>
      <c r="AP142" s="74"/>
      <c r="AQ142" s="74"/>
      <c r="AR142" s="74"/>
      <c r="AS142" s="523"/>
      <c r="AT142" s="523"/>
      <c r="AU142" s="523"/>
      <c r="AV142" s="555"/>
      <c r="AW142" s="12"/>
      <c r="AX142" s="12"/>
      <c r="AY142" s="152"/>
      <c r="AZ142" s="22"/>
      <c r="BA142" s="74"/>
      <c r="BB142" s="45"/>
      <c r="BC142" s="22"/>
      <c r="BD142" s="158"/>
      <c r="BE142" s="558"/>
      <c r="BF142" s="45"/>
      <c r="BG142" s="45"/>
      <c r="BH142" s="45"/>
      <c r="BI142" s="45"/>
      <c r="BJ142" s="45"/>
      <c r="BK142" s="45"/>
      <c r="BL142" s="45"/>
      <c r="BM142" s="158"/>
      <c r="BN142" s="558"/>
      <c r="BO142" s="45"/>
      <c r="BP142" s="45"/>
      <c r="BQ142" s="149"/>
      <c r="BR142" s="149"/>
      <c r="BS142" s="149"/>
      <c r="BT142" s="149"/>
      <c r="BU142" s="149"/>
      <c r="BV142" s="559"/>
      <c r="BW142" s="45"/>
      <c r="BX142" s="45"/>
      <c r="BY142" s="45"/>
      <c r="BZ142" s="69"/>
      <c r="CA142" s="69"/>
      <c r="CB142" s="69"/>
      <c r="CC142" s="69"/>
      <c r="CD142" s="69"/>
      <c r="CE142" s="22"/>
      <c r="CF142" s="22"/>
      <c r="CG142" s="22"/>
    </row>
    <row r="143" spans="1:85" ht="15.75" customHeight="1" x14ac:dyDescent="0.45">
      <c r="A143" s="22"/>
      <c r="B143" s="12"/>
      <c r="C143" s="12"/>
      <c r="D143" s="155"/>
      <c r="E143" s="144"/>
      <c r="F143" s="144"/>
      <c r="G143" s="12"/>
      <c r="H143" s="22"/>
      <c r="I143" s="22"/>
      <c r="J143" s="22"/>
      <c r="K143" s="145"/>
      <c r="L143" s="144"/>
      <c r="M143" s="144"/>
      <c r="N143" s="144"/>
      <c r="O143" s="145"/>
      <c r="P143" s="145"/>
      <c r="Q143" s="145"/>
      <c r="R143" s="145"/>
      <c r="S143" s="144"/>
      <c r="T143" s="145"/>
      <c r="U143" s="145"/>
      <c r="V143" s="145"/>
      <c r="W143" s="145"/>
      <c r="X143" s="53"/>
      <c r="Y143" s="74"/>
      <c r="Z143" s="145"/>
      <c r="AA143" s="145"/>
      <c r="AB143" s="145"/>
      <c r="AC143" s="146"/>
      <c r="AD143" s="145"/>
      <c r="AE143" s="145"/>
      <c r="AF143" s="145"/>
      <c r="AG143" s="145"/>
      <c r="AH143" s="146"/>
      <c r="AI143" s="145"/>
      <c r="AJ143" s="145"/>
      <c r="AK143" s="145"/>
      <c r="AL143" s="145"/>
      <c r="AM143" s="145"/>
      <c r="AN143" s="145"/>
      <c r="AO143" s="145"/>
      <c r="AP143" s="74"/>
      <c r="AQ143" s="74"/>
      <c r="AR143" s="74"/>
      <c r="AS143" s="523"/>
      <c r="AT143" s="523"/>
      <c r="AU143" s="523"/>
      <c r="AV143" s="555"/>
      <c r="AW143" s="12"/>
      <c r="AX143" s="12"/>
      <c r="AY143" s="152"/>
      <c r="AZ143" s="22"/>
      <c r="BA143" s="74"/>
      <c r="BB143" s="45"/>
      <c r="BC143" s="22"/>
      <c r="BD143" s="158"/>
      <c r="BE143" s="558"/>
      <c r="BF143" s="45"/>
      <c r="BG143" s="45"/>
      <c r="BH143" s="45"/>
      <c r="BI143" s="45"/>
      <c r="BJ143" s="45"/>
      <c r="BK143" s="45"/>
      <c r="BL143" s="45"/>
      <c r="BM143" s="158"/>
      <c r="BN143" s="558"/>
      <c r="BO143" s="45"/>
      <c r="BP143" s="45"/>
      <c r="BQ143" s="149"/>
      <c r="BR143" s="149"/>
      <c r="BS143" s="149"/>
      <c r="BT143" s="149"/>
      <c r="BU143" s="149"/>
      <c r="BV143" s="559"/>
      <c r="BW143" s="45"/>
      <c r="BX143" s="45"/>
      <c r="BY143" s="45"/>
      <c r="BZ143" s="69"/>
      <c r="CA143" s="69"/>
      <c r="CB143" s="69"/>
      <c r="CC143" s="69"/>
      <c r="CD143" s="69"/>
      <c r="CE143" s="22"/>
      <c r="CF143" s="22"/>
      <c r="CG143" s="22"/>
    </row>
    <row r="144" spans="1:85" ht="15.75" customHeight="1" x14ac:dyDescent="0.45">
      <c r="A144" s="22"/>
      <c r="B144" s="12"/>
      <c r="C144" s="12"/>
      <c r="D144" s="155"/>
      <c r="E144" s="144"/>
      <c r="F144" s="144"/>
      <c r="G144" s="12"/>
      <c r="H144" s="22"/>
      <c r="I144" s="22"/>
      <c r="J144" s="22"/>
      <c r="K144" s="145"/>
      <c r="L144" s="144"/>
      <c r="M144" s="144"/>
      <c r="N144" s="144"/>
      <c r="O144" s="145"/>
      <c r="P144" s="145"/>
      <c r="Q144" s="145"/>
      <c r="R144" s="145"/>
      <c r="S144" s="144"/>
      <c r="T144" s="145"/>
      <c r="U144" s="145"/>
      <c r="V144" s="145"/>
      <c r="W144" s="145"/>
      <c r="X144" s="53"/>
      <c r="Y144" s="74"/>
      <c r="Z144" s="145"/>
      <c r="AA144" s="145"/>
      <c r="AB144" s="145"/>
      <c r="AC144" s="146"/>
      <c r="AD144" s="145"/>
      <c r="AE144" s="145"/>
      <c r="AF144" s="145"/>
      <c r="AG144" s="145"/>
      <c r="AH144" s="146"/>
      <c r="AI144" s="145"/>
      <c r="AJ144" s="145"/>
      <c r="AK144" s="145"/>
      <c r="AL144" s="145"/>
      <c r="AM144" s="145"/>
      <c r="AN144" s="145"/>
      <c r="AO144" s="145"/>
      <c r="AP144" s="74"/>
      <c r="AQ144" s="74"/>
      <c r="AR144" s="74"/>
      <c r="AS144" s="523"/>
      <c r="AT144" s="523"/>
      <c r="AU144" s="523"/>
      <c r="AV144" s="555"/>
      <c r="AW144" s="12"/>
      <c r="AX144" s="12"/>
      <c r="AY144" s="152"/>
      <c r="AZ144" s="22"/>
      <c r="BA144" s="74"/>
      <c r="BB144" s="45"/>
      <c r="BC144" s="22"/>
      <c r="BD144" s="158"/>
      <c r="BE144" s="558"/>
      <c r="BF144" s="45"/>
      <c r="BG144" s="45"/>
      <c r="BH144" s="45"/>
      <c r="BI144" s="45"/>
      <c r="BJ144" s="45"/>
      <c r="BK144" s="45"/>
      <c r="BL144" s="45"/>
      <c r="BM144" s="158"/>
      <c r="BN144" s="558"/>
      <c r="BO144" s="45"/>
      <c r="BP144" s="45"/>
      <c r="BQ144" s="149"/>
      <c r="BR144" s="149"/>
      <c r="BS144" s="149"/>
      <c r="BT144" s="149"/>
      <c r="BU144" s="149"/>
      <c r="BV144" s="559"/>
      <c r="BW144" s="45"/>
      <c r="BX144" s="45"/>
      <c r="BY144" s="45"/>
      <c r="BZ144" s="69"/>
      <c r="CA144" s="69"/>
      <c r="CB144" s="69"/>
      <c r="CC144" s="69"/>
      <c r="CD144" s="69"/>
      <c r="CE144" s="22"/>
      <c r="CF144" s="22"/>
      <c r="CG144" s="22"/>
    </row>
    <row r="145" spans="1:85" ht="15.75" customHeight="1" x14ac:dyDescent="0.45">
      <c r="A145" s="22"/>
      <c r="B145" s="12"/>
      <c r="C145" s="12"/>
      <c r="D145" s="155"/>
      <c r="E145" s="144"/>
      <c r="F145" s="144"/>
      <c r="G145" s="12"/>
      <c r="H145" s="22"/>
      <c r="I145" s="22"/>
      <c r="J145" s="22"/>
      <c r="K145" s="145"/>
      <c r="L145" s="144"/>
      <c r="M145" s="144"/>
      <c r="N145" s="144"/>
      <c r="O145" s="145"/>
      <c r="P145" s="145"/>
      <c r="Q145" s="145"/>
      <c r="R145" s="145"/>
      <c r="S145" s="144"/>
      <c r="T145" s="145"/>
      <c r="U145" s="145"/>
      <c r="V145" s="145"/>
      <c r="W145" s="145"/>
      <c r="X145" s="53"/>
      <c r="Y145" s="74"/>
      <c r="Z145" s="145"/>
      <c r="AA145" s="145"/>
      <c r="AB145" s="145"/>
      <c r="AC145" s="146"/>
      <c r="AD145" s="145"/>
      <c r="AE145" s="145"/>
      <c r="AF145" s="145"/>
      <c r="AG145" s="145"/>
      <c r="AH145" s="146"/>
      <c r="AI145" s="145"/>
      <c r="AJ145" s="145"/>
      <c r="AK145" s="145"/>
      <c r="AL145" s="145"/>
      <c r="AM145" s="145"/>
      <c r="AN145" s="145"/>
      <c r="AO145" s="145"/>
      <c r="AP145" s="74"/>
      <c r="AQ145" s="74"/>
      <c r="AR145" s="74"/>
      <c r="AS145" s="523"/>
      <c r="AT145" s="523"/>
      <c r="AU145" s="523"/>
      <c r="AV145" s="555"/>
      <c r="AW145" s="12"/>
      <c r="AX145" s="12"/>
      <c r="AY145" s="152"/>
      <c r="AZ145" s="22"/>
      <c r="BA145" s="74"/>
      <c r="BB145" s="45"/>
      <c r="BC145" s="22"/>
      <c r="BD145" s="158"/>
      <c r="BE145" s="558"/>
      <c r="BF145" s="45"/>
      <c r="BG145" s="45"/>
      <c r="BH145" s="45"/>
      <c r="BI145" s="45"/>
      <c r="BJ145" s="45"/>
      <c r="BK145" s="45"/>
      <c r="BL145" s="45"/>
      <c r="BM145" s="158"/>
      <c r="BN145" s="558"/>
      <c r="BO145" s="45"/>
      <c r="BP145" s="45"/>
      <c r="BQ145" s="149"/>
      <c r="BR145" s="149"/>
      <c r="BS145" s="149"/>
      <c r="BT145" s="149"/>
      <c r="BU145" s="149"/>
      <c r="BV145" s="559"/>
      <c r="BW145" s="45"/>
      <c r="BX145" s="45"/>
      <c r="BY145" s="45"/>
      <c r="BZ145" s="69"/>
      <c r="CA145" s="69"/>
      <c r="CB145" s="69"/>
      <c r="CC145" s="69"/>
      <c r="CD145" s="69"/>
      <c r="CE145" s="22"/>
      <c r="CF145" s="22"/>
      <c r="CG145" s="22"/>
    </row>
    <row r="146" spans="1:85" ht="15.75" customHeight="1" x14ac:dyDescent="0.45">
      <c r="A146" s="22"/>
      <c r="B146" s="12"/>
      <c r="C146" s="12"/>
      <c r="D146" s="155"/>
      <c r="E146" s="144"/>
      <c r="F146" s="144"/>
      <c r="G146" s="12"/>
      <c r="H146" s="22"/>
      <c r="I146" s="22"/>
      <c r="J146" s="22"/>
      <c r="K146" s="145"/>
      <c r="L146" s="144"/>
      <c r="M146" s="144"/>
      <c r="N146" s="144"/>
      <c r="O146" s="145"/>
      <c r="P146" s="145"/>
      <c r="Q146" s="145"/>
      <c r="R146" s="145"/>
      <c r="S146" s="144"/>
      <c r="T146" s="145"/>
      <c r="U146" s="145"/>
      <c r="V146" s="145"/>
      <c r="W146" s="145"/>
      <c r="X146" s="53"/>
      <c r="Y146" s="74"/>
      <c r="Z146" s="145"/>
      <c r="AA146" s="145"/>
      <c r="AB146" s="145"/>
      <c r="AC146" s="146"/>
      <c r="AD146" s="145"/>
      <c r="AE146" s="145"/>
      <c r="AF146" s="145"/>
      <c r="AG146" s="145"/>
      <c r="AH146" s="146"/>
      <c r="AI146" s="145"/>
      <c r="AJ146" s="145"/>
      <c r="AK146" s="145"/>
      <c r="AL146" s="145"/>
      <c r="AM146" s="145"/>
      <c r="AN146" s="145"/>
      <c r="AO146" s="145"/>
      <c r="AP146" s="74"/>
      <c r="AQ146" s="74"/>
      <c r="AR146" s="74"/>
      <c r="AS146" s="523"/>
      <c r="AT146" s="523"/>
      <c r="AU146" s="523"/>
      <c r="AV146" s="555"/>
      <c r="AW146" s="12"/>
      <c r="AX146" s="12"/>
      <c r="AY146" s="152"/>
      <c r="AZ146" s="22"/>
      <c r="BA146" s="74"/>
      <c r="BB146" s="45"/>
      <c r="BC146" s="22"/>
      <c r="BD146" s="158"/>
      <c r="BE146" s="558"/>
      <c r="BF146" s="45"/>
      <c r="BG146" s="45"/>
      <c r="BH146" s="45"/>
      <c r="BI146" s="45"/>
      <c r="BJ146" s="45"/>
      <c r="BK146" s="45"/>
      <c r="BL146" s="45"/>
      <c r="BM146" s="158"/>
      <c r="BN146" s="558"/>
      <c r="BO146" s="45"/>
      <c r="BP146" s="45"/>
      <c r="BQ146" s="149"/>
      <c r="BR146" s="149"/>
      <c r="BS146" s="149"/>
      <c r="BT146" s="149"/>
      <c r="BU146" s="149"/>
      <c r="BV146" s="559"/>
      <c r="BW146" s="45"/>
      <c r="BX146" s="45"/>
      <c r="BY146" s="45"/>
      <c r="BZ146" s="69"/>
      <c r="CA146" s="69"/>
      <c r="CB146" s="69"/>
      <c r="CC146" s="69"/>
      <c r="CD146" s="69"/>
      <c r="CE146" s="22"/>
      <c r="CF146" s="22"/>
      <c r="CG146" s="22"/>
    </row>
    <row r="147" spans="1:85" ht="15.75" customHeight="1" x14ac:dyDescent="0.45">
      <c r="A147" s="22"/>
      <c r="B147" s="12"/>
      <c r="C147" s="12"/>
      <c r="D147" s="155"/>
      <c r="E147" s="144"/>
      <c r="F147" s="144"/>
      <c r="G147" s="12"/>
      <c r="H147" s="22"/>
      <c r="I147" s="22"/>
      <c r="J147" s="22"/>
      <c r="K147" s="145"/>
      <c r="L147" s="144"/>
      <c r="M147" s="144"/>
      <c r="N147" s="144"/>
      <c r="O147" s="145"/>
      <c r="P147" s="145"/>
      <c r="Q147" s="145"/>
      <c r="R147" s="145"/>
      <c r="S147" s="144"/>
      <c r="T147" s="145"/>
      <c r="U147" s="145"/>
      <c r="V147" s="145"/>
      <c r="W147" s="145"/>
      <c r="X147" s="53"/>
      <c r="Y147" s="74"/>
      <c r="Z147" s="145"/>
      <c r="AA147" s="145"/>
      <c r="AB147" s="145"/>
      <c r="AC147" s="146"/>
      <c r="AD147" s="145"/>
      <c r="AE147" s="145"/>
      <c r="AF147" s="145"/>
      <c r="AG147" s="145"/>
      <c r="AH147" s="146"/>
      <c r="AI147" s="145"/>
      <c r="AJ147" s="145"/>
      <c r="AK147" s="145"/>
      <c r="AL147" s="145"/>
      <c r="AM147" s="145"/>
      <c r="AN147" s="145"/>
      <c r="AO147" s="145"/>
      <c r="AP147" s="74"/>
      <c r="AQ147" s="74"/>
      <c r="AR147" s="74"/>
      <c r="AS147" s="523"/>
      <c r="AT147" s="523"/>
      <c r="AU147" s="523"/>
      <c r="AV147" s="555"/>
      <c r="AW147" s="12"/>
      <c r="AX147" s="12"/>
      <c r="AY147" s="152"/>
      <c r="AZ147" s="22"/>
      <c r="BA147" s="74"/>
      <c r="BB147" s="45"/>
      <c r="BC147" s="22"/>
      <c r="BD147" s="158"/>
      <c r="BE147" s="558"/>
      <c r="BF147" s="45"/>
      <c r="BG147" s="45"/>
      <c r="BH147" s="45"/>
      <c r="BI147" s="45"/>
      <c r="BJ147" s="45"/>
      <c r="BK147" s="45"/>
      <c r="BL147" s="45"/>
      <c r="BM147" s="158"/>
      <c r="BN147" s="558"/>
      <c r="BO147" s="45"/>
      <c r="BP147" s="45"/>
      <c r="BQ147" s="532"/>
      <c r="BR147" s="532"/>
      <c r="BS147" s="532"/>
      <c r="BT147" s="532"/>
      <c r="BU147" s="532"/>
      <c r="BV147" s="559"/>
      <c r="BW147" s="45"/>
      <c r="BX147" s="45"/>
      <c r="BY147" s="45"/>
      <c r="BZ147" s="69"/>
      <c r="CA147" s="69"/>
      <c r="CB147" s="69"/>
      <c r="CC147" s="69"/>
      <c r="CD147" s="69"/>
      <c r="CE147" s="22"/>
      <c r="CF147" s="22"/>
      <c r="CG147" s="22"/>
    </row>
    <row r="148" spans="1:85" ht="15.75" customHeight="1" x14ac:dyDescent="0.45">
      <c r="A148" s="22"/>
      <c r="B148" s="12"/>
      <c r="C148" s="12"/>
      <c r="D148" s="155"/>
      <c r="E148" s="144"/>
      <c r="F148" s="144"/>
      <c r="G148" s="12"/>
      <c r="H148" s="22"/>
      <c r="I148" s="22"/>
      <c r="J148" s="22"/>
      <c r="K148" s="145"/>
      <c r="L148" s="144"/>
      <c r="M148" s="144"/>
      <c r="N148" s="144"/>
      <c r="O148" s="145"/>
      <c r="P148" s="145"/>
      <c r="Q148" s="145"/>
      <c r="R148" s="145"/>
      <c r="S148" s="144"/>
      <c r="T148" s="145"/>
      <c r="U148" s="145"/>
      <c r="V148" s="145"/>
      <c r="W148" s="145"/>
      <c r="X148" s="53"/>
      <c r="Y148" s="74"/>
      <c r="Z148" s="145"/>
      <c r="AA148" s="145"/>
      <c r="AB148" s="145"/>
      <c r="AC148" s="146"/>
      <c r="AD148" s="145"/>
      <c r="AE148" s="145"/>
      <c r="AF148" s="145"/>
      <c r="AG148" s="145"/>
      <c r="AH148" s="146"/>
      <c r="AI148" s="145"/>
      <c r="AJ148" s="145"/>
      <c r="AK148" s="145"/>
      <c r="AL148" s="145"/>
      <c r="AM148" s="145"/>
      <c r="AN148" s="145"/>
      <c r="AO148" s="145"/>
      <c r="AP148" s="74"/>
      <c r="AQ148" s="74"/>
      <c r="AR148" s="74"/>
      <c r="AS148" s="523"/>
      <c r="AT148" s="523"/>
      <c r="AU148" s="523"/>
      <c r="AV148" s="555"/>
      <c r="AW148" s="12"/>
      <c r="AX148" s="12"/>
      <c r="AY148" s="152"/>
      <c r="AZ148" s="22"/>
      <c r="BA148" s="74"/>
      <c r="BB148" s="45"/>
      <c r="BC148" s="22"/>
      <c r="BD148" s="158"/>
      <c r="BE148" s="558"/>
      <c r="BF148" s="45"/>
      <c r="BG148" s="45"/>
      <c r="BH148" s="45"/>
      <c r="BI148" s="45"/>
      <c r="BJ148" s="45"/>
      <c r="BK148" s="45"/>
      <c r="BL148" s="45"/>
      <c r="BM148" s="158"/>
      <c r="BN148" s="558"/>
      <c r="BO148" s="45"/>
      <c r="BP148" s="45"/>
      <c r="BQ148" s="532"/>
      <c r="BR148" s="532"/>
      <c r="BS148" s="532"/>
      <c r="BT148" s="532"/>
      <c r="BU148" s="532"/>
      <c r="BV148" s="559"/>
      <c r="BW148" s="45"/>
      <c r="BX148" s="45"/>
      <c r="BY148" s="45"/>
      <c r="BZ148" s="69"/>
      <c r="CA148" s="69"/>
      <c r="CB148" s="69"/>
      <c r="CC148" s="69"/>
      <c r="CD148" s="69"/>
      <c r="CE148" s="22"/>
      <c r="CF148" s="22"/>
      <c r="CG148" s="22"/>
    </row>
    <row r="149" spans="1:85" ht="15.75" customHeight="1" x14ac:dyDescent="0.45">
      <c r="A149" s="22"/>
      <c r="B149" s="12"/>
      <c r="C149" s="12"/>
      <c r="D149" s="155"/>
      <c r="E149" s="144"/>
      <c r="F149" s="144"/>
      <c r="G149" s="12"/>
      <c r="H149" s="22"/>
      <c r="I149" s="22"/>
      <c r="J149" s="22"/>
      <c r="K149" s="145"/>
      <c r="L149" s="144"/>
      <c r="M149" s="144"/>
      <c r="N149" s="144"/>
      <c r="O149" s="145"/>
      <c r="P149" s="145"/>
      <c r="Q149" s="145"/>
      <c r="R149" s="145"/>
      <c r="S149" s="144"/>
      <c r="T149" s="145"/>
      <c r="U149" s="145"/>
      <c r="V149" s="145"/>
      <c r="W149" s="145"/>
      <c r="X149" s="53"/>
      <c r="Y149" s="74"/>
      <c r="Z149" s="145"/>
      <c r="AA149" s="145"/>
      <c r="AB149" s="145"/>
      <c r="AC149" s="146"/>
      <c r="AD149" s="145"/>
      <c r="AE149" s="145"/>
      <c r="AF149" s="145"/>
      <c r="AG149" s="145"/>
      <c r="AH149" s="146"/>
      <c r="AI149" s="145"/>
      <c r="AJ149" s="145"/>
      <c r="AK149" s="145"/>
      <c r="AL149" s="145"/>
      <c r="AM149" s="145"/>
      <c r="AN149" s="145"/>
      <c r="AO149" s="145"/>
      <c r="AP149" s="74"/>
      <c r="AQ149" s="74"/>
      <c r="AR149" s="74"/>
      <c r="AS149" s="523"/>
      <c r="AT149" s="523"/>
      <c r="AU149" s="523"/>
      <c r="AV149" s="555"/>
      <c r="AW149" s="12"/>
      <c r="AX149" s="12"/>
      <c r="AY149" s="152"/>
      <c r="AZ149" s="22"/>
      <c r="BA149" s="74"/>
      <c r="BB149" s="45"/>
      <c r="BC149" s="22"/>
      <c r="BD149" s="158"/>
      <c r="BE149" s="558"/>
      <c r="BF149" s="45"/>
      <c r="BG149" s="45"/>
      <c r="BH149" s="45"/>
      <c r="BI149" s="45"/>
      <c r="BJ149" s="45"/>
      <c r="BK149" s="45"/>
      <c r="BL149" s="45"/>
      <c r="BM149" s="158"/>
      <c r="BN149" s="558"/>
      <c r="BO149" s="45"/>
      <c r="BP149" s="45"/>
      <c r="BQ149" s="532"/>
      <c r="BR149" s="532"/>
      <c r="BS149" s="532"/>
      <c r="BT149" s="532"/>
      <c r="BU149" s="532"/>
      <c r="BV149" s="559"/>
      <c r="BW149" s="45"/>
      <c r="BX149" s="45"/>
      <c r="BY149" s="45"/>
      <c r="BZ149" s="69"/>
      <c r="CA149" s="69"/>
      <c r="CB149" s="69"/>
      <c r="CC149" s="69"/>
      <c r="CD149" s="69"/>
      <c r="CE149" s="22"/>
      <c r="CF149" s="22"/>
      <c r="CG149" s="22"/>
    </row>
    <row r="150" spans="1:85" ht="15.75" customHeight="1" x14ac:dyDescent="0.45">
      <c r="A150" s="22"/>
      <c r="B150" s="12"/>
      <c r="C150" s="12"/>
      <c r="D150" s="155"/>
      <c r="E150" s="144"/>
      <c r="F150" s="144"/>
      <c r="G150" s="12"/>
      <c r="H150" s="22"/>
      <c r="I150" s="22"/>
      <c r="J150" s="22"/>
      <c r="K150" s="145"/>
      <c r="L150" s="144"/>
      <c r="M150" s="144"/>
      <c r="N150" s="144"/>
      <c r="O150" s="145"/>
      <c r="P150" s="145"/>
      <c r="Q150" s="145"/>
      <c r="R150" s="145"/>
      <c r="S150" s="144"/>
      <c r="T150" s="145"/>
      <c r="U150" s="145"/>
      <c r="V150" s="145"/>
      <c r="W150" s="145"/>
      <c r="X150" s="53"/>
      <c r="Y150" s="74"/>
      <c r="Z150" s="145"/>
      <c r="AA150" s="145"/>
      <c r="AB150" s="145"/>
      <c r="AC150" s="146"/>
      <c r="AD150" s="145"/>
      <c r="AE150" s="145"/>
      <c r="AF150" s="145"/>
      <c r="AG150" s="145"/>
      <c r="AH150" s="146"/>
      <c r="AI150" s="145"/>
      <c r="AJ150" s="145"/>
      <c r="AK150" s="145"/>
      <c r="AL150" s="145"/>
      <c r="AM150" s="145"/>
      <c r="AN150" s="145"/>
      <c r="AO150" s="145"/>
      <c r="AP150" s="74"/>
      <c r="AQ150" s="74"/>
      <c r="AR150" s="74"/>
      <c r="AS150" s="523"/>
      <c r="AT150" s="523"/>
      <c r="AU150" s="523"/>
      <c r="AV150" s="555"/>
      <c r="AW150" s="12"/>
      <c r="AX150" s="12"/>
      <c r="AY150" s="152"/>
      <c r="AZ150" s="22"/>
      <c r="BA150" s="74"/>
      <c r="BB150" s="45"/>
      <c r="BC150" s="22"/>
      <c r="BD150" s="158"/>
      <c r="BE150" s="558"/>
      <c r="BF150" s="45"/>
      <c r="BG150" s="45"/>
      <c r="BH150" s="45"/>
      <c r="BI150" s="45"/>
      <c r="BJ150" s="45"/>
      <c r="BK150" s="45"/>
      <c r="BL150" s="45"/>
      <c r="BM150" s="158"/>
      <c r="BN150" s="558"/>
      <c r="BO150" s="45"/>
      <c r="BP150" s="45"/>
      <c r="BQ150" s="532"/>
      <c r="BR150" s="532"/>
      <c r="BS150" s="532"/>
      <c r="BT150" s="532"/>
      <c r="BU150" s="532"/>
      <c r="BV150" s="559"/>
      <c r="BW150" s="45"/>
      <c r="BX150" s="45"/>
      <c r="BY150" s="45"/>
      <c r="BZ150" s="69"/>
      <c r="CA150" s="69"/>
      <c r="CB150" s="69"/>
      <c r="CC150" s="69"/>
      <c r="CD150" s="69"/>
      <c r="CE150" s="22"/>
      <c r="CF150" s="22"/>
      <c r="CG150" s="22"/>
    </row>
    <row r="151" spans="1:85" ht="15.75" customHeight="1" x14ac:dyDescent="0.45">
      <c r="A151" s="22"/>
      <c r="B151" s="12"/>
      <c r="C151" s="12"/>
      <c r="D151" s="155"/>
      <c r="E151" s="144"/>
      <c r="F151" s="144"/>
      <c r="G151" s="12"/>
      <c r="H151" s="22"/>
      <c r="I151" s="22"/>
      <c r="J151" s="22"/>
      <c r="K151" s="145"/>
      <c r="L151" s="144"/>
      <c r="M151" s="144"/>
      <c r="N151" s="144"/>
      <c r="O151" s="145"/>
      <c r="P151" s="145"/>
      <c r="Q151" s="145"/>
      <c r="R151" s="145"/>
      <c r="S151" s="144"/>
      <c r="T151" s="145"/>
      <c r="U151" s="145"/>
      <c r="V151" s="145"/>
      <c r="W151" s="145"/>
      <c r="X151" s="53"/>
      <c r="Y151" s="74"/>
      <c r="Z151" s="145"/>
      <c r="AA151" s="145"/>
      <c r="AB151" s="145"/>
      <c r="AC151" s="146"/>
      <c r="AD151" s="145"/>
      <c r="AE151" s="145"/>
      <c r="AF151" s="145"/>
      <c r="AG151" s="145"/>
      <c r="AH151" s="146"/>
      <c r="AI151" s="145"/>
      <c r="AJ151" s="145"/>
      <c r="AK151" s="145"/>
      <c r="AL151" s="145"/>
      <c r="AM151" s="145"/>
      <c r="AN151" s="145"/>
      <c r="AO151" s="145"/>
      <c r="AP151" s="74"/>
      <c r="AQ151" s="74"/>
      <c r="AR151" s="74"/>
      <c r="AS151" s="523"/>
      <c r="AT151" s="523"/>
      <c r="AU151" s="523"/>
      <c r="AV151" s="555"/>
      <c r="AW151" s="12"/>
      <c r="AX151" s="12"/>
      <c r="AY151" s="152"/>
      <c r="AZ151" s="22"/>
      <c r="BA151" s="74"/>
      <c r="BB151" s="45"/>
      <c r="BC151" s="22"/>
      <c r="BD151" s="158"/>
      <c r="BE151" s="558"/>
      <c r="BF151" s="45"/>
      <c r="BG151" s="45"/>
      <c r="BH151" s="45"/>
      <c r="BI151" s="45"/>
      <c r="BJ151" s="45"/>
      <c r="BK151" s="45"/>
      <c r="BL151" s="45"/>
      <c r="BM151" s="158"/>
      <c r="BN151" s="558"/>
      <c r="BO151" s="45"/>
      <c r="BP151" s="45"/>
      <c r="BQ151" s="149"/>
      <c r="BR151" s="149"/>
      <c r="BS151" s="149"/>
      <c r="BT151" s="149"/>
      <c r="BU151" s="149"/>
      <c r="BV151" s="559"/>
      <c r="BW151" s="45"/>
      <c r="BX151" s="45"/>
      <c r="BY151" s="45"/>
      <c r="BZ151" s="69"/>
      <c r="CA151" s="69"/>
      <c r="CB151" s="69"/>
      <c r="CC151" s="69"/>
      <c r="CD151" s="69"/>
      <c r="CE151" s="22"/>
      <c r="CF151" s="22"/>
      <c r="CG151" s="22"/>
    </row>
    <row r="152" spans="1:85" ht="15.75" customHeight="1" x14ac:dyDescent="0.45">
      <c r="A152" s="22"/>
      <c r="B152" s="12"/>
      <c r="C152" s="12"/>
      <c r="D152" s="155"/>
      <c r="E152" s="144"/>
      <c r="F152" s="144"/>
      <c r="G152" s="12"/>
      <c r="H152" s="22"/>
      <c r="I152" s="22"/>
      <c r="J152" s="22"/>
      <c r="K152" s="145"/>
      <c r="L152" s="144"/>
      <c r="M152" s="144"/>
      <c r="N152" s="144"/>
      <c r="O152" s="145"/>
      <c r="P152" s="145"/>
      <c r="Q152" s="145"/>
      <c r="R152" s="145"/>
      <c r="S152" s="144"/>
      <c r="T152" s="145"/>
      <c r="U152" s="145"/>
      <c r="V152" s="145"/>
      <c r="W152" s="145"/>
      <c r="X152" s="53"/>
      <c r="Y152" s="74"/>
      <c r="Z152" s="145"/>
      <c r="AA152" s="145"/>
      <c r="AB152" s="145"/>
      <c r="AC152" s="146"/>
      <c r="AD152" s="145"/>
      <c r="AE152" s="145"/>
      <c r="AF152" s="145"/>
      <c r="AG152" s="145"/>
      <c r="AH152" s="146"/>
      <c r="AI152" s="145"/>
      <c r="AJ152" s="145"/>
      <c r="AK152" s="145"/>
      <c r="AL152" s="145"/>
      <c r="AM152" s="145"/>
      <c r="AN152" s="145"/>
      <c r="AO152" s="145"/>
      <c r="AP152" s="74"/>
      <c r="AQ152" s="74"/>
      <c r="AR152" s="74"/>
      <c r="AS152" s="523"/>
      <c r="AT152" s="523"/>
      <c r="AU152" s="523"/>
      <c r="AV152" s="555"/>
      <c r="AW152" s="12"/>
      <c r="AX152" s="12"/>
      <c r="AY152" s="152"/>
      <c r="AZ152" s="22"/>
      <c r="BA152" s="74"/>
      <c r="BB152" s="45"/>
      <c r="BC152" s="22"/>
      <c r="BD152" s="158"/>
      <c r="BE152" s="558"/>
      <c r="BF152" s="45"/>
      <c r="BG152" s="45"/>
      <c r="BH152" s="45"/>
      <c r="BI152" s="45"/>
      <c r="BJ152" s="45"/>
      <c r="BK152" s="45"/>
      <c r="BL152" s="45"/>
      <c r="BM152" s="158"/>
      <c r="BN152" s="558"/>
      <c r="BO152" s="45"/>
      <c r="BP152" s="45"/>
      <c r="BQ152" s="149"/>
      <c r="BR152" s="149"/>
      <c r="BS152" s="149"/>
      <c r="BT152" s="149"/>
      <c r="BU152" s="149"/>
      <c r="BV152" s="559"/>
      <c r="BW152" s="45"/>
      <c r="BX152" s="45"/>
      <c r="BY152" s="45"/>
      <c r="BZ152" s="69"/>
      <c r="CA152" s="69"/>
      <c r="CB152" s="69"/>
      <c r="CC152" s="69"/>
      <c r="CD152" s="69"/>
      <c r="CE152" s="22"/>
      <c r="CF152" s="22"/>
      <c r="CG152" s="22"/>
    </row>
    <row r="153" spans="1:85" ht="15.75" customHeight="1" x14ac:dyDescent="0.45">
      <c r="A153" s="22"/>
      <c r="B153" s="12"/>
      <c r="C153" s="12"/>
      <c r="D153" s="155"/>
      <c r="E153" s="144"/>
      <c r="F153" s="144"/>
      <c r="G153" s="12"/>
      <c r="H153" s="22"/>
      <c r="I153" s="22"/>
      <c r="J153" s="22"/>
      <c r="K153" s="145"/>
      <c r="L153" s="144"/>
      <c r="M153" s="144"/>
      <c r="N153" s="144"/>
      <c r="O153" s="145"/>
      <c r="P153" s="145"/>
      <c r="Q153" s="145"/>
      <c r="R153" s="145"/>
      <c r="S153" s="144"/>
      <c r="T153" s="145"/>
      <c r="U153" s="145"/>
      <c r="V153" s="145"/>
      <c r="W153" s="145"/>
      <c r="X153" s="53"/>
      <c r="Y153" s="74"/>
      <c r="Z153" s="145"/>
      <c r="AA153" s="145"/>
      <c r="AB153" s="145"/>
      <c r="AC153" s="146"/>
      <c r="AD153" s="145"/>
      <c r="AE153" s="145"/>
      <c r="AF153" s="145"/>
      <c r="AG153" s="145"/>
      <c r="AH153" s="146"/>
      <c r="AI153" s="145"/>
      <c r="AJ153" s="145"/>
      <c r="AK153" s="145"/>
      <c r="AL153" s="145"/>
      <c r="AM153" s="145"/>
      <c r="AN153" s="145"/>
      <c r="AO153" s="145"/>
      <c r="AP153" s="74"/>
      <c r="AQ153" s="74"/>
      <c r="AR153" s="74"/>
      <c r="AS153" s="523"/>
      <c r="AT153" s="523"/>
      <c r="AU153" s="523"/>
      <c r="AV153" s="555"/>
      <c r="AW153" s="12"/>
      <c r="AX153" s="12"/>
      <c r="AY153" s="152"/>
      <c r="AZ153" s="22"/>
      <c r="BA153" s="74"/>
      <c r="BB153" s="45"/>
      <c r="BC153" s="22"/>
      <c r="BD153" s="158"/>
      <c r="BE153" s="558"/>
      <c r="BF153" s="45"/>
      <c r="BG153" s="45"/>
      <c r="BH153" s="45"/>
      <c r="BI153" s="45"/>
      <c r="BJ153" s="45"/>
      <c r="BK153" s="45"/>
      <c r="BL153" s="45"/>
      <c r="BM153" s="158"/>
      <c r="BN153" s="558"/>
      <c r="BO153" s="45"/>
      <c r="BP153" s="45"/>
      <c r="BQ153" s="532"/>
      <c r="BR153" s="532"/>
      <c r="BS153" s="532"/>
      <c r="BT153" s="532"/>
      <c r="BU153" s="532"/>
      <c r="BV153" s="559"/>
      <c r="BW153" s="45"/>
      <c r="BX153" s="45"/>
      <c r="BY153" s="45"/>
      <c r="BZ153" s="69"/>
      <c r="CA153" s="69"/>
      <c r="CB153" s="69"/>
      <c r="CC153" s="69"/>
      <c r="CD153" s="69"/>
      <c r="CE153" s="22"/>
      <c r="CF153" s="22"/>
      <c r="CG153" s="22"/>
    </row>
    <row r="154" spans="1:85" ht="15.75" customHeight="1" x14ac:dyDescent="0.45">
      <c r="A154" s="22"/>
      <c r="B154" s="12"/>
      <c r="C154" s="12"/>
      <c r="D154" s="155"/>
      <c r="E154" s="144"/>
      <c r="F154" s="144"/>
      <c r="G154" s="12"/>
      <c r="H154" s="22"/>
      <c r="I154" s="22"/>
      <c r="J154" s="22"/>
      <c r="K154" s="145"/>
      <c r="L154" s="144"/>
      <c r="M154" s="144"/>
      <c r="N154" s="144"/>
      <c r="O154" s="145"/>
      <c r="P154" s="145"/>
      <c r="Q154" s="145"/>
      <c r="R154" s="145"/>
      <c r="S154" s="144"/>
      <c r="T154" s="145"/>
      <c r="U154" s="145"/>
      <c r="V154" s="145"/>
      <c r="W154" s="145"/>
      <c r="X154" s="53"/>
      <c r="Y154" s="74"/>
      <c r="Z154" s="145"/>
      <c r="AA154" s="145"/>
      <c r="AB154" s="145"/>
      <c r="AC154" s="146"/>
      <c r="AD154" s="145"/>
      <c r="AE154" s="145"/>
      <c r="AF154" s="145"/>
      <c r="AG154" s="145"/>
      <c r="AH154" s="146"/>
      <c r="AI154" s="145"/>
      <c r="AJ154" s="145"/>
      <c r="AK154" s="145"/>
      <c r="AL154" s="145"/>
      <c r="AM154" s="145"/>
      <c r="AN154" s="145"/>
      <c r="AO154" s="145"/>
      <c r="AP154" s="74"/>
      <c r="AQ154" s="74"/>
      <c r="AR154" s="74"/>
      <c r="AS154" s="523"/>
      <c r="AT154" s="523"/>
      <c r="AU154" s="523"/>
      <c r="AV154" s="555"/>
      <c r="AW154" s="12"/>
      <c r="AX154" s="12"/>
      <c r="AY154" s="152"/>
      <c r="AZ154" s="22"/>
      <c r="BA154" s="74"/>
      <c r="BB154" s="45"/>
      <c r="BC154" s="22"/>
      <c r="BD154" s="158"/>
      <c r="BE154" s="558"/>
      <c r="BF154" s="45"/>
      <c r="BG154" s="45"/>
      <c r="BH154" s="45"/>
      <c r="BI154" s="45"/>
      <c r="BJ154" s="45"/>
      <c r="BK154" s="45"/>
      <c r="BL154" s="45"/>
      <c r="BM154" s="158"/>
      <c r="BN154" s="558"/>
      <c r="BO154" s="45"/>
      <c r="BP154" s="45"/>
      <c r="BQ154" s="532"/>
      <c r="BR154" s="532"/>
      <c r="BS154" s="532"/>
      <c r="BT154" s="532"/>
      <c r="BU154" s="532"/>
      <c r="BV154" s="559"/>
      <c r="BW154" s="45"/>
      <c r="BX154" s="45"/>
      <c r="BY154" s="45"/>
      <c r="BZ154" s="69"/>
      <c r="CA154" s="69"/>
      <c r="CB154" s="69"/>
      <c r="CC154" s="69"/>
      <c r="CD154" s="69"/>
      <c r="CE154" s="22"/>
      <c r="CF154" s="22"/>
      <c r="CG154" s="22"/>
    </row>
    <row r="155" spans="1:85" ht="15.75" customHeight="1" x14ac:dyDescent="0.45">
      <c r="A155" s="22"/>
      <c r="B155" s="12"/>
      <c r="C155" s="12"/>
      <c r="D155" s="155"/>
      <c r="E155" s="144"/>
      <c r="F155" s="144"/>
      <c r="G155" s="12"/>
      <c r="H155" s="22"/>
      <c r="I155" s="22"/>
      <c r="J155" s="22"/>
      <c r="K155" s="145"/>
      <c r="L155" s="144"/>
      <c r="M155" s="144"/>
      <c r="N155" s="144"/>
      <c r="O155" s="145"/>
      <c r="P155" s="145"/>
      <c r="Q155" s="145"/>
      <c r="R155" s="145"/>
      <c r="S155" s="144"/>
      <c r="T155" s="145"/>
      <c r="U155" s="145"/>
      <c r="V155" s="145"/>
      <c r="W155" s="145"/>
      <c r="X155" s="53"/>
      <c r="Y155" s="74"/>
      <c r="Z155" s="145"/>
      <c r="AA155" s="145"/>
      <c r="AB155" s="145"/>
      <c r="AC155" s="146"/>
      <c r="AD155" s="145"/>
      <c r="AE155" s="145"/>
      <c r="AF155" s="145"/>
      <c r="AG155" s="145"/>
      <c r="AH155" s="146"/>
      <c r="AI155" s="145"/>
      <c r="AJ155" s="145"/>
      <c r="AK155" s="145"/>
      <c r="AL155" s="145"/>
      <c r="AM155" s="145"/>
      <c r="AN155" s="145"/>
      <c r="AO155" s="145"/>
      <c r="AP155" s="74"/>
      <c r="AQ155" s="74"/>
      <c r="AR155" s="74"/>
      <c r="AS155" s="523"/>
      <c r="AT155" s="523"/>
      <c r="AU155" s="523"/>
      <c r="AV155" s="555"/>
      <c r="AW155" s="12"/>
      <c r="AX155" s="12"/>
      <c r="AY155" s="152"/>
      <c r="AZ155" s="22"/>
      <c r="BA155" s="74"/>
      <c r="BB155" s="45"/>
      <c r="BC155" s="22"/>
      <c r="BD155" s="158"/>
      <c r="BE155" s="558"/>
      <c r="BF155" s="45"/>
      <c r="BG155" s="45"/>
      <c r="BH155" s="45"/>
      <c r="BI155" s="45"/>
      <c r="BJ155" s="45"/>
      <c r="BK155" s="45"/>
      <c r="BL155" s="45"/>
      <c r="BM155" s="158"/>
      <c r="BN155" s="558"/>
      <c r="BO155" s="45"/>
      <c r="BP155" s="45"/>
      <c r="BQ155" s="532"/>
      <c r="BR155" s="532"/>
      <c r="BS155" s="532"/>
      <c r="BT155" s="532"/>
      <c r="BU155" s="532"/>
      <c r="BV155" s="559"/>
      <c r="BW155" s="45"/>
      <c r="BX155" s="45"/>
      <c r="BY155" s="45"/>
      <c r="BZ155" s="69"/>
      <c r="CA155" s="69"/>
      <c r="CB155" s="69"/>
      <c r="CC155" s="69"/>
      <c r="CD155" s="69"/>
      <c r="CE155" s="22"/>
      <c r="CF155" s="22"/>
      <c r="CG155" s="22"/>
    </row>
    <row r="156" spans="1:85" ht="15.75" customHeight="1" x14ac:dyDescent="0.45">
      <c r="A156" s="22"/>
      <c r="B156" s="12"/>
      <c r="C156" s="12"/>
      <c r="D156" s="155"/>
      <c r="E156" s="144"/>
      <c r="F156" s="144"/>
      <c r="G156" s="12"/>
      <c r="H156" s="22"/>
      <c r="I156" s="22"/>
      <c r="J156" s="22"/>
      <c r="K156" s="145"/>
      <c r="L156" s="144"/>
      <c r="M156" s="144"/>
      <c r="N156" s="144"/>
      <c r="O156" s="145"/>
      <c r="P156" s="145"/>
      <c r="Q156" s="145"/>
      <c r="R156" s="145"/>
      <c r="S156" s="144"/>
      <c r="T156" s="145"/>
      <c r="U156" s="145"/>
      <c r="V156" s="145"/>
      <c r="W156" s="145"/>
      <c r="X156" s="53"/>
      <c r="Y156" s="74"/>
      <c r="Z156" s="145"/>
      <c r="AA156" s="145"/>
      <c r="AB156" s="145"/>
      <c r="AC156" s="146"/>
      <c r="AD156" s="145"/>
      <c r="AE156" s="145"/>
      <c r="AF156" s="145"/>
      <c r="AG156" s="145"/>
      <c r="AH156" s="146"/>
      <c r="AI156" s="145"/>
      <c r="AJ156" s="145"/>
      <c r="AK156" s="145"/>
      <c r="AL156" s="145"/>
      <c r="AM156" s="145"/>
      <c r="AN156" s="145"/>
      <c r="AO156" s="145"/>
      <c r="AP156" s="74"/>
      <c r="AQ156" s="74"/>
      <c r="AR156" s="74"/>
      <c r="AS156" s="523"/>
      <c r="AT156" s="523"/>
      <c r="AU156" s="523"/>
      <c r="AV156" s="555"/>
      <c r="AW156" s="12"/>
      <c r="AX156" s="12"/>
      <c r="AY156" s="152"/>
      <c r="AZ156" s="22"/>
      <c r="BA156" s="74"/>
      <c r="BB156" s="45"/>
      <c r="BC156" s="22"/>
      <c r="BD156" s="158"/>
      <c r="BE156" s="558"/>
      <c r="BF156" s="45"/>
      <c r="BG156" s="45"/>
      <c r="BH156" s="45"/>
      <c r="BI156" s="45"/>
      <c r="BJ156" s="45"/>
      <c r="BK156" s="45"/>
      <c r="BL156" s="45"/>
      <c r="BM156" s="158"/>
      <c r="BN156" s="558"/>
      <c r="BO156" s="45"/>
      <c r="BP156" s="45"/>
      <c r="BQ156" s="149"/>
      <c r="BR156" s="149"/>
      <c r="BS156" s="149"/>
      <c r="BT156" s="149"/>
      <c r="BU156" s="149"/>
      <c r="BV156" s="559"/>
      <c r="BW156" s="45"/>
      <c r="BX156" s="45"/>
      <c r="BY156" s="45"/>
      <c r="BZ156" s="69"/>
      <c r="CA156" s="69"/>
      <c r="CB156" s="69"/>
      <c r="CC156" s="69"/>
      <c r="CD156" s="69"/>
      <c r="CE156" s="22"/>
      <c r="CF156" s="22"/>
      <c r="CG156" s="22"/>
    </row>
    <row r="157" spans="1:85" ht="15.75" customHeight="1" x14ac:dyDescent="0.45">
      <c r="A157" s="22"/>
      <c r="B157" s="12"/>
      <c r="C157" s="12"/>
      <c r="D157" s="155"/>
      <c r="E157" s="144"/>
      <c r="F157" s="144"/>
      <c r="G157" s="12"/>
      <c r="H157" s="22"/>
      <c r="I157" s="22"/>
      <c r="J157" s="22"/>
      <c r="K157" s="145"/>
      <c r="L157" s="144"/>
      <c r="M157" s="144"/>
      <c r="N157" s="144"/>
      <c r="O157" s="145"/>
      <c r="P157" s="145"/>
      <c r="Q157" s="145"/>
      <c r="R157" s="145"/>
      <c r="S157" s="144"/>
      <c r="T157" s="145"/>
      <c r="U157" s="145"/>
      <c r="V157" s="145"/>
      <c r="W157" s="145"/>
      <c r="X157" s="53"/>
      <c r="Y157" s="74"/>
      <c r="Z157" s="145"/>
      <c r="AA157" s="145"/>
      <c r="AB157" s="145"/>
      <c r="AC157" s="146"/>
      <c r="AD157" s="145"/>
      <c r="AE157" s="145"/>
      <c r="AF157" s="145"/>
      <c r="AG157" s="145"/>
      <c r="AH157" s="146"/>
      <c r="AI157" s="145"/>
      <c r="AJ157" s="145"/>
      <c r="AK157" s="145"/>
      <c r="AL157" s="145"/>
      <c r="AM157" s="145"/>
      <c r="AN157" s="145"/>
      <c r="AO157" s="145"/>
      <c r="AP157" s="74"/>
      <c r="AQ157" s="74"/>
      <c r="AR157" s="74"/>
      <c r="AS157" s="523"/>
      <c r="AT157" s="523"/>
      <c r="AU157" s="523"/>
      <c r="AV157" s="555"/>
      <c r="AW157" s="12"/>
      <c r="AX157" s="12"/>
      <c r="AY157" s="152"/>
      <c r="AZ157" s="22"/>
      <c r="BA157" s="74"/>
      <c r="BB157" s="45"/>
      <c r="BC157" s="22"/>
      <c r="BD157" s="158"/>
      <c r="BE157" s="558"/>
      <c r="BF157" s="45"/>
      <c r="BG157" s="45"/>
      <c r="BH157" s="45"/>
      <c r="BI157" s="45"/>
      <c r="BJ157" s="45"/>
      <c r="BK157" s="45"/>
      <c r="BL157" s="45"/>
      <c r="BM157" s="158"/>
      <c r="BN157" s="558"/>
      <c r="BO157" s="45"/>
      <c r="BP157" s="45"/>
      <c r="BQ157" s="149"/>
      <c r="BR157" s="149"/>
      <c r="BS157" s="149"/>
      <c r="BT157" s="149"/>
      <c r="BU157" s="149"/>
      <c r="BV157" s="559"/>
      <c r="BW157" s="45"/>
      <c r="BX157" s="45"/>
      <c r="BY157" s="45"/>
      <c r="BZ157" s="69"/>
      <c r="CA157" s="69"/>
      <c r="CB157" s="69"/>
      <c r="CC157" s="69"/>
      <c r="CD157" s="69"/>
      <c r="CE157" s="22"/>
      <c r="CF157" s="22"/>
      <c r="CG157" s="22"/>
    </row>
    <row r="158" spans="1:85" ht="15.75" customHeight="1" x14ac:dyDescent="0.45">
      <c r="A158" s="22"/>
      <c r="B158" s="12"/>
      <c r="C158" s="12"/>
      <c r="D158" s="155"/>
      <c r="E158" s="144"/>
      <c r="F158" s="144"/>
      <c r="G158" s="12"/>
      <c r="H158" s="22"/>
      <c r="I158" s="22"/>
      <c r="J158" s="22"/>
      <c r="K158" s="145"/>
      <c r="L158" s="144"/>
      <c r="M158" s="144"/>
      <c r="N158" s="144"/>
      <c r="O158" s="145"/>
      <c r="P158" s="145"/>
      <c r="Q158" s="145"/>
      <c r="R158" s="145"/>
      <c r="S158" s="144"/>
      <c r="T158" s="145"/>
      <c r="U158" s="145"/>
      <c r="V158" s="145"/>
      <c r="W158" s="145"/>
      <c r="X158" s="53"/>
      <c r="Y158" s="74"/>
      <c r="Z158" s="145"/>
      <c r="AA158" s="145"/>
      <c r="AB158" s="145"/>
      <c r="AC158" s="146"/>
      <c r="AD158" s="145"/>
      <c r="AE158" s="145"/>
      <c r="AF158" s="145"/>
      <c r="AG158" s="145"/>
      <c r="AH158" s="146"/>
      <c r="AI158" s="145"/>
      <c r="AJ158" s="145"/>
      <c r="AK158" s="145"/>
      <c r="AL158" s="145"/>
      <c r="AM158" s="145"/>
      <c r="AN158" s="145"/>
      <c r="AO158" s="145"/>
      <c r="AP158" s="74"/>
      <c r="AQ158" s="74"/>
      <c r="AR158" s="74"/>
      <c r="AS158" s="523"/>
      <c r="AT158" s="523"/>
      <c r="AU158" s="523"/>
      <c r="AV158" s="555"/>
      <c r="AW158" s="12"/>
      <c r="AX158" s="12"/>
      <c r="AY158" s="152"/>
      <c r="AZ158" s="22"/>
      <c r="BA158" s="74"/>
      <c r="BB158" s="45"/>
      <c r="BC158" s="22"/>
      <c r="BD158" s="158"/>
      <c r="BE158" s="558"/>
      <c r="BF158" s="45"/>
      <c r="BG158" s="45"/>
      <c r="BH158" s="45"/>
      <c r="BI158" s="45"/>
      <c r="BJ158" s="45"/>
      <c r="BK158" s="45"/>
      <c r="BL158" s="45"/>
      <c r="BM158" s="158"/>
      <c r="BN158" s="558"/>
      <c r="BO158" s="45"/>
      <c r="BP158" s="45"/>
      <c r="BQ158" s="149"/>
      <c r="BR158" s="149"/>
      <c r="BS158" s="149"/>
      <c r="BT158" s="149"/>
      <c r="BU158" s="149"/>
      <c r="BV158" s="559"/>
      <c r="BW158" s="45"/>
      <c r="BX158" s="45"/>
      <c r="BY158" s="45"/>
      <c r="BZ158" s="69"/>
      <c r="CA158" s="69"/>
      <c r="CB158" s="69"/>
      <c r="CC158" s="69"/>
      <c r="CD158" s="69"/>
      <c r="CE158" s="22"/>
      <c r="CF158" s="22"/>
      <c r="CG158" s="22"/>
    </row>
    <row r="159" spans="1:85" ht="15.75" customHeight="1" x14ac:dyDescent="0.45">
      <c r="A159" s="22"/>
      <c r="B159" s="12"/>
      <c r="C159" s="12"/>
      <c r="D159" s="155"/>
      <c r="E159" s="144"/>
      <c r="F159" s="144"/>
      <c r="G159" s="12"/>
      <c r="H159" s="22"/>
      <c r="I159" s="22"/>
      <c r="J159" s="22"/>
      <c r="K159" s="145"/>
      <c r="L159" s="144"/>
      <c r="M159" s="144"/>
      <c r="N159" s="144"/>
      <c r="O159" s="145"/>
      <c r="P159" s="145"/>
      <c r="Q159" s="145"/>
      <c r="R159" s="145"/>
      <c r="S159" s="144"/>
      <c r="T159" s="145"/>
      <c r="U159" s="145"/>
      <c r="V159" s="145"/>
      <c r="W159" s="145"/>
      <c r="X159" s="53"/>
      <c r="Y159" s="74"/>
      <c r="Z159" s="145"/>
      <c r="AA159" s="145"/>
      <c r="AB159" s="145"/>
      <c r="AC159" s="146"/>
      <c r="AD159" s="145"/>
      <c r="AE159" s="145"/>
      <c r="AF159" s="145"/>
      <c r="AG159" s="145"/>
      <c r="AH159" s="146"/>
      <c r="AI159" s="145"/>
      <c r="AJ159" s="145"/>
      <c r="AK159" s="145"/>
      <c r="AL159" s="145"/>
      <c r="AM159" s="145"/>
      <c r="AN159" s="145"/>
      <c r="AO159" s="145"/>
      <c r="AP159" s="74"/>
      <c r="AQ159" s="74"/>
      <c r="AR159" s="74"/>
      <c r="AS159" s="523"/>
      <c r="AT159" s="523"/>
      <c r="AU159" s="523"/>
      <c r="AV159" s="555"/>
      <c r="AW159" s="12"/>
      <c r="AX159" s="12"/>
      <c r="AY159" s="152"/>
      <c r="AZ159" s="22"/>
      <c r="BA159" s="74"/>
      <c r="BB159" s="45"/>
      <c r="BC159" s="22"/>
      <c r="BD159" s="158"/>
      <c r="BE159" s="558"/>
      <c r="BF159" s="45"/>
      <c r="BG159" s="45"/>
      <c r="BH159" s="45"/>
      <c r="BI159" s="45"/>
      <c r="BJ159" s="45"/>
      <c r="BK159" s="45"/>
      <c r="BL159" s="45"/>
      <c r="BM159" s="158"/>
      <c r="BN159" s="558"/>
      <c r="BO159" s="45"/>
      <c r="BP159" s="45"/>
      <c r="BQ159" s="149"/>
      <c r="BR159" s="149"/>
      <c r="BS159" s="149"/>
      <c r="BT159" s="149"/>
      <c r="BU159" s="149"/>
      <c r="BV159" s="559"/>
      <c r="BW159" s="45"/>
      <c r="BX159" s="45"/>
      <c r="BY159" s="45"/>
      <c r="BZ159" s="69"/>
      <c r="CA159" s="69"/>
      <c r="CB159" s="69"/>
      <c r="CC159" s="69"/>
      <c r="CD159" s="69"/>
      <c r="CE159" s="22"/>
      <c r="CF159" s="22"/>
      <c r="CG159" s="22"/>
    </row>
    <row r="160" spans="1:85" ht="15.75" customHeight="1" x14ac:dyDescent="0.45">
      <c r="A160" s="22"/>
      <c r="B160" s="12"/>
      <c r="C160" s="12"/>
      <c r="D160" s="155"/>
      <c r="E160" s="144"/>
      <c r="F160" s="144"/>
      <c r="G160" s="12"/>
      <c r="H160" s="22"/>
      <c r="I160" s="22"/>
      <c r="J160" s="22"/>
      <c r="K160" s="145"/>
      <c r="L160" s="144"/>
      <c r="M160" s="144"/>
      <c r="N160" s="144"/>
      <c r="O160" s="145"/>
      <c r="P160" s="145"/>
      <c r="Q160" s="145"/>
      <c r="R160" s="145"/>
      <c r="S160" s="144"/>
      <c r="T160" s="145"/>
      <c r="U160" s="145"/>
      <c r="V160" s="145"/>
      <c r="W160" s="145"/>
      <c r="X160" s="53"/>
      <c r="Y160" s="74"/>
      <c r="Z160" s="145"/>
      <c r="AA160" s="145"/>
      <c r="AB160" s="145"/>
      <c r="AC160" s="146"/>
      <c r="AD160" s="145"/>
      <c r="AE160" s="145"/>
      <c r="AF160" s="145"/>
      <c r="AG160" s="145"/>
      <c r="AH160" s="146"/>
      <c r="AI160" s="145"/>
      <c r="AJ160" s="145"/>
      <c r="AK160" s="145"/>
      <c r="AL160" s="145"/>
      <c r="AM160" s="145"/>
      <c r="AN160" s="145"/>
      <c r="AO160" s="145"/>
      <c r="AP160" s="74"/>
      <c r="AQ160" s="74"/>
      <c r="AR160" s="74"/>
      <c r="AS160" s="523"/>
      <c r="AT160" s="523"/>
      <c r="AU160" s="523"/>
      <c r="AV160" s="555"/>
      <c r="AW160" s="12"/>
      <c r="AX160" s="12"/>
      <c r="AY160" s="152"/>
      <c r="AZ160" s="22"/>
      <c r="BA160" s="74"/>
      <c r="BB160" s="45"/>
      <c r="BC160" s="22"/>
      <c r="BD160" s="158"/>
      <c r="BE160" s="558"/>
      <c r="BF160" s="45"/>
      <c r="BG160" s="45"/>
      <c r="BH160" s="45"/>
      <c r="BI160" s="45"/>
      <c r="BJ160" s="45"/>
      <c r="BK160" s="45"/>
      <c r="BL160" s="45"/>
      <c r="BM160" s="158"/>
      <c r="BN160" s="558"/>
      <c r="BO160" s="45"/>
      <c r="BP160" s="45"/>
      <c r="BQ160" s="532"/>
      <c r="BR160" s="532"/>
      <c r="BS160" s="532"/>
      <c r="BT160" s="532"/>
      <c r="BU160" s="532"/>
      <c r="BV160" s="559"/>
      <c r="BW160" s="45"/>
      <c r="BX160" s="45"/>
      <c r="BY160" s="45"/>
      <c r="BZ160" s="69"/>
      <c r="CA160" s="69"/>
      <c r="CB160" s="69"/>
      <c r="CC160" s="69"/>
      <c r="CD160" s="69"/>
      <c r="CE160" s="22"/>
      <c r="CF160" s="22"/>
      <c r="CG160" s="22"/>
    </row>
    <row r="161" spans="1:85" ht="15.75" customHeight="1" x14ac:dyDescent="0.45">
      <c r="A161" s="22"/>
      <c r="B161" s="12"/>
      <c r="C161" s="12"/>
      <c r="D161" s="155"/>
      <c r="E161" s="144"/>
      <c r="F161" s="144"/>
      <c r="G161" s="12"/>
      <c r="H161" s="22"/>
      <c r="I161" s="22"/>
      <c r="J161" s="22"/>
      <c r="K161" s="145"/>
      <c r="L161" s="144"/>
      <c r="M161" s="144"/>
      <c r="N161" s="144"/>
      <c r="O161" s="145"/>
      <c r="P161" s="145"/>
      <c r="Q161" s="145"/>
      <c r="R161" s="145"/>
      <c r="S161" s="144"/>
      <c r="T161" s="145"/>
      <c r="U161" s="145"/>
      <c r="V161" s="145"/>
      <c r="W161" s="145"/>
      <c r="X161" s="53"/>
      <c r="Y161" s="74"/>
      <c r="Z161" s="145"/>
      <c r="AA161" s="145"/>
      <c r="AB161" s="145"/>
      <c r="AC161" s="146"/>
      <c r="AD161" s="145"/>
      <c r="AE161" s="145"/>
      <c r="AF161" s="145"/>
      <c r="AG161" s="145"/>
      <c r="AH161" s="146"/>
      <c r="AI161" s="145"/>
      <c r="AJ161" s="145"/>
      <c r="AK161" s="145"/>
      <c r="AL161" s="145"/>
      <c r="AM161" s="145"/>
      <c r="AN161" s="145"/>
      <c r="AO161" s="145"/>
      <c r="AP161" s="74"/>
      <c r="AQ161" s="74"/>
      <c r="AR161" s="74"/>
      <c r="AS161" s="523"/>
      <c r="AT161" s="523"/>
      <c r="AU161" s="523"/>
      <c r="AV161" s="555"/>
      <c r="AW161" s="12"/>
      <c r="AX161" s="12"/>
      <c r="AY161" s="152"/>
      <c r="AZ161" s="22"/>
      <c r="BA161" s="74"/>
      <c r="BB161" s="45"/>
      <c r="BC161" s="22"/>
      <c r="BD161" s="158"/>
      <c r="BE161" s="558"/>
      <c r="BF161" s="45"/>
      <c r="BG161" s="45"/>
      <c r="BH161" s="45"/>
      <c r="BI161" s="45"/>
      <c r="BJ161" s="45"/>
      <c r="BK161" s="45"/>
      <c r="BL161" s="45"/>
      <c r="BM161" s="158"/>
      <c r="BN161" s="558"/>
      <c r="BO161" s="45"/>
      <c r="BP161" s="45"/>
      <c r="BQ161" s="532"/>
      <c r="BR161" s="532"/>
      <c r="BS161" s="532"/>
      <c r="BT161" s="532"/>
      <c r="BU161" s="532"/>
      <c r="BV161" s="559"/>
      <c r="BW161" s="45"/>
      <c r="BX161" s="45"/>
      <c r="BY161" s="45"/>
      <c r="BZ161" s="69"/>
      <c r="CA161" s="69"/>
      <c r="CB161" s="69"/>
      <c r="CC161" s="69"/>
      <c r="CD161" s="69"/>
      <c r="CE161" s="22"/>
      <c r="CF161" s="22"/>
      <c r="CG161" s="22"/>
    </row>
    <row r="162" spans="1:85" ht="15.75" customHeight="1" x14ac:dyDescent="0.45">
      <c r="A162" s="22"/>
      <c r="B162" s="12"/>
      <c r="C162" s="12"/>
      <c r="D162" s="155"/>
      <c r="E162" s="144"/>
      <c r="F162" s="144"/>
      <c r="G162" s="12"/>
      <c r="H162" s="22"/>
      <c r="I162" s="22"/>
      <c r="J162" s="22"/>
      <c r="K162" s="145"/>
      <c r="L162" s="144"/>
      <c r="M162" s="144"/>
      <c r="N162" s="144"/>
      <c r="O162" s="145"/>
      <c r="P162" s="145"/>
      <c r="Q162" s="145"/>
      <c r="R162" s="145"/>
      <c r="S162" s="144"/>
      <c r="T162" s="145"/>
      <c r="U162" s="145"/>
      <c r="V162" s="145"/>
      <c r="W162" s="145"/>
      <c r="X162" s="53"/>
      <c r="Y162" s="74"/>
      <c r="Z162" s="145"/>
      <c r="AA162" s="145"/>
      <c r="AB162" s="145"/>
      <c r="AC162" s="146"/>
      <c r="AD162" s="145"/>
      <c r="AE162" s="145"/>
      <c r="AF162" s="145"/>
      <c r="AG162" s="145"/>
      <c r="AH162" s="146"/>
      <c r="AI162" s="145"/>
      <c r="AJ162" s="145"/>
      <c r="AK162" s="145"/>
      <c r="AL162" s="145"/>
      <c r="AM162" s="145"/>
      <c r="AN162" s="145"/>
      <c r="AO162" s="145"/>
      <c r="AP162" s="74"/>
      <c r="AQ162" s="74"/>
      <c r="AR162" s="74"/>
      <c r="AS162" s="523"/>
      <c r="AT162" s="523"/>
      <c r="AU162" s="523"/>
      <c r="AV162" s="555"/>
      <c r="AW162" s="12"/>
      <c r="AX162" s="12"/>
      <c r="AY162" s="152"/>
      <c r="AZ162" s="22"/>
      <c r="BA162" s="74"/>
      <c r="BB162" s="45"/>
      <c r="BC162" s="22"/>
      <c r="BD162" s="158"/>
      <c r="BE162" s="558"/>
      <c r="BF162" s="45"/>
      <c r="BG162" s="45"/>
      <c r="BH162" s="45"/>
      <c r="BI162" s="45"/>
      <c r="BJ162" s="45"/>
      <c r="BK162" s="45"/>
      <c r="BL162" s="45"/>
      <c r="BM162" s="158"/>
      <c r="BN162" s="558"/>
      <c r="BO162" s="45"/>
      <c r="BP162" s="45"/>
      <c r="BQ162" s="149"/>
      <c r="BR162" s="149"/>
      <c r="BS162" s="149"/>
      <c r="BT162" s="149"/>
      <c r="BU162" s="149"/>
      <c r="BV162" s="559"/>
      <c r="BW162" s="45"/>
      <c r="BX162" s="45"/>
      <c r="BY162" s="45"/>
      <c r="BZ162" s="69"/>
      <c r="CA162" s="69"/>
      <c r="CB162" s="69"/>
      <c r="CC162" s="69"/>
      <c r="CD162" s="69"/>
      <c r="CE162" s="22"/>
      <c r="CF162" s="22"/>
      <c r="CG162" s="22"/>
    </row>
    <row r="163" spans="1:85" ht="15.75" customHeight="1" x14ac:dyDescent="0.45">
      <c r="A163" s="22"/>
      <c r="B163" s="12"/>
      <c r="C163" s="12"/>
      <c r="D163" s="155"/>
      <c r="E163" s="144"/>
      <c r="F163" s="144"/>
      <c r="G163" s="12"/>
      <c r="H163" s="22"/>
      <c r="I163" s="22"/>
      <c r="J163" s="22"/>
      <c r="K163" s="145"/>
      <c r="L163" s="144"/>
      <c r="M163" s="144"/>
      <c r="N163" s="144"/>
      <c r="O163" s="145"/>
      <c r="P163" s="145"/>
      <c r="Q163" s="145"/>
      <c r="R163" s="145"/>
      <c r="S163" s="144"/>
      <c r="T163" s="145"/>
      <c r="U163" s="145"/>
      <c r="V163" s="145"/>
      <c r="W163" s="145"/>
      <c r="X163" s="53"/>
      <c r="Y163" s="74"/>
      <c r="Z163" s="145"/>
      <c r="AA163" s="145"/>
      <c r="AB163" s="145"/>
      <c r="AC163" s="146"/>
      <c r="AD163" s="145"/>
      <c r="AE163" s="145"/>
      <c r="AF163" s="145"/>
      <c r="AG163" s="145"/>
      <c r="AH163" s="146"/>
      <c r="AI163" s="145"/>
      <c r="AJ163" s="145"/>
      <c r="AK163" s="145"/>
      <c r="AL163" s="145"/>
      <c r="AM163" s="145"/>
      <c r="AN163" s="145"/>
      <c r="AO163" s="145"/>
      <c r="AP163" s="74"/>
      <c r="AQ163" s="74"/>
      <c r="AR163" s="74"/>
      <c r="AS163" s="523"/>
      <c r="AT163" s="523"/>
      <c r="AU163" s="523"/>
      <c r="AV163" s="555"/>
      <c r="AW163" s="12"/>
      <c r="AX163" s="12"/>
      <c r="AY163" s="152"/>
      <c r="AZ163" s="22"/>
      <c r="BA163" s="74"/>
      <c r="BB163" s="45"/>
      <c r="BC163" s="22"/>
      <c r="BD163" s="158"/>
      <c r="BE163" s="558"/>
      <c r="BF163" s="45"/>
      <c r="BG163" s="45"/>
      <c r="BH163" s="45"/>
      <c r="BI163" s="45"/>
      <c r="BJ163" s="45"/>
      <c r="BK163" s="45"/>
      <c r="BL163" s="45"/>
      <c r="BM163" s="158"/>
      <c r="BN163" s="558"/>
      <c r="BO163" s="45"/>
      <c r="BP163" s="45"/>
      <c r="BQ163" s="149"/>
      <c r="BR163" s="149"/>
      <c r="BS163" s="149"/>
      <c r="BT163" s="149"/>
      <c r="BU163" s="149"/>
      <c r="BV163" s="559"/>
      <c r="BW163" s="45"/>
      <c r="BX163" s="45"/>
      <c r="BY163" s="45"/>
      <c r="BZ163" s="69"/>
      <c r="CA163" s="69"/>
      <c r="CB163" s="69"/>
      <c r="CC163" s="69"/>
      <c r="CD163" s="69"/>
      <c r="CE163" s="22"/>
      <c r="CF163" s="22"/>
      <c r="CG163" s="22"/>
    </row>
    <row r="164" spans="1:85" ht="15.75" customHeight="1" x14ac:dyDescent="0.45">
      <c r="A164" s="22"/>
      <c r="B164" s="12"/>
      <c r="C164" s="12"/>
      <c r="D164" s="155"/>
      <c r="E164" s="144"/>
      <c r="F164" s="144"/>
      <c r="G164" s="12"/>
      <c r="H164" s="22"/>
      <c r="I164" s="22"/>
      <c r="J164" s="22"/>
      <c r="K164" s="145"/>
      <c r="L164" s="144"/>
      <c r="M164" s="144"/>
      <c r="N164" s="144"/>
      <c r="O164" s="145"/>
      <c r="P164" s="145"/>
      <c r="Q164" s="145"/>
      <c r="R164" s="145"/>
      <c r="S164" s="144"/>
      <c r="T164" s="145"/>
      <c r="U164" s="145"/>
      <c r="V164" s="145"/>
      <c r="W164" s="145"/>
      <c r="X164" s="53"/>
      <c r="Y164" s="74"/>
      <c r="Z164" s="145"/>
      <c r="AA164" s="145"/>
      <c r="AB164" s="145"/>
      <c r="AC164" s="146"/>
      <c r="AD164" s="145"/>
      <c r="AE164" s="145"/>
      <c r="AF164" s="145"/>
      <c r="AG164" s="145"/>
      <c r="AH164" s="146"/>
      <c r="AI164" s="145"/>
      <c r="AJ164" s="145"/>
      <c r="AK164" s="145"/>
      <c r="AL164" s="145"/>
      <c r="AM164" s="145"/>
      <c r="AN164" s="145"/>
      <c r="AO164" s="145"/>
      <c r="AP164" s="74"/>
      <c r="AQ164" s="74"/>
      <c r="AR164" s="74"/>
      <c r="AS164" s="523"/>
      <c r="AT164" s="523"/>
      <c r="AU164" s="523"/>
      <c r="AV164" s="555"/>
      <c r="AW164" s="12"/>
      <c r="AX164" s="12"/>
      <c r="AY164" s="152"/>
      <c r="AZ164" s="22"/>
      <c r="BA164" s="74"/>
      <c r="BB164" s="45"/>
      <c r="BC164" s="22"/>
      <c r="BD164" s="158"/>
      <c r="BE164" s="558"/>
      <c r="BF164" s="45"/>
      <c r="BG164" s="45"/>
      <c r="BH164" s="45"/>
      <c r="BI164" s="45"/>
      <c r="BJ164" s="45"/>
      <c r="BK164" s="45"/>
      <c r="BL164" s="45"/>
      <c r="BM164" s="158"/>
      <c r="BN164" s="558"/>
      <c r="BO164" s="45"/>
      <c r="BP164" s="45"/>
      <c r="BQ164" s="149"/>
      <c r="BR164" s="149"/>
      <c r="BS164" s="149"/>
      <c r="BT164" s="149"/>
      <c r="BU164" s="149"/>
      <c r="BV164" s="559"/>
      <c r="BW164" s="45"/>
      <c r="BX164" s="45"/>
      <c r="BY164" s="45"/>
      <c r="BZ164" s="69"/>
      <c r="CA164" s="69"/>
      <c r="CB164" s="69"/>
      <c r="CC164" s="69"/>
      <c r="CD164" s="69"/>
      <c r="CE164" s="22"/>
      <c r="CF164" s="22"/>
      <c r="CG164" s="22"/>
    </row>
    <row r="165" spans="1:85" ht="15.75" customHeight="1" x14ac:dyDescent="0.45">
      <c r="A165" s="22"/>
      <c r="B165" s="12"/>
      <c r="C165" s="12"/>
      <c r="D165" s="155"/>
      <c r="E165" s="144"/>
      <c r="F165" s="144"/>
      <c r="G165" s="12"/>
      <c r="H165" s="22"/>
      <c r="I165" s="22"/>
      <c r="J165" s="22"/>
      <c r="K165" s="145"/>
      <c r="L165" s="144"/>
      <c r="M165" s="144"/>
      <c r="N165" s="144"/>
      <c r="O165" s="145"/>
      <c r="P165" s="145"/>
      <c r="Q165" s="145"/>
      <c r="R165" s="145"/>
      <c r="S165" s="144"/>
      <c r="T165" s="145"/>
      <c r="U165" s="145"/>
      <c r="V165" s="145"/>
      <c r="W165" s="145"/>
      <c r="X165" s="53"/>
      <c r="Y165" s="74"/>
      <c r="Z165" s="145"/>
      <c r="AA165" s="145"/>
      <c r="AB165" s="145"/>
      <c r="AC165" s="146"/>
      <c r="AD165" s="145"/>
      <c r="AE165" s="145"/>
      <c r="AF165" s="145"/>
      <c r="AG165" s="145"/>
      <c r="AH165" s="146"/>
      <c r="AI165" s="145"/>
      <c r="AJ165" s="145"/>
      <c r="AK165" s="145"/>
      <c r="AL165" s="145"/>
      <c r="AM165" s="145"/>
      <c r="AN165" s="145"/>
      <c r="AO165" s="145"/>
      <c r="AP165" s="74"/>
      <c r="AQ165" s="74"/>
      <c r="AR165" s="74"/>
      <c r="AS165" s="523"/>
      <c r="AT165" s="523"/>
      <c r="AU165" s="523"/>
      <c r="AV165" s="555"/>
      <c r="AW165" s="12"/>
      <c r="AX165" s="12"/>
      <c r="AY165" s="152"/>
      <c r="AZ165" s="22"/>
      <c r="BA165" s="74"/>
      <c r="BB165" s="45"/>
      <c r="BC165" s="22"/>
      <c r="BD165" s="158"/>
      <c r="BE165" s="558"/>
      <c r="BF165" s="45"/>
      <c r="BG165" s="45"/>
      <c r="BH165" s="45"/>
      <c r="BI165" s="45"/>
      <c r="BJ165" s="45"/>
      <c r="BK165" s="45"/>
      <c r="BL165" s="45"/>
      <c r="BM165" s="158"/>
      <c r="BN165" s="558"/>
      <c r="BO165" s="45"/>
      <c r="BP165" s="45"/>
      <c r="BQ165" s="22"/>
      <c r="BR165" s="22"/>
      <c r="BS165" s="22"/>
      <c r="BT165" s="22"/>
      <c r="BU165" s="22"/>
      <c r="BV165" s="559"/>
      <c r="BW165" s="45"/>
      <c r="BX165" s="45"/>
      <c r="BY165" s="45"/>
      <c r="BZ165" s="69"/>
      <c r="CA165" s="69"/>
      <c r="CB165" s="69"/>
      <c r="CC165" s="69"/>
      <c r="CD165" s="69"/>
      <c r="CE165" s="22"/>
      <c r="CF165" s="22"/>
      <c r="CG165" s="22"/>
    </row>
    <row r="166" spans="1:85" ht="15.75" customHeight="1" x14ac:dyDescent="0.45">
      <c r="A166" s="22"/>
      <c r="B166" s="12"/>
      <c r="C166" s="12"/>
      <c r="D166" s="155"/>
      <c r="E166" s="144"/>
      <c r="F166" s="144"/>
      <c r="G166" s="12"/>
      <c r="H166" s="22"/>
      <c r="I166" s="22"/>
      <c r="J166" s="22"/>
      <c r="K166" s="145"/>
      <c r="L166" s="144"/>
      <c r="M166" s="144"/>
      <c r="N166" s="144"/>
      <c r="O166" s="145"/>
      <c r="P166" s="145"/>
      <c r="Q166" s="145"/>
      <c r="R166" s="145"/>
      <c r="S166" s="144"/>
      <c r="T166" s="145"/>
      <c r="U166" s="145"/>
      <c r="V166" s="145"/>
      <c r="W166" s="145"/>
      <c r="X166" s="53"/>
      <c r="Y166" s="74"/>
      <c r="Z166" s="145"/>
      <c r="AA166" s="145"/>
      <c r="AB166" s="145"/>
      <c r="AC166" s="146"/>
      <c r="AD166" s="145"/>
      <c r="AE166" s="145"/>
      <c r="AF166" s="145"/>
      <c r="AG166" s="145"/>
      <c r="AH166" s="146"/>
      <c r="AI166" s="145"/>
      <c r="AJ166" s="145"/>
      <c r="AK166" s="145"/>
      <c r="AL166" s="145"/>
      <c r="AM166" s="145"/>
      <c r="AN166" s="145"/>
      <c r="AO166" s="145"/>
      <c r="AP166" s="74"/>
      <c r="AQ166" s="74"/>
      <c r="AR166" s="74"/>
      <c r="AS166" s="523"/>
      <c r="AT166" s="523"/>
      <c r="AU166" s="523"/>
      <c r="AV166" s="555"/>
      <c r="AW166" s="12"/>
      <c r="AX166" s="12"/>
      <c r="AY166" s="152"/>
      <c r="AZ166" s="22"/>
      <c r="BA166" s="74"/>
      <c r="BB166" s="45"/>
      <c r="BC166" s="22"/>
      <c r="BD166" s="158"/>
      <c r="BE166" s="558"/>
      <c r="BF166" s="45"/>
      <c r="BG166" s="45"/>
      <c r="BH166" s="45"/>
      <c r="BI166" s="45"/>
      <c r="BJ166" s="45"/>
      <c r="BK166" s="45"/>
      <c r="BL166" s="45"/>
      <c r="BM166" s="158"/>
      <c r="BN166" s="558"/>
      <c r="BO166" s="45"/>
      <c r="BP166" s="45"/>
      <c r="BQ166" s="149"/>
      <c r="BR166" s="149"/>
      <c r="BS166" s="149"/>
      <c r="BT166" s="149"/>
      <c r="BU166" s="149"/>
      <c r="BV166" s="559"/>
      <c r="BW166" s="45"/>
      <c r="BX166" s="45"/>
      <c r="BY166" s="45"/>
      <c r="BZ166" s="69"/>
      <c r="CA166" s="69"/>
      <c r="CB166" s="69"/>
      <c r="CC166" s="69"/>
      <c r="CD166" s="69"/>
      <c r="CE166" s="22"/>
      <c r="CF166" s="22"/>
      <c r="CG166" s="22"/>
    </row>
    <row r="167" spans="1:85" ht="15.75" customHeight="1" x14ac:dyDescent="0.45">
      <c r="A167" s="22"/>
      <c r="B167" s="12"/>
      <c r="C167" s="12"/>
      <c r="D167" s="155"/>
      <c r="E167" s="144"/>
      <c r="F167" s="144"/>
      <c r="G167" s="12"/>
      <c r="H167" s="22"/>
      <c r="I167" s="22"/>
      <c r="J167" s="22"/>
      <c r="K167" s="145"/>
      <c r="L167" s="144"/>
      <c r="M167" s="144"/>
      <c r="N167" s="144"/>
      <c r="O167" s="145"/>
      <c r="P167" s="145"/>
      <c r="Q167" s="145"/>
      <c r="R167" s="145"/>
      <c r="S167" s="144"/>
      <c r="T167" s="145"/>
      <c r="U167" s="145"/>
      <c r="V167" s="145"/>
      <c r="W167" s="145"/>
      <c r="X167" s="53"/>
      <c r="Y167" s="74"/>
      <c r="Z167" s="145"/>
      <c r="AA167" s="145"/>
      <c r="AB167" s="145"/>
      <c r="AC167" s="146"/>
      <c r="AD167" s="145"/>
      <c r="AE167" s="145"/>
      <c r="AF167" s="145"/>
      <c r="AG167" s="145"/>
      <c r="AH167" s="146"/>
      <c r="AI167" s="145"/>
      <c r="AJ167" s="145"/>
      <c r="AK167" s="145"/>
      <c r="AL167" s="145"/>
      <c r="AM167" s="145"/>
      <c r="AN167" s="145"/>
      <c r="AO167" s="145"/>
      <c r="AP167" s="74"/>
      <c r="AQ167" s="74"/>
      <c r="AR167" s="74"/>
      <c r="AS167" s="523"/>
      <c r="AT167" s="523"/>
      <c r="AU167" s="523"/>
      <c r="AV167" s="555"/>
      <c r="AW167" s="12"/>
      <c r="AX167" s="12"/>
      <c r="AY167" s="152"/>
      <c r="AZ167" s="22"/>
      <c r="BA167" s="74"/>
      <c r="BB167" s="45"/>
      <c r="BC167" s="22"/>
      <c r="BD167" s="158"/>
      <c r="BE167" s="558"/>
      <c r="BF167" s="45"/>
      <c r="BG167" s="45"/>
      <c r="BH167" s="45"/>
      <c r="BI167" s="45"/>
      <c r="BJ167" s="45"/>
      <c r="BK167" s="45"/>
      <c r="BL167" s="45"/>
      <c r="BM167" s="158"/>
      <c r="BN167" s="558"/>
      <c r="BO167" s="45"/>
      <c r="BP167" s="45"/>
      <c r="BQ167" s="511"/>
      <c r="BR167" s="511"/>
      <c r="BS167" s="511"/>
      <c r="BT167" s="511"/>
      <c r="BU167" s="511"/>
      <c r="BV167" s="559"/>
      <c r="BW167" s="45"/>
      <c r="BX167" s="45"/>
      <c r="BY167" s="45"/>
      <c r="BZ167" s="69"/>
      <c r="CA167" s="69"/>
      <c r="CB167" s="69"/>
      <c r="CC167" s="69"/>
      <c r="CD167" s="69"/>
      <c r="CE167" s="22"/>
      <c r="CF167" s="22"/>
      <c r="CG167" s="22"/>
    </row>
    <row r="168" spans="1:85" ht="15.75" customHeight="1" x14ac:dyDescent="0.45">
      <c r="A168" s="22"/>
      <c r="B168" s="12"/>
      <c r="C168" s="12"/>
      <c r="D168" s="155"/>
      <c r="E168" s="144"/>
      <c r="F168" s="144"/>
      <c r="G168" s="12"/>
      <c r="H168" s="22"/>
      <c r="I168" s="22"/>
      <c r="J168" s="22"/>
      <c r="K168" s="145"/>
      <c r="L168" s="144"/>
      <c r="M168" s="144"/>
      <c r="N168" s="144"/>
      <c r="O168" s="145"/>
      <c r="P168" s="145"/>
      <c r="Q168" s="145"/>
      <c r="R168" s="145"/>
      <c r="S168" s="144"/>
      <c r="T168" s="145"/>
      <c r="U168" s="145"/>
      <c r="V168" s="145"/>
      <c r="W168" s="145"/>
      <c r="X168" s="53"/>
      <c r="Y168" s="74"/>
      <c r="Z168" s="145"/>
      <c r="AA168" s="145"/>
      <c r="AB168" s="145"/>
      <c r="AC168" s="146"/>
      <c r="AD168" s="145"/>
      <c r="AE168" s="145"/>
      <c r="AF168" s="145"/>
      <c r="AG168" s="145"/>
      <c r="AH168" s="146"/>
      <c r="AI168" s="145"/>
      <c r="AJ168" s="145"/>
      <c r="AK168" s="145"/>
      <c r="AL168" s="145"/>
      <c r="AM168" s="145"/>
      <c r="AN168" s="145"/>
      <c r="AO168" s="145"/>
      <c r="AP168" s="74"/>
      <c r="AQ168" s="74"/>
      <c r="AR168" s="74"/>
      <c r="AS168" s="523"/>
      <c r="AT168" s="523"/>
      <c r="AU168" s="523"/>
      <c r="AV168" s="555"/>
      <c r="AW168" s="12"/>
      <c r="AX168" s="12"/>
      <c r="AY168" s="152"/>
      <c r="AZ168" s="22"/>
      <c r="BA168" s="74"/>
      <c r="BB168" s="45"/>
      <c r="BC168" s="22"/>
      <c r="BD168" s="158"/>
      <c r="BE168" s="558"/>
      <c r="BF168" s="45"/>
      <c r="BG168" s="45"/>
      <c r="BH168" s="45"/>
      <c r="BI168" s="45"/>
      <c r="BJ168" s="45"/>
      <c r="BK168" s="45"/>
      <c r="BL168" s="45"/>
      <c r="BM168" s="158"/>
      <c r="BN168" s="558"/>
      <c r="BO168" s="45"/>
      <c r="BP168" s="45"/>
      <c r="BQ168" s="22"/>
      <c r="BR168" s="22"/>
      <c r="BS168" s="22"/>
      <c r="BT168" s="22"/>
      <c r="BU168" s="22"/>
      <c r="BV168" s="559"/>
      <c r="BW168" s="45"/>
      <c r="BX168" s="45"/>
      <c r="BY168" s="45"/>
      <c r="BZ168" s="69"/>
      <c r="CA168" s="69"/>
      <c r="CB168" s="69"/>
      <c r="CC168" s="69"/>
      <c r="CD168" s="69"/>
      <c r="CE168" s="22"/>
      <c r="CF168" s="22"/>
      <c r="CG168" s="22"/>
    </row>
    <row r="169" spans="1:85" ht="15.75" customHeight="1" x14ac:dyDescent="0.45">
      <c r="A169" s="22"/>
      <c r="B169" s="12"/>
      <c r="C169" s="12"/>
      <c r="D169" s="155"/>
      <c r="E169" s="144"/>
      <c r="F169" s="144"/>
      <c r="G169" s="12"/>
      <c r="H169" s="22"/>
      <c r="I169" s="22"/>
      <c r="J169" s="22"/>
      <c r="K169" s="145"/>
      <c r="L169" s="144"/>
      <c r="M169" s="144"/>
      <c r="N169" s="144"/>
      <c r="O169" s="145"/>
      <c r="P169" s="145"/>
      <c r="Q169" s="145"/>
      <c r="R169" s="145"/>
      <c r="S169" s="144"/>
      <c r="T169" s="145"/>
      <c r="U169" s="145"/>
      <c r="V169" s="145"/>
      <c r="W169" s="145"/>
      <c r="X169" s="53"/>
      <c r="Y169" s="74"/>
      <c r="Z169" s="145"/>
      <c r="AA169" s="145"/>
      <c r="AB169" s="145"/>
      <c r="AC169" s="146"/>
      <c r="AD169" s="145"/>
      <c r="AE169" s="145"/>
      <c r="AF169" s="145"/>
      <c r="AG169" s="145"/>
      <c r="AH169" s="146"/>
      <c r="AI169" s="145"/>
      <c r="AJ169" s="145"/>
      <c r="AK169" s="145"/>
      <c r="AL169" s="145"/>
      <c r="AM169" s="145"/>
      <c r="AN169" s="145"/>
      <c r="AO169" s="145"/>
      <c r="AP169" s="74"/>
      <c r="AQ169" s="74"/>
      <c r="AR169" s="74"/>
      <c r="AS169" s="523"/>
      <c r="AT169" s="523"/>
      <c r="AU169" s="523"/>
      <c r="AV169" s="555"/>
      <c r="AW169" s="12"/>
      <c r="AX169" s="12"/>
      <c r="AY169" s="152"/>
      <c r="AZ169" s="22"/>
      <c r="BA169" s="74"/>
      <c r="BB169" s="45"/>
      <c r="BC169" s="22"/>
      <c r="BD169" s="158"/>
      <c r="BE169" s="558"/>
      <c r="BF169" s="45"/>
      <c r="BG169" s="45"/>
      <c r="BH169" s="45"/>
      <c r="BI169" s="45"/>
      <c r="BJ169" s="45"/>
      <c r="BK169" s="45"/>
      <c r="BL169" s="45"/>
      <c r="BM169" s="158"/>
      <c r="BN169" s="558"/>
      <c r="BO169" s="45"/>
      <c r="BP169" s="45"/>
      <c r="BQ169" s="22"/>
      <c r="BR169" s="22"/>
      <c r="BS169" s="22"/>
      <c r="BT169" s="22"/>
      <c r="BU169" s="22"/>
      <c r="BV169" s="559"/>
      <c r="BW169" s="45"/>
      <c r="BX169" s="45"/>
      <c r="BY169" s="45"/>
      <c r="BZ169" s="69"/>
      <c r="CA169" s="69"/>
      <c r="CB169" s="69"/>
      <c r="CC169" s="69"/>
      <c r="CD169" s="69"/>
      <c r="CE169" s="22"/>
      <c r="CF169" s="22"/>
      <c r="CG169" s="22"/>
    </row>
    <row r="170" spans="1:85" ht="15.75" customHeight="1" x14ac:dyDescent="0.45">
      <c r="A170" s="22"/>
      <c r="B170" s="12"/>
      <c r="C170" s="12"/>
      <c r="D170" s="155"/>
      <c r="E170" s="144"/>
      <c r="F170" s="144"/>
      <c r="G170" s="12"/>
      <c r="H170" s="22"/>
      <c r="I170" s="22"/>
      <c r="J170" s="22"/>
      <c r="K170" s="145"/>
      <c r="L170" s="144"/>
      <c r="M170" s="144"/>
      <c r="N170" s="144"/>
      <c r="O170" s="145"/>
      <c r="P170" s="145"/>
      <c r="Q170" s="145"/>
      <c r="R170" s="145"/>
      <c r="S170" s="144"/>
      <c r="T170" s="145"/>
      <c r="U170" s="145"/>
      <c r="V170" s="145"/>
      <c r="W170" s="145"/>
      <c r="X170" s="53"/>
      <c r="Y170" s="74"/>
      <c r="Z170" s="145"/>
      <c r="AA170" s="145"/>
      <c r="AB170" s="145"/>
      <c r="AC170" s="146"/>
      <c r="AD170" s="145"/>
      <c r="AE170" s="145"/>
      <c r="AF170" s="145"/>
      <c r="AG170" s="145"/>
      <c r="AH170" s="146"/>
      <c r="AI170" s="145"/>
      <c r="AJ170" s="145"/>
      <c r="AK170" s="145"/>
      <c r="AL170" s="145"/>
      <c r="AM170" s="145"/>
      <c r="AN170" s="145"/>
      <c r="AO170" s="145"/>
      <c r="AP170" s="74"/>
      <c r="AQ170" s="74"/>
      <c r="AR170" s="74"/>
      <c r="AS170" s="523"/>
      <c r="AT170" s="523"/>
      <c r="AU170" s="523"/>
      <c r="AV170" s="555"/>
      <c r="AW170" s="12"/>
      <c r="AX170" s="12"/>
      <c r="AY170" s="152"/>
      <c r="AZ170" s="22"/>
      <c r="BA170" s="74"/>
      <c r="BB170" s="45"/>
      <c r="BC170" s="22"/>
      <c r="BD170" s="158"/>
      <c r="BE170" s="558"/>
      <c r="BF170" s="45"/>
      <c r="BG170" s="45"/>
      <c r="BH170" s="45"/>
      <c r="BI170" s="45"/>
      <c r="BJ170" s="45"/>
      <c r="BK170" s="45"/>
      <c r="BL170" s="45"/>
      <c r="BM170" s="158"/>
      <c r="BN170" s="558"/>
      <c r="BO170" s="45"/>
      <c r="BP170" s="45"/>
      <c r="BQ170" s="22"/>
      <c r="BR170" s="22"/>
      <c r="BS170" s="22"/>
      <c r="BT170" s="22"/>
      <c r="BU170" s="22"/>
      <c r="BV170" s="559"/>
      <c r="BW170" s="45"/>
      <c r="BX170" s="45"/>
      <c r="BY170" s="45"/>
      <c r="BZ170" s="69"/>
      <c r="CA170" s="69"/>
      <c r="CB170" s="69"/>
      <c r="CC170" s="69"/>
      <c r="CD170" s="69"/>
      <c r="CE170" s="22"/>
      <c r="CF170" s="22"/>
      <c r="CG170" s="22"/>
    </row>
    <row r="171" spans="1:85" ht="15.75" customHeight="1" x14ac:dyDescent="0.45">
      <c r="A171" s="22"/>
      <c r="B171" s="12"/>
      <c r="C171" s="12"/>
      <c r="D171" s="155"/>
      <c r="E171" s="144"/>
      <c r="F171" s="144"/>
      <c r="G171" s="12"/>
      <c r="H171" s="22"/>
      <c r="I171" s="22"/>
      <c r="J171" s="22"/>
      <c r="K171" s="145"/>
      <c r="L171" s="144"/>
      <c r="M171" s="144"/>
      <c r="N171" s="144"/>
      <c r="O171" s="145"/>
      <c r="P171" s="145"/>
      <c r="Q171" s="145"/>
      <c r="R171" s="145"/>
      <c r="S171" s="144"/>
      <c r="T171" s="145"/>
      <c r="U171" s="145"/>
      <c r="V171" s="145"/>
      <c r="W171" s="145"/>
      <c r="X171" s="53"/>
      <c r="Y171" s="74"/>
      <c r="Z171" s="145"/>
      <c r="AA171" s="145"/>
      <c r="AB171" s="145"/>
      <c r="AC171" s="146"/>
      <c r="AD171" s="145"/>
      <c r="AE171" s="145"/>
      <c r="AF171" s="145"/>
      <c r="AG171" s="145"/>
      <c r="AH171" s="146"/>
      <c r="AI171" s="145"/>
      <c r="AJ171" s="145"/>
      <c r="AK171" s="145"/>
      <c r="AL171" s="145"/>
      <c r="AM171" s="145"/>
      <c r="AN171" s="145"/>
      <c r="AO171" s="145"/>
      <c r="AP171" s="74"/>
      <c r="AQ171" s="74"/>
      <c r="AR171" s="74"/>
      <c r="AS171" s="523"/>
      <c r="AT171" s="523"/>
      <c r="AU171" s="523"/>
      <c r="AV171" s="555"/>
      <c r="AW171" s="12"/>
      <c r="AX171" s="12"/>
      <c r="AY171" s="152"/>
      <c r="AZ171" s="22"/>
      <c r="BA171" s="74"/>
      <c r="BB171" s="45"/>
      <c r="BC171" s="22"/>
      <c r="BD171" s="158"/>
      <c r="BE171" s="558"/>
      <c r="BF171" s="45"/>
      <c r="BG171" s="45"/>
      <c r="BH171" s="45"/>
      <c r="BI171" s="45"/>
      <c r="BJ171" s="45"/>
      <c r="BK171" s="45"/>
      <c r="BL171" s="45"/>
      <c r="BM171" s="158"/>
      <c r="BN171" s="558"/>
      <c r="BO171" s="45"/>
      <c r="BP171" s="45"/>
      <c r="BQ171" s="149"/>
      <c r="BR171" s="149"/>
      <c r="BS171" s="149"/>
      <c r="BT171" s="149"/>
      <c r="BU171" s="149"/>
      <c r="BV171" s="559"/>
      <c r="BW171" s="45"/>
      <c r="BX171" s="45"/>
      <c r="BY171" s="45"/>
      <c r="BZ171" s="69"/>
      <c r="CA171" s="69"/>
      <c r="CB171" s="69"/>
      <c r="CC171" s="69"/>
      <c r="CD171" s="69"/>
      <c r="CE171" s="22"/>
      <c r="CF171" s="22"/>
      <c r="CG171" s="22"/>
    </row>
    <row r="172" spans="1:85" ht="15.75" customHeight="1" x14ac:dyDescent="0.45">
      <c r="A172" s="22"/>
      <c r="B172" s="12"/>
      <c r="C172" s="12"/>
      <c r="D172" s="155"/>
      <c r="E172" s="144"/>
      <c r="F172" s="144"/>
      <c r="G172" s="12"/>
      <c r="H172" s="22"/>
      <c r="I172" s="22"/>
      <c r="J172" s="22"/>
      <c r="K172" s="145"/>
      <c r="L172" s="144"/>
      <c r="M172" s="144"/>
      <c r="N172" s="144"/>
      <c r="O172" s="145"/>
      <c r="P172" s="145"/>
      <c r="Q172" s="145"/>
      <c r="R172" s="145"/>
      <c r="S172" s="144"/>
      <c r="T172" s="145"/>
      <c r="U172" s="145"/>
      <c r="V172" s="145"/>
      <c r="W172" s="145"/>
      <c r="X172" s="53"/>
      <c r="Y172" s="74"/>
      <c r="Z172" s="145"/>
      <c r="AA172" s="145"/>
      <c r="AB172" s="145"/>
      <c r="AC172" s="146"/>
      <c r="AD172" s="145"/>
      <c r="AE172" s="145"/>
      <c r="AF172" s="145"/>
      <c r="AG172" s="145"/>
      <c r="AH172" s="146"/>
      <c r="AI172" s="145"/>
      <c r="AJ172" s="145"/>
      <c r="AK172" s="145"/>
      <c r="AL172" s="145"/>
      <c r="AM172" s="145"/>
      <c r="AN172" s="145"/>
      <c r="AO172" s="145"/>
      <c r="AP172" s="74"/>
      <c r="AQ172" s="74"/>
      <c r="AR172" s="74"/>
      <c r="AS172" s="523"/>
      <c r="AT172" s="523"/>
      <c r="AU172" s="523"/>
      <c r="AV172" s="555"/>
      <c r="AW172" s="12"/>
      <c r="AX172" s="12"/>
      <c r="AY172" s="152"/>
      <c r="AZ172" s="22"/>
      <c r="BA172" s="74"/>
      <c r="BB172" s="45"/>
      <c r="BC172" s="22"/>
      <c r="BD172" s="158"/>
      <c r="BE172" s="558"/>
      <c r="BF172" s="45"/>
      <c r="BG172" s="45"/>
      <c r="BH172" s="45"/>
      <c r="BI172" s="45"/>
      <c r="BJ172" s="45"/>
      <c r="BK172" s="45"/>
      <c r="BL172" s="45"/>
      <c r="BM172" s="158"/>
      <c r="BN172" s="558"/>
      <c r="BO172" s="45"/>
      <c r="BP172" s="45"/>
      <c r="BQ172" s="149"/>
      <c r="BR172" s="149"/>
      <c r="BS172" s="149"/>
      <c r="BT172" s="149"/>
      <c r="BU172" s="149"/>
      <c r="BV172" s="559"/>
      <c r="BW172" s="45"/>
      <c r="BX172" s="45"/>
      <c r="BY172" s="45"/>
      <c r="BZ172" s="69"/>
      <c r="CA172" s="69"/>
      <c r="CB172" s="69"/>
      <c r="CC172" s="69"/>
      <c r="CD172" s="69"/>
      <c r="CE172" s="22"/>
      <c r="CF172" s="22"/>
      <c r="CG172" s="22"/>
    </row>
    <row r="173" spans="1:85" ht="15.75" customHeight="1" x14ac:dyDescent="0.45">
      <c r="A173" s="22"/>
      <c r="B173" s="12"/>
      <c r="C173" s="12"/>
      <c r="D173" s="155"/>
      <c r="E173" s="144"/>
      <c r="F173" s="144"/>
      <c r="G173" s="12"/>
      <c r="H173" s="22"/>
      <c r="I173" s="22"/>
      <c r="J173" s="22"/>
      <c r="K173" s="145"/>
      <c r="L173" s="144"/>
      <c r="M173" s="144"/>
      <c r="N173" s="144"/>
      <c r="O173" s="145"/>
      <c r="P173" s="145"/>
      <c r="Q173" s="145"/>
      <c r="R173" s="145"/>
      <c r="S173" s="144"/>
      <c r="T173" s="145"/>
      <c r="U173" s="145"/>
      <c r="V173" s="145"/>
      <c r="W173" s="145"/>
      <c r="X173" s="53"/>
      <c r="Y173" s="74"/>
      <c r="Z173" s="145"/>
      <c r="AA173" s="145"/>
      <c r="AB173" s="145"/>
      <c r="AC173" s="146"/>
      <c r="AD173" s="145"/>
      <c r="AE173" s="145"/>
      <c r="AF173" s="145"/>
      <c r="AG173" s="145"/>
      <c r="AH173" s="146"/>
      <c r="AI173" s="145"/>
      <c r="AJ173" s="145"/>
      <c r="AK173" s="145"/>
      <c r="AL173" s="145"/>
      <c r="AM173" s="145"/>
      <c r="AN173" s="145"/>
      <c r="AO173" s="145"/>
      <c r="AP173" s="74"/>
      <c r="AQ173" s="74"/>
      <c r="AR173" s="74"/>
      <c r="AS173" s="523"/>
      <c r="AT173" s="523"/>
      <c r="AU173" s="523"/>
      <c r="AV173" s="555"/>
      <c r="AW173" s="12"/>
      <c r="AX173" s="12"/>
      <c r="AY173" s="152"/>
      <c r="AZ173" s="22"/>
      <c r="BA173" s="74"/>
      <c r="BB173" s="45"/>
      <c r="BC173" s="22"/>
      <c r="BD173" s="158"/>
      <c r="BE173" s="558"/>
      <c r="BF173" s="45"/>
      <c r="BG173" s="45"/>
      <c r="BH173" s="45"/>
      <c r="BI173" s="45"/>
      <c r="BJ173" s="45"/>
      <c r="BK173" s="45"/>
      <c r="BL173" s="45"/>
      <c r="BM173" s="158"/>
      <c r="BN173" s="558"/>
      <c r="BO173" s="45"/>
      <c r="BP173" s="45"/>
      <c r="BQ173" s="532"/>
      <c r="BR173" s="532"/>
      <c r="BS173" s="532"/>
      <c r="BT173" s="532"/>
      <c r="BU173" s="532"/>
      <c r="BV173" s="559"/>
      <c r="BW173" s="45"/>
      <c r="BX173" s="45"/>
      <c r="BY173" s="45"/>
      <c r="BZ173" s="69"/>
      <c r="CA173" s="69"/>
      <c r="CB173" s="69"/>
      <c r="CC173" s="69"/>
      <c r="CD173" s="69"/>
      <c r="CE173" s="22"/>
      <c r="CF173" s="22"/>
      <c r="CG173" s="22"/>
    </row>
    <row r="174" spans="1:85" ht="15.75" customHeight="1" x14ac:dyDescent="0.45">
      <c r="A174" s="22"/>
      <c r="B174" s="12"/>
      <c r="C174" s="12"/>
      <c r="D174" s="155"/>
      <c r="E174" s="144"/>
      <c r="F174" s="144"/>
      <c r="G174" s="12"/>
      <c r="H174" s="22"/>
      <c r="I174" s="22"/>
      <c r="J174" s="22"/>
      <c r="K174" s="145"/>
      <c r="L174" s="144"/>
      <c r="M174" s="144"/>
      <c r="N174" s="144"/>
      <c r="O174" s="145"/>
      <c r="P174" s="145"/>
      <c r="Q174" s="145"/>
      <c r="R174" s="145"/>
      <c r="S174" s="144"/>
      <c r="T174" s="145"/>
      <c r="U174" s="145"/>
      <c r="V174" s="145"/>
      <c r="W174" s="145"/>
      <c r="X174" s="53"/>
      <c r="Y174" s="74"/>
      <c r="Z174" s="145"/>
      <c r="AA174" s="145"/>
      <c r="AB174" s="145"/>
      <c r="AC174" s="146"/>
      <c r="AD174" s="145"/>
      <c r="AE174" s="145"/>
      <c r="AF174" s="145"/>
      <c r="AG174" s="145"/>
      <c r="AH174" s="146"/>
      <c r="AI174" s="145"/>
      <c r="AJ174" s="145"/>
      <c r="AK174" s="145"/>
      <c r="AL174" s="145"/>
      <c r="AM174" s="145"/>
      <c r="AN174" s="145"/>
      <c r="AO174" s="145"/>
      <c r="AP174" s="74"/>
      <c r="AQ174" s="74"/>
      <c r="AR174" s="74"/>
      <c r="AS174" s="523"/>
      <c r="AT174" s="523"/>
      <c r="AU174" s="523"/>
      <c r="AV174" s="555"/>
      <c r="AW174" s="12"/>
      <c r="AX174" s="12"/>
      <c r="AY174" s="152"/>
      <c r="AZ174" s="22"/>
      <c r="BA174" s="74"/>
      <c r="BB174" s="45"/>
      <c r="BC174" s="22"/>
      <c r="BD174" s="158"/>
      <c r="BE174" s="558"/>
      <c r="BF174" s="45"/>
      <c r="BG174" s="45"/>
      <c r="BH174" s="45"/>
      <c r="BI174" s="45"/>
      <c r="BJ174" s="45"/>
      <c r="BK174" s="45"/>
      <c r="BL174" s="45"/>
      <c r="BM174" s="158"/>
      <c r="BN174" s="558"/>
      <c r="BO174" s="45"/>
      <c r="BP174" s="45"/>
      <c r="BQ174" s="532"/>
      <c r="BR174" s="532"/>
      <c r="BS174" s="532"/>
      <c r="BT174" s="532"/>
      <c r="BU174" s="532"/>
      <c r="BV174" s="559"/>
      <c r="BW174" s="45"/>
      <c r="BX174" s="45"/>
      <c r="BY174" s="45"/>
      <c r="BZ174" s="69"/>
      <c r="CA174" s="69"/>
      <c r="CB174" s="69"/>
      <c r="CC174" s="69"/>
      <c r="CD174" s="69"/>
      <c r="CE174" s="22"/>
      <c r="CF174" s="22"/>
      <c r="CG174" s="22"/>
    </row>
    <row r="175" spans="1:85" ht="15.75" customHeight="1" x14ac:dyDescent="0.45">
      <c r="A175" s="22"/>
      <c r="B175" s="12"/>
      <c r="C175" s="12"/>
      <c r="D175" s="155"/>
      <c r="E175" s="144"/>
      <c r="F175" s="144"/>
      <c r="G175" s="12"/>
      <c r="H175" s="22"/>
      <c r="I175" s="22"/>
      <c r="J175" s="22"/>
      <c r="K175" s="145"/>
      <c r="L175" s="144"/>
      <c r="M175" s="144"/>
      <c r="N175" s="144"/>
      <c r="O175" s="145"/>
      <c r="P175" s="145"/>
      <c r="Q175" s="145"/>
      <c r="R175" s="145"/>
      <c r="S175" s="144"/>
      <c r="T175" s="145"/>
      <c r="U175" s="145"/>
      <c r="V175" s="145"/>
      <c r="W175" s="145"/>
      <c r="X175" s="53"/>
      <c r="Y175" s="74"/>
      <c r="Z175" s="145"/>
      <c r="AA175" s="145"/>
      <c r="AB175" s="145"/>
      <c r="AC175" s="146"/>
      <c r="AD175" s="145"/>
      <c r="AE175" s="145"/>
      <c r="AF175" s="145"/>
      <c r="AG175" s="145"/>
      <c r="AH175" s="146"/>
      <c r="AI175" s="145"/>
      <c r="AJ175" s="145"/>
      <c r="AK175" s="145"/>
      <c r="AL175" s="145"/>
      <c r="AM175" s="145"/>
      <c r="AN175" s="145"/>
      <c r="AO175" s="145"/>
      <c r="AP175" s="74"/>
      <c r="AQ175" s="74"/>
      <c r="AR175" s="74"/>
      <c r="AS175" s="523"/>
      <c r="AT175" s="523"/>
      <c r="AU175" s="523"/>
      <c r="AV175" s="555"/>
      <c r="AW175" s="12"/>
      <c r="AX175" s="12"/>
      <c r="AY175" s="152"/>
      <c r="AZ175" s="22"/>
      <c r="BA175" s="74"/>
      <c r="BB175" s="45"/>
      <c r="BC175" s="22"/>
      <c r="BD175" s="158"/>
      <c r="BE175" s="558"/>
      <c r="BF175" s="45"/>
      <c r="BG175" s="45"/>
      <c r="BH175" s="45"/>
      <c r="BI175" s="45"/>
      <c r="BJ175" s="45"/>
      <c r="BK175" s="45"/>
      <c r="BL175" s="45"/>
      <c r="BM175" s="158"/>
      <c r="BN175" s="558"/>
      <c r="BO175" s="45"/>
      <c r="BP175" s="45"/>
      <c r="BQ175" s="532"/>
      <c r="BR175" s="532"/>
      <c r="BS175" s="532"/>
      <c r="BT175" s="532"/>
      <c r="BU175" s="532"/>
      <c r="BV175" s="559"/>
      <c r="BW175" s="45"/>
      <c r="BX175" s="45"/>
      <c r="BY175" s="45"/>
      <c r="BZ175" s="69"/>
      <c r="CA175" s="69"/>
      <c r="CB175" s="69"/>
      <c r="CC175" s="69"/>
      <c r="CD175" s="69"/>
      <c r="CE175" s="22"/>
      <c r="CF175" s="22"/>
      <c r="CG175" s="22"/>
    </row>
    <row r="176" spans="1:85" ht="15.75" customHeight="1" x14ac:dyDescent="0.45">
      <c r="A176" s="22"/>
      <c r="B176" s="12"/>
      <c r="C176" s="12"/>
      <c r="D176" s="155"/>
      <c r="E176" s="144"/>
      <c r="F176" s="144"/>
      <c r="G176" s="12"/>
      <c r="H176" s="22"/>
      <c r="I176" s="22"/>
      <c r="J176" s="22"/>
      <c r="K176" s="145"/>
      <c r="L176" s="144"/>
      <c r="M176" s="144"/>
      <c r="N176" s="144"/>
      <c r="O176" s="145"/>
      <c r="P176" s="145"/>
      <c r="Q176" s="145"/>
      <c r="R176" s="145"/>
      <c r="S176" s="144"/>
      <c r="T176" s="145"/>
      <c r="U176" s="145"/>
      <c r="V176" s="145"/>
      <c r="W176" s="145"/>
      <c r="X176" s="53"/>
      <c r="Y176" s="74"/>
      <c r="Z176" s="145"/>
      <c r="AA176" s="145"/>
      <c r="AB176" s="145"/>
      <c r="AC176" s="146"/>
      <c r="AD176" s="145"/>
      <c r="AE176" s="145"/>
      <c r="AF176" s="145"/>
      <c r="AG176" s="145"/>
      <c r="AH176" s="146"/>
      <c r="AI176" s="145"/>
      <c r="AJ176" s="145"/>
      <c r="AK176" s="145"/>
      <c r="AL176" s="145"/>
      <c r="AM176" s="145"/>
      <c r="AN176" s="145"/>
      <c r="AO176" s="145"/>
      <c r="AP176" s="74"/>
      <c r="AQ176" s="74"/>
      <c r="AR176" s="74"/>
      <c r="AS176" s="523"/>
      <c r="AT176" s="523"/>
      <c r="AU176" s="523"/>
      <c r="AV176" s="555"/>
      <c r="AW176" s="12"/>
      <c r="AX176" s="12"/>
      <c r="AY176" s="152"/>
      <c r="AZ176" s="22"/>
      <c r="BA176" s="74"/>
      <c r="BB176" s="45"/>
      <c r="BC176" s="22"/>
      <c r="BD176" s="158"/>
      <c r="BE176" s="558"/>
      <c r="BF176" s="45"/>
      <c r="BG176" s="45"/>
      <c r="BH176" s="45"/>
      <c r="BI176" s="45"/>
      <c r="BJ176" s="45"/>
      <c r="BK176" s="45"/>
      <c r="BL176" s="45"/>
      <c r="BM176" s="158"/>
      <c r="BN176" s="558"/>
      <c r="BO176" s="45"/>
      <c r="BP176" s="45"/>
      <c r="BQ176" s="149"/>
      <c r="BR176" s="149"/>
      <c r="BS176" s="149"/>
      <c r="BT176" s="149"/>
      <c r="BU176" s="149"/>
      <c r="BV176" s="559"/>
      <c r="BW176" s="45"/>
      <c r="BX176" s="45"/>
      <c r="BY176" s="45"/>
      <c r="BZ176" s="69"/>
      <c r="CA176" s="69"/>
      <c r="CB176" s="69"/>
      <c r="CC176" s="69"/>
      <c r="CD176" s="69"/>
      <c r="CE176" s="22"/>
      <c r="CF176" s="22"/>
      <c r="CG176" s="22"/>
    </row>
    <row r="177" spans="1:85" ht="15.75" customHeight="1" x14ac:dyDescent="0.45">
      <c r="A177" s="22"/>
      <c r="B177" s="12"/>
      <c r="C177" s="12"/>
      <c r="D177" s="155"/>
      <c r="E177" s="144"/>
      <c r="F177" s="144"/>
      <c r="G177" s="12"/>
      <c r="H177" s="22"/>
      <c r="I177" s="22"/>
      <c r="J177" s="22"/>
      <c r="K177" s="145"/>
      <c r="L177" s="144"/>
      <c r="M177" s="144"/>
      <c r="N177" s="144"/>
      <c r="O177" s="145"/>
      <c r="P177" s="145"/>
      <c r="Q177" s="145"/>
      <c r="R177" s="145"/>
      <c r="S177" s="144"/>
      <c r="T177" s="145"/>
      <c r="U177" s="145"/>
      <c r="V177" s="145"/>
      <c r="W177" s="145"/>
      <c r="X177" s="53"/>
      <c r="Y177" s="74"/>
      <c r="Z177" s="145"/>
      <c r="AA177" s="145"/>
      <c r="AB177" s="145"/>
      <c r="AC177" s="146"/>
      <c r="AD177" s="145"/>
      <c r="AE177" s="145"/>
      <c r="AF177" s="145"/>
      <c r="AG177" s="145"/>
      <c r="AH177" s="146"/>
      <c r="AI177" s="145"/>
      <c r="AJ177" s="145"/>
      <c r="AK177" s="145"/>
      <c r="AL177" s="145"/>
      <c r="AM177" s="145"/>
      <c r="AN177" s="145"/>
      <c r="AO177" s="145"/>
      <c r="AP177" s="74"/>
      <c r="AQ177" s="74"/>
      <c r="AR177" s="74"/>
      <c r="AS177" s="523"/>
      <c r="AT177" s="523"/>
      <c r="AU177" s="523"/>
      <c r="AV177" s="555"/>
      <c r="AW177" s="12"/>
      <c r="AX177" s="12"/>
      <c r="AY177" s="152"/>
      <c r="AZ177" s="22"/>
      <c r="BA177" s="74"/>
      <c r="BB177" s="45"/>
      <c r="BC177" s="22"/>
      <c r="BD177" s="158"/>
      <c r="BE177" s="558"/>
      <c r="BF177" s="45"/>
      <c r="BG177" s="45"/>
      <c r="BH177" s="45"/>
      <c r="BI177" s="45"/>
      <c r="BJ177" s="45"/>
      <c r="BK177" s="45"/>
      <c r="BL177" s="45"/>
      <c r="BM177" s="158"/>
      <c r="BN177" s="558"/>
      <c r="BO177" s="45"/>
      <c r="BP177" s="45"/>
      <c r="BQ177" s="149"/>
      <c r="BR177" s="149"/>
      <c r="BS177" s="149"/>
      <c r="BT177" s="149"/>
      <c r="BU177" s="149"/>
      <c r="BV177" s="559"/>
      <c r="BW177" s="45"/>
      <c r="BX177" s="45"/>
      <c r="BY177" s="45"/>
      <c r="BZ177" s="69"/>
      <c r="CA177" s="69"/>
      <c r="CB177" s="69"/>
      <c r="CC177" s="69"/>
      <c r="CD177" s="69"/>
      <c r="CE177" s="22"/>
      <c r="CF177" s="22"/>
      <c r="CG177" s="22"/>
    </row>
    <row r="178" spans="1:85" ht="15.75" customHeight="1" x14ac:dyDescent="0.45">
      <c r="A178" s="22"/>
      <c r="B178" s="12"/>
      <c r="C178" s="12"/>
      <c r="D178" s="155"/>
      <c r="E178" s="144"/>
      <c r="F178" s="144"/>
      <c r="G178" s="12"/>
      <c r="H178" s="22"/>
      <c r="I178" s="22"/>
      <c r="J178" s="22"/>
      <c r="K178" s="145"/>
      <c r="L178" s="144"/>
      <c r="M178" s="144"/>
      <c r="N178" s="144"/>
      <c r="O178" s="145"/>
      <c r="P178" s="145"/>
      <c r="Q178" s="145"/>
      <c r="R178" s="145"/>
      <c r="S178" s="144"/>
      <c r="T178" s="145"/>
      <c r="U178" s="145"/>
      <c r="V178" s="145"/>
      <c r="W178" s="145"/>
      <c r="X178" s="53"/>
      <c r="Y178" s="74"/>
      <c r="Z178" s="145"/>
      <c r="AA178" s="145"/>
      <c r="AB178" s="145"/>
      <c r="AC178" s="146"/>
      <c r="AD178" s="145"/>
      <c r="AE178" s="145"/>
      <c r="AF178" s="145"/>
      <c r="AG178" s="145"/>
      <c r="AH178" s="146"/>
      <c r="AI178" s="145"/>
      <c r="AJ178" s="145"/>
      <c r="AK178" s="145"/>
      <c r="AL178" s="145"/>
      <c r="AM178" s="145"/>
      <c r="AN178" s="145"/>
      <c r="AO178" s="145"/>
      <c r="AP178" s="74"/>
      <c r="AQ178" s="74"/>
      <c r="AR178" s="74"/>
      <c r="AS178" s="523"/>
      <c r="AT178" s="523"/>
      <c r="AU178" s="523"/>
      <c r="AV178" s="555"/>
      <c r="AW178" s="12"/>
      <c r="AX178" s="12"/>
      <c r="AY178" s="152"/>
      <c r="AZ178" s="22"/>
      <c r="BA178" s="74"/>
      <c r="BB178" s="45"/>
      <c r="BC178" s="22"/>
      <c r="BD178" s="158"/>
      <c r="BE178" s="558"/>
      <c r="BF178" s="45"/>
      <c r="BG178" s="45"/>
      <c r="BH178" s="45"/>
      <c r="BI178" s="45"/>
      <c r="BJ178" s="45"/>
      <c r="BK178" s="45"/>
      <c r="BL178" s="45"/>
      <c r="BM178" s="158"/>
      <c r="BN178" s="558"/>
      <c r="BO178" s="45"/>
      <c r="BP178" s="45"/>
      <c r="BQ178" s="532"/>
      <c r="BR178" s="532"/>
      <c r="BS178" s="532"/>
      <c r="BT178" s="532"/>
      <c r="BU178" s="532"/>
      <c r="BV178" s="559"/>
      <c r="BW178" s="45"/>
      <c r="BX178" s="45"/>
      <c r="BY178" s="45"/>
      <c r="BZ178" s="69"/>
      <c r="CA178" s="69"/>
      <c r="CB178" s="69"/>
      <c r="CC178" s="69"/>
      <c r="CD178" s="69"/>
      <c r="CE178" s="22"/>
      <c r="CF178" s="22"/>
      <c r="CG178" s="22"/>
    </row>
    <row r="179" spans="1:85" ht="15.75" customHeight="1" x14ac:dyDescent="0.45">
      <c r="A179" s="22"/>
      <c r="B179" s="12"/>
      <c r="C179" s="12"/>
      <c r="D179" s="155"/>
      <c r="E179" s="144"/>
      <c r="F179" s="144"/>
      <c r="G179" s="12"/>
      <c r="H179" s="22"/>
      <c r="I179" s="22"/>
      <c r="J179" s="22"/>
      <c r="K179" s="145"/>
      <c r="L179" s="144"/>
      <c r="M179" s="144"/>
      <c r="N179" s="144"/>
      <c r="O179" s="145"/>
      <c r="P179" s="145"/>
      <c r="Q179" s="145"/>
      <c r="R179" s="145"/>
      <c r="S179" s="144"/>
      <c r="T179" s="145"/>
      <c r="U179" s="145"/>
      <c r="V179" s="145"/>
      <c r="W179" s="145"/>
      <c r="X179" s="53"/>
      <c r="Y179" s="74"/>
      <c r="Z179" s="145"/>
      <c r="AA179" s="145"/>
      <c r="AB179" s="145"/>
      <c r="AC179" s="146"/>
      <c r="AD179" s="145"/>
      <c r="AE179" s="145"/>
      <c r="AF179" s="145"/>
      <c r="AG179" s="145"/>
      <c r="AH179" s="146"/>
      <c r="AI179" s="145"/>
      <c r="AJ179" s="145"/>
      <c r="AK179" s="145"/>
      <c r="AL179" s="145"/>
      <c r="AM179" s="145"/>
      <c r="AN179" s="145"/>
      <c r="AO179" s="145"/>
      <c r="AP179" s="74"/>
      <c r="AQ179" s="74"/>
      <c r="AR179" s="74"/>
      <c r="AS179" s="523"/>
      <c r="AT179" s="523"/>
      <c r="AU179" s="523"/>
      <c r="AV179" s="555"/>
      <c r="AW179" s="12"/>
      <c r="AX179" s="12"/>
      <c r="AY179" s="152"/>
      <c r="AZ179" s="22"/>
      <c r="BA179" s="74"/>
      <c r="BB179" s="45"/>
      <c r="BC179" s="22"/>
      <c r="BD179" s="158"/>
      <c r="BE179" s="558"/>
      <c r="BF179" s="45"/>
      <c r="BG179" s="45"/>
      <c r="BH179" s="45"/>
      <c r="BI179" s="45"/>
      <c r="BJ179" s="45"/>
      <c r="BK179" s="45"/>
      <c r="BL179" s="45"/>
      <c r="BM179" s="158"/>
      <c r="BN179" s="558"/>
      <c r="BO179" s="45"/>
      <c r="BP179" s="45"/>
      <c r="BQ179" s="532"/>
      <c r="BR179" s="532"/>
      <c r="BS179" s="532"/>
      <c r="BT179" s="532"/>
      <c r="BU179" s="532"/>
      <c r="BV179" s="559"/>
      <c r="BW179" s="45"/>
      <c r="BX179" s="45"/>
      <c r="BY179" s="45"/>
      <c r="BZ179" s="69"/>
      <c r="CA179" s="69"/>
      <c r="CB179" s="69"/>
      <c r="CC179" s="69"/>
      <c r="CD179" s="69"/>
      <c r="CE179" s="22"/>
      <c r="CF179" s="22"/>
      <c r="CG179" s="22"/>
    </row>
    <row r="180" spans="1:85" ht="15.75" customHeight="1" x14ac:dyDescent="0.45">
      <c r="A180" s="22"/>
      <c r="B180" s="12"/>
      <c r="C180" s="12"/>
      <c r="D180" s="155"/>
      <c r="E180" s="144"/>
      <c r="F180" s="144"/>
      <c r="G180" s="12"/>
      <c r="H180" s="22"/>
      <c r="I180" s="22"/>
      <c r="J180" s="22"/>
      <c r="K180" s="145"/>
      <c r="L180" s="144"/>
      <c r="M180" s="144"/>
      <c r="N180" s="144"/>
      <c r="O180" s="145"/>
      <c r="P180" s="145"/>
      <c r="Q180" s="145"/>
      <c r="R180" s="145"/>
      <c r="S180" s="144"/>
      <c r="T180" s="145"/>
      <c r="U180" s="145"/>
      <c r="V180" s="145"/>
      <c r="W180" s="145"/>
      <c r="X180" s="53"/>
      <c r="Y180" s="74"/>
      <c r="Z180" s="145"/>
      <c r="AA180" s="145"/>
      <c r="AB180" s="145"/>
      <c r="AC180" s="146"/>
      <c r="AD180" s="145"/>
      <c r="AE180" s="145"/>
      <c r="AF180" s="145"/>
      <c r="AG180" s="145"/>
      <c r="AH180" s="146"/>
      <c r="AI180" s="145"/>
      <c r="AJ180" s="145"/>
      <c r="AK180" s="145"/>
      <c r="AL180" s="145"/>
      <c r="AM180" s="145"/>
      <c r="AN180" s="145"/>
      <c r="AO180" s="145"/>
      <c r="AP180" s="74"/>
      <c r="AQ180" s="74"/>
      <c r="AR180" s="74"/>
      <c r="AS180" s="523"/>
      <c r="AT180" s="523"/>
      <c r="AU180" s="523"/>
      <c r="AV180" s="555"/>
      <c r="AW180" s="12"/>
      <c r="AX180" s="12"/>
      <c r="AY180" s="152"/>
      <c r="AZ180" s="22"/>
      <c r="BA180" s="74"/>
      <c r="BB180" s="45"/>
      <c r="BC180" s="22"/>
      <c r="BD180" s="158"/>
      <c r="BE180" s="558"/>
      <c r="BF180" s="45"/>
      <c r="BG180" s="45"/>
      <c r="BH180" s="45"/>
      <c r="BI180" s="45"/>
      <c r="BJ180" s="45"/>
      <c r="BK180" s="45"/>
      <c r="BL180" s="45"/>
      <c r="BM180" s="158"/>
      <c r="BN180" s="558"/>
      <c r="BO180" s="45"/>
      <c r="BP180" s="45"/>
      <c r="BQ180" s="532"/>
      <c r="BR180" s="532"/>
      <c r="BS180" s="532"/>
      <c r="BT180" s="532"/>
      <c r="BU180" s="532"/>
      <c r="BV180" s="559"/>
      <c r="BW180" s="45"/>
      <c r="BX180" s="45"/>
      <c r="BY180" s="45"/>
      <c r="BZ180" s="69"/>
      <c r="CA180" s="69"/>
      <c r="CB180" s="69"/>
      <c r="CC180" s="69"/>
      <c r="CD180" s="69"/>
      <c r="CE180" s="22"/>
      <c r="CF180" s="22"/>
      <c r="CG180" s="22"/>
    </row>
    <row r="181" spans="1:85" ht="15.75" customHeight="1" x14ac:dyDescent="0.45">
      <c r="A181" s="22"/>
      <c r="B181" s="12"/>
      <c r="C181" s="12"/>
      <c r="D181" s="155"/>
      <c r="E181" s="144"/>
      <c r="F181" s="144"/>
      <c r="G181" s="12"/>
      <c r="H181" s="22"/>
      <c r="I181" s="22"/>
      <c r="J181" s="22"/>
      <c r="K181" s="145"/>
      <c r="L181" s="144"/>
      <c r="M181" s="144"/>
      <c r="N181" s="144"/>
      <c r="O181" s="145"/>
      <c r="P181" s="145"/>
      <c r="Q181" s="145"/>
      <c r="R181" s="145"/>
      <c r="S181" s="144"/>
      <c r="T181" s="145"/>
      <c r="U181" s="145"/>
      <c r="V181" s="145"/>
      <c r="W181" s="145"/>
      <c r="X181" s="53"/>
      <c r="Y181" s="74"/>
      <c r="Z181" s="145"/>
      <c r="AA181" s="145"/>
      <c r="AB181" s="145"/>
      <c r="AC181" s="146"/>
      <c r="AD181" s="145"/>
      <c r="AE181" s="145"/>
      <c r="AF181" s="145"/>
      <c r="AG181" s="145"/>
      <c r="AH181" s="146"/>
      <c r="AI181" s="145"/>
      <c r="AJ181" s="145"/>
      <c r="AK181" s="145"/>
      <c r="AL181" s="145"/>
      <c r="AM181" s="145"/>
      <c r="AN181" s="145"/>
      <c r="AO181" s="145"/>
      <c r="AP181" s="74"/>
      <c r="AQ181" s="74"/>
      <c r="AR181" s="74"/>
      <c r="AS181" s="523"/>
      <c r="AT181" s="523"/>
      <c r="AU181" s="523"/>
      <c r="AV181" s="555"/>
      <c r="AW181" s="12"/>
      <c r="AX181" s="12"/>
      <c r="AY181" s="152"/>
      <c r="AZ181" s="22"/>
      <c r="BA181" s="74"/>
      <c r="BB181" s="45"/>
      <c r="BC181" s="22"/>
      <c r="BD181" s="158"/>
      <c r="BE181" s="558"/>
      <c r="BF181" s="45"/>
      <c r="BG181" s="45"/>
      <c r="BH181" s="45"/>
      <c r="BI181" s="45"/>
      <c r="BJ181" s="45"/>
      <c r="BK181" s="45"/>
      <c r="BL181" s="45"/>
      <c r="BM181" s="158"/>
      <c r="BN181" s="558"/>
      <c r="BO181" s="45"/>
      <c r="BP181" s="45"/>
      <c r="BQ181" s="149"/>
      <c r="BR181" s="149"/>
      <c r="BS181" s="149"/>
      <c r="BT181" s="149"/>
      <c r="BU181" s="149"/>
      <c r="BV181" s="559"/>
      <c r="BW181" s="45"/>
      <c r="BX181" s="45"/>
      <c r="BY181" s="45"/>
      <c r="BZ181" s="69"/>
      <c r="CA181" s="69"/>
      <c r="CB181" s="69"/>
      <c r="CC181" s="69"/>
      <c r="CD181" s="69"/>
      <c r="CE181" s="22"/>
      <c r="CF181" s="22"/>
      <c r="CG181" s="22"/>
    </row>
    <row r="182" spans="1:85" ht="15.75" customHeight="1" x14ac:dyDescent="0.45">
      <c r="A182" s="22"/>
      <c r="B182" s="12"/>
      <c r="C182" s="12"/>
      <c r="D182" s="155"/>
      <c r="E182" s="144"/>
      <c r="F182" s="144"/>
      <c r="G182" s="12"/>
      <c r="H182" s="22"/>
      <c r="I182" s="22"/>
      <c r="J182" s="22"/>
      <c r="K182" s="145"/>
      <c r="L182" s="144"/>
      <c r="M182" s="144"/>
      <c r="N182" s="144"/>
      <c r="O182" s="145"/>
      <c r="P182" s="145"/>
      <c r="Q182" s="145"/>
      <c r="R182" s="145"/>
      <c r="S182" s="144"/>
      <c r="T182" s="145"/>
      <c r="U182" s="145"/>
      <c r="V182" s="145"/>
      <c r="W182" s="145"/>
      <c r="X182" s="53"/>
      <c r="Y182" s="74"/>
      <c r="Z182" s="145"/>
      <c r="AA182" s="145"/>
      <c r="AB182" s="145"/>
      <c r="AC182" s="146"/>
      <c r="AD182" s="145"/>
      <c r="AE182" s="145"/>
      <c r="AF182" s="145"/>
      <c r="AG182" s="145"/>
      <c r="AH182" s="146"/>
      <c r="AI182" s="145"/>
      <c r="AJ182" s="145"/>
      <c r="AK182" s="145"/>
      <c r="AL182" s="145"/>
      <c r="AM182" s="145"/>
      <c r="AN182" s="145"/>
      <c r="AO182" s="145"/>
      <c r="AP182" s="74"/>
      <c r="AQ182" s="74"/>
      <c r="AR182" s="74"/>
      <c r="AS182" s="523"/>
      <c r="AT182" s="523"/>
      <c r="AU182" s="523"/>
      <c r="AV182" s="555"/>
      <c r="AW182" s="12"/>
      <c r="AX182" s="12"/>
      <c r="AY182" s="152"/>
      <c r="AZ182" s="22"/>
      <c r="BA182" s="74"/>
      <c r="BB182" s="45"/>
      <c r="BC182" s="22"/>
      <c r="BD182" s="158"/>
      <c r="BE182" s="558"/>
      <c r="BF182" s="45"/>
      <c r="BG182" s="45"/>
      <c r="BH182" s="45"/>
      <c r="BI182" s="45"/>
      <c r="BJ182" s="45"/>
      <c r="BK182" s="45"/>
      <c r="BL182" s="45"/>
      <c r="BM182" s="158"/>
      <c r="BN182" s="558"/>
      <c r="BO182" s="45"/>
      <c r="BP182" s="45"/>
      <c r="BQ182" s="149"/>
      <c r="BR182" s="149"/>
      <c r="BS182" s="149"/>
      <c r="BT182" s="149"/>
      <c r="BU182" s="149"/>
      <c r="BV182" s="559"/>
      <c r="BW182" s="45"/>
      <c r="BX182" s="45"/>
      <c r="BY182" s="45"/>
      <c r="BZ182" s="69"/>
      <c r="CA182" s="69"/>
      <c r="CB182" s="69"/>
      <c r="CC182" s="69"/>
      <c r="CD182" s="69"/>
      <c r="CE182" s="22"/>
      <c r="CF182" s="22"/>
      <c r="CG182" s="22"/>
    </row>
    <row r="183" spans="1:85" ht="15.75" customHeight="1" x14ac:dyDescent="0.45">
      <c r="A183" s="22"/>
      <c r="B183" s="12"/>
      <c r="C183" s="12"/>
      <c r="D183" s="155"/>
      <c r="E183" s="144"/>
      <c r="F183" s="144"/>
      <c r="G183" s="12"/>
      <c r="H183" s="22"/>
      <c r="I183" s="22"/>
      <c r="J183" s="22"/>
      <c r="K183" s="145"/>
      <c r="L183" s="144"/>
      <c r="M183" s="144"/>
      <c r="N183" s="144"/>
      <c r="O183" s="145"/>
      <c r="P183" s="145"/>
      <c r="Q183" s="145"/>
      <c r="R183" s="145"/>
      <c r="S183" s="144"/>
      <c r="T183" s="145"/>
      <c r="U183" s="145"/>
      <c r="V183" s="145"/>
      <c r="W183" s="145"/>
      <c r="X183" s="53"/>
      <c r="Y183" s="74"/>
      <c r="Z183" s="145"/>
      <c r="AA183" s="145"/>
      <c r="AB183" s="145"/>
      <c r="AC183" s="146"/>
      <c r="AD183" s="145"/>
      <c r="AE183" s="145"/>
      <c r="AF183" s="145"/>
      <c r="AG183" s="145"/>
      <c r="AH183" s="146"/>
      <c r="AI183" s="145"/>
      <c r="AJ183" s="145"/>
      <c r="AK183" s="145"/>
      <c r="AL183" s="145"/>
      <c r="AM183" s="145"/>
      <c r="AN183" s="145"/>
      <c r="AO183" s="145"/>
      <c r="AP183" s="74"/>
      <c r="AQ183" s="74"/>
      <c r="AR183" s="74"/>
      <c r="AS183" s="523"/>
      <c r="AT183" s="523"/>
      <c r="AU183" s="523"/>
      <c r="AV183" s="555"/>
      <c r="AW183" s="12"/>
      <c r="AX183" s="12"/>
      <c r="AY183" s="152"/>
      <c r="AZ183" s="22"/>
      <c r="BA183" s="74"/>
      <c r="BB183" s="45"/>
      <c r="BC183" s="22"/>
      <c r="BD183" s="158"/>
      <c r="BE183" s="558"/>
      <c r="BF183" s="45"/>
      <c r="BG183" s="45"/>
      <c r="BH183" s="45"/>
      <c r="BI183" s="45"/>
      <c r="BJ183" s="45"/>
      <c r="BK183" s="45"/>
      <c r="BL183" s="45"/>
      <c r="BM183" s="158"/>
      <c r="BN183" s="558"/>
      <c r="BO183" s="45"/>
      <c r="BP183" s="45"/>
      <c r="BQ183" s="149"/>
      <c r="BR183" s="149"/>
      <c r="BS183" s="149"/>
      <c r="BT183" s="149"/>
      <c r="BU183" s="149"/>
      <c r="BV183" s="559"/>
      <c r="BW183" s="45"/>
      <c r="BX183" s="45"/>
      <c r="BY183" s="45"/>
      <c r="BZ183" s="69"/>
      <c r="CA183" s="69"/>
      <c r="CB183" s="69"/>
      <c r="CC183" s="69"/>
      <c r="CD183" s="69"/>
      <c r="CE183" s="22"/>
      <c r="CF183" s="22"/>
      <c r="CG183" s="22"/>
    </row>
    <row r="184" spans="1:85" ht="15.75" customHeight="1" x14ac:dyDescent="0.45">
      <c r="A184" s="22"/>
      <c r="B184" s="12"/>
      <c r="C184" s="12"/>
      <c r="D184" s="155"/>
      <c r="E184" s="144"/>
      <c r="F184" s="144"/>
      <c r="G184" s="12"/>
      <c r="H184" s="22"/>
      <c r="I184" s="22"/>
      <c r="J184" s="22"/>
      <c r="K184" s="145"/>
      <c r="L184" s="144"/>
      <c r="M184" s="144"/>
      <c r="N184" s="144"/>
      <c r="O184" s="145"/>
      <c r="P184" s="145"/>
      <c r="Q184" s="145"/>
      <c r="R184" s="145"/>
      <c r="S184" s="144"/>
      <c r="T184" s="145"/>
      <c r="U184" s="145"/>
      <c r="V184" s="145"/>
      <c r="W184" s="145"/>
      <c r="X184" s="53"/>
      <c r="Y184" s="74"/>
      <c r="Z184" s="145"/>
      <c r="AA184" s="145"/>
      <c r="AB184" s="145"/>
      <c r="AC184" s="146"/>
      <c r="AD184" s="145"/>
      <c r="AE184" s="145"/>
      <c r="AF184" s="145"/>
      <c r="AG184" s="145"/>
      <c r="AH184" s="146"/>
      <c r="AI184" s="145"/>
      <c r="AJ184" s="145"/>
      <c r="AK184" s="145"/>
      <c r="AL184" s="145"/>
      <c r="AM184" s="145"/>
      <c r="AN184" s="145"/>
      <c r="AO184" s="145"/>
      <c r="AP184" s="74"/>
      <c r="AQ184" s="74"/>
      <c r="AR184" s="74"/>
      <c r="AS184" s="523"/>
      <c r="AT184" s="523"/>
      <c r="AU184" s="523"/>
      <c r="AV184" s="555"/>
      <c r="AW184" s="12"/>
      <c r="AX184" s="12"/>
      <c r="AY184" s="152"/>
      <c r="AZ184" s="22"/>
      <c r="BA184" s="74"/>
      <c r="BB184" s="45"/>
      <c r="BC184" s="22"/>
      <c r="BD184" s="158"/>
      <c r="BE184" s="558"/>
      <c r="BF184" s="45"/>
      <c r="BG184" s="45"/>
      <c r="BH184" s="45"/>
      <c r="BI184" s="45"/>
      <c r="BJ184" s="45"/>
      <c r="BK184" s="45"/>
      <c r="BL184" s="45"/>
      <c r="BM184" s="158"/>
      <c r="BN184" s="558"/>
      <c r="BO184" s="45"/>
      <c r="BP184" s="45"/>
      <c r="BQ184" s="149"/>
      <c r="BR184" s="149"/>
      <c r="BS184" s="149"/>
      <c r="BT184" s="149"/>
      <c r="BU184" s="149"/>
      <c r="BV184" s="559"/>
      <c r="BW184" s="45"/>
      <c r="BX184" s="45"/>
      <c r="BY184" s="45"/>
      <c r="BZ184" s="69"/>
      <c r="CA184" s="69"/>
      <c r="CB184" s="69"/>
      <c r="CC184" s="69"/>
      <c r="CD184" s="69"/>
      <c r="CE184" s="22"/>
      <c r="CF184" s="22"/>
      <c r="CG184" s="22"/>
    </row>
    <row r="185" spans="1:85" ht="15.75" customHeight="1" x14ac:dyDescent="0.45">
      <c r="A185" s="22"/>
      <c r="B185" s="12"/>
      <c r="C185" s="12"/>
      <c r="D185" s="155"/>
      <c r="E185" s="144"/>
      <c r="F185" s="144"/>
      <c r="G185" s="12"/>
      <c r="H185" s="22"/>
      <c r="I185" s="22"/>
      <c r="J185" s="22"/>
      <c r="K185" s="145"/>
      <c r="L185" s="144"/>
      <c r="M185" s="144"/>
      <c r="N185" s="144"/>
      <c r="O185" s="145"/>
      <c r="P185" s="145"/>
      <c r="Q185" s="145"/>
      <c r="R185" s="145"/>
      <c r="S185" s="144"/>
      <c r="T185" s="145"/>
      <c r="U185" s="145"/>
      <c r="V185" s="145"/>
      <c r="W185" s="145"/>
      <c r="X185" s="53"/>
      <c r="Y185" s="74"/>
      <c r="Z185" s="145"/>
      <c r="AA185" s="145"/>
      <c r="AB185" s="145"/>
      <c r="AC185" s="146"/>
      <c r="AD185" s="145"/>
      <c r="AE185" s="145"/>
      <c r="AF185" s="145"/>
      <c r="AG185" s="145"/>
      <c r="AH185" s="146"/>
      <c r="AI185" s="145"/>
      <c r="AJ185" s="145"/>
      <c r="AK185" s="145"/>
      <c r="AL185" s="145"/>
      <c r="AM185" s="145"/>
      <c r="AN185" s="145"/>
      <c r="AO185" s="145"/>
      <c r="AP185" s="74"/>
      <c r="AQ185" s="74"/>
      <c r="AR185" s="74"/>
      <c r="AS185" s="523"/>
      <c r="AT185" s="523"/>
      <c r="AU185" s="523"/>
      <c r="AV185" s="555"/>
      <c r="AW185" s="12"/>
      <c r="AX185" s="12"/>
      <c r="AY185" s="152"/>
      <c r="AZ185" s="22"/>
      <c r="BA185" s="74"/>
      <c r="BB185" s="45"/>
      <c r="BC185" s="22"/>
      <c r="BD185" s="158"/>
      <c r="BE185" s="558"/>
      <c r="BF185" s="45"/>
      <c r="BG185" s="45"/>
      <c r="BH185" s="45"/>
      <c r="BI185" s="45"/>
      <c r="BJ185" s="45"/>
      <c r="BK185" s="45"/>
      <c r="BL185" s="45"/>
      <c r="BM185" s="158"/>
      <c r="BN185" s="558"/>
      <c r="BO185" s="45"/>
      <c r="BP185" s="45"/>
      <c r="BQ185" s="149"/>
      <c r="BR185" s="149"/>
      <c r="BS185" s="149"/>
      <c r="BT185" s="149"/>
      <c r="BU185" s="149"/>
      <c r="BV185" s="559"/>
      <c r="BW185" s="45"/>
      <c r="BX185" s="45"/>
      <c r="BY185" s="45"/>
      <c r="BZ185" s="69"/>
      <c r="CA185" s="69"/>
      <c r="CB185" s="69"/>
      <c r="CC185" s="69"/>
      <c r="CD185" s="69"/>
      <c r="CE185" s="22"/>
      <c r="CF185" s="22"/>
      <c r="CG185" s="22"/>
    </row>
    <row r="186" spans="1:85" ht="15.75" customHeight="1" x14ac:dyDescent="0.45">
      <c r="A186" s="22"/>
      <c r="B186" s="12"/>
      <c r="C186" s="12"/>
      <c r="D186" s="155"/>
      <c r="E186" s="144"/>
      <c r="F186" s="144"/>
      <c r="G186" s="12"/>
      <c r="H186" s="22"/>
      <c r="I186" s="22"/>
      <c r="J186" s="22"/>
      <c r="K186" s="145"/>
      <c r="L186" s="144"/>
      <c r="M186" s="144"/>
      <c r="N186" s="144"/>
      <c r="O186" s="145"/>
      <c r="P186" s="145"/>
      <c r="Q186" s="145"/>
      <c r="R186" s="145"/>
      <c r="S186" s="144"/>
      <c r="T186" s="145"/>
      <c r="U186" s="145"/>
      <c r="V186" s="145"/>
      <c r="W186" s="145"/>
      <c r="X186" s="53"/>
      <c r="Y186" s="74"/>
      <c r="Z186" s="145"/>
      <c r="AA186" s="145"/>
      <c r="AB186" s="145"/>
      <c r="AC186" s="146"/>
      <c r="AD186" s="145"/>
      <c r="AE186" s="145"/>
      <c r="AF186" s="145"/>
      <c r="AG186" s="145"/>
      <c r="AH186" s="146"/>
      <c r="AI186" s="145"/>
      <c r="AJ186" s="145"/>
      <c r="AK186" s="145"/>
      <c r="AL186" s="145"/>
      <c r="AM186" s="145"/>
      <c r="AN186" s="145"/>
      <c r="AO186" s="145"/>
      <c r="AP186" s="74"/>
      <c r="AQ186" s="74"/>
      <c r="AR186" s="74"/>
      <c r="AS186" s="523"/>
      <c r="AT186" s="523"/>
      <c r="AU186" s="523"/>
      <c r="AV186" s="555"/>
      <c r="AW186" s="12"/>
      <c r="AX186" s="12"/>
      <c r="AY186" s="152"/>
      <c r="AZ186" s="22"/>
      <c r="BA186" s="74"/>
      <c r="BB186" s="45"/>
      <c r="BC186" s="22"/>
      <c r="BD186" s="158"/>
      <c r="BE186" s="558"/>
      <c r="BF186" s="45"/>
      <c r="BG186" s="45"/>
      <c r="BH186" s="45"/>
      <c r="BI186" s="45"/>
      <c r="BJ186" s="45"/>
      <c r="BK186" s="45"/>
      <c r="BL186" s="45"/>
      <c r="BM186" s="158"/>
      <c r="BN186" s="558"/>
      <c r="BO186" s="45"/>
      <c r="BP186" s="45"/>
      <c r="BQ186" s="149"/>
      <c r="BR186" s="149"/>
      <c r="BS186" s="149"/>
      <c r="BT186" s="149"/>
      <c r="BU186" s="149"/>
      <c r="BV186" s="559"/>
      <c r="BW186" s="45"/>
      <c r="BX186" s="45"/>
      <c r="BY186" s="45"/>
      <c r="BZ186" s="69"/>
      <c r="CA186" s="69"/>
      <c r="CB186" s="69"/>
      <c r="CC186" s="69"/>
      <c r="CD186" s="69"/>
      <c r="CE186" s="22"/>
      <c r="CF186" s="22"/>
      <c r="CG186" s="22"/>
    </row>
    <row r="187" spans="1:85" ht="15.75" customHeight="1" x14ac:dyDescent="0.45">
      <c r="A187" s="22"/>
      <c r="B187" s="12"/>
      <c r="C187" s="12"/>
      <c r="D187" s="155"/>
      <c r="E187" s="144"/>
      <c r="F187" s="144"/>
      <c r="G187" s="12"/>
      <c r="H187" s="22"/>
      <c r="I187" s="22"/>
      <c r="J187" s="22"/>
      <c r="K187" s="145"/>
      <c r="L187" s="144"/>
      <c r="M187" s="144"/>
      <c r="N187" s="144"/>
      <c r="O187" s="145"/>
      <c r="P187" s="145"/>
      <c r="Q187" s="145"/>
      <c r="R187" s="145"/>
      <c r="S187" s="144"/>
      <c r="T187" s="145"/>
      <c r="U187" s="145"/>
      <c r="V187" s="145"/>
      <c r="W187" s="145"/>
      <c r="X187" s="53"/>
      <c r="Y187" s="74"/>
      <c r="Z187" s="145"/>
      <c r="AA187" s="145"/>
      <c r="AB187" s="145"/>
      <c r="AC187" s="146"/>
      <c r="AD187" s="145"/>
      <c r="AE187" s="145"/>
      <c r="AF187" s="145"/>
      <c r="AG187" s="145"/>
      <c r="AH187" s="146"/>
      <c r="AI187" s="145"/>
      <c r="AJ187" s="145"/>
      <c r="AK187" s="145"/>
      <c r="AL187" s="145"/>
      <c r="AM187" s="145"/>
      <c r="AN187" s="145"/>
      <c r="AO187" s="145"/>
      <c r="AP187" s="74"/>
      <c r="AQ187" s="74"/>
      <c r="AR187" s="74"/>
      <c r="AS187" s="523"/>
      <c r="AT187" s="523"/>
      <c r="AU187" s="523"/>
      <c r="AV187" s="555"/>
      <c r="AW187" s="12"/>
      <c r="AX187" s="12"/>
      <c r="AY187" s="152"/>
      <c r="AZ187" s="22"/>
      <c r="BA187" s="74"/>
      <c r="BB187" s="45"/>
      <c r="BC187" s="22"/>
      <c r="BD187" s="158"/>
      <c r="BE187" s="558"/>
      <c r="BF187" s="45"/>
      <c r="BG187" s="45"/>
      <c r="BH187" s="45"/>
      <c r="BI187" s="45"/>
      <c r="BJ187" s="45"/>
      <c r="BK187" s="45"/>
      <c r="BL187" s="45"/>
      <c r="BM187" s="158"/>
      <c r="BN187" s="558"/>
      <c r="BO187" s="45"/>
      <c r="BP187" s="45"/>
      <c r="BQ187" s="149"/>
      <c r="BR187" s="149"/>
      <c r="BS187" s="149"/>
      <c r="BT187" s="149"/>
      <c r="BU187" s="149"/>
      <c r="BV187" s="559"/>
      <c r="BW187" s="45"/>
      <c r="BX187" s="45"/>
      <c r="BY187" s="45"/>
      <c r="BZ187" s="69"/>
      <c r="CA187" s="69"/>
      <c r="CB187" s="69"/>
      <c r="CC187" s="69"/>
      <c r="CD187" s="69"/>
      <c r="CE187" s="22"/>
      <c r="CF187" s="22"/>
      <c r="CG187" s="22"/>
    </row>
    <row r="188" spans="1:85" ht="15.75" customHeight="1" x14ac:dyDescent="0.45">
      <c r="A188" s="22"/>
      <c r="B188" s="12"/>
      <c r="C188" s="12"/>
      <c r="D188" s="155"/>
      <c r="E188" s="144"/>
      <c r="F188" s="144"/>
      <c r="G188" s="12"/>
      <c r="H188" s="22"/>
      <c r="I188" s="22"/>
      <c r="J188" s="22"/>
      <c r="K188" s="145"/>
      <c r="L188" s="144"/>
      <c r="M188" s="144"/>
      <c r="N188" s="144"/>
      <c r="O188" s="145"/>
      <c r="P188" s="145"/>
      <c r="Q188" s="145"/>
      <c r="R188" s="145"/>
      <c r="S188" s="144"/>
      <c r="T188" s="145"/>
      <c r="U188" s="145"/>
      <c r="V188" s="145"/>
      <c r="W188" s="145"/>
      <c r="X188" s="53"/>
      <c r="Y188" s="74"/>
      <c r="Z188" s="145"/>
      <c r="AA188" s="145"/>
      <c r="AB188" s="145"/>
      <c r="AC188" s="146"/>
      <c r="AD188" s="145"/>
      <c r="AE188" s="145"/>
      <c r="AF188" s="145"/>
      <c r="AG188" s="145"/>
      <c r="AH188" s="146"/>
      <c r="AI188" s="145"/>
      <c r="AJ188" s="145"/>
      <c r="AK188" s="145"/>
      <c r="AL188" s="145"/>
      <c r="AM188" s="145"/>
      <c r="AN188" s="145"/>
      <c r="AO188" s="145"/>
      <c r="AP188" s="74"/>
      <c r="AQ188" s="74"/>
      <c r="AR188" s="74"/>
      <c r="AS188" s="523"/>
      <c r="AT188" s="523"/>
      <c r="AU188" s="523"/>
      <c r="AV188" s="555"/>
      <c r="AW188" s="12"/>
      <c r="AX188" s="12"/>
      <c r="AY188" s="152"/>
      <c r="AZ188" s="22"/>
      <c r="BA188" s="74"/>
      <c r="BB188" s="45"/>
      <c r="BC188" s="22"/>
      <c r="BD188" s="158"/>
      <c r="BE188" s="558"/>
      <c r="BF188" s="45"/>
      <c r="BG188" s="45"/>
      <c r="BH188" s="45"/>
      <c r="BI188" s="45"/>
      <c r="BJ188" s="45"/>
      <c r="BK188" s="45"/>
      <c r="BL188" s="45"/>
      <c r="BM188" s="158"/>
      <c r="BN188" s="558"/>
      <c r="BO188" s="45"/>
      <c r="BP188" s="45"/>
      <c r="BQ188" s="532"/>
      <c r="BR188" s="532"/>
      <c r="BS188" s="532"/>
      <c r="BT188" s="532"/>
      <c r="BU188" s="532"/>
      <c r="BV188" s="559"/>
      <c r="BW188" s="45"/>
      <c r="BX188" s="45"/>
      <c r="BY188" s="45"/>
      <c r="BZ188" s="69"/>
      <c r="CA188" s="69"/>
      <c r="CB188" s="69"/>
      <c r="CC188" s="69"/>
      <c r="CD188" s="69"/>
      <c r="CE188" s="22"/>
      <c r="CF188" s="22"/>
      <c r="CG188" s="22"/>
    </row>
    <row r="189" spans="1:85" ht="15.75" customHeight="1" x14ac:dyDescent="0.45">
      <c r="A189" s="22"/>
      <c r="B189" s="12"/>
      <c r="C189" s="12"/>
      <c r="D189" s="155"/>
      <c r="E189" s="144"/>
      <c r="F189" s="144"/>
      <c r="G189" s="12"/>
      <c r="H189" s="22"/>
      <c r="I189" s="22"/>
      <c r="J189" s="22"/>
      <c r="K189" s="145"/>
      <c r="L189" s="144"/>
      <c r="M189" s="144"/>
      <c r="N189" s="144"/>
      <c r="O189" s="145"/>
      <c r="P189" s="145"/>
      <c r="Q189" s="145"/>
      <c r="R189" s="145"/>
      <c r="S189" s="144"/>
      <c r="T189" s="145"/>
      <c r="U189" s="145"/>
      <c r="V189" s="145"/>
      <c r="W189" s="145"/>
      <c r="X189" s="53"/>
      <c r="Y189" s="74"/>
      <c r="Z189" s="145"/>
      <c r="AA189" s="145"/>
      <c r="AB189" s="145"/>
      <c r="AC189" s="146"/>
      <c r="AD189" s="145"/>
      <c r="AE189" s="145"/>
      <c r="AF189" s="145"/>
      <c r="AG189" s="145"/>
      <c r="AH189" s="146"/>
      <c r="AI189" s="145"/>
      <c r="AJ189" s="145"/>
      <c r="AK189" s="145"/>
      <c r="AL189" s="145"/>
      <c r="AM189" s="145"/>
      <c r="AN189" s="145"/>
      <c r="AO189" s="145"/>
      <c r="AP189" s="74"/>
      <c r="AQ189" s="74"/>
      <c r="AR189" s="74"/>
      <c r="AS189" s="523"/>
      <c r="AT189" s="523"/>
      <c r="AU189" s="523"/>
      <c r="AV189" s="555"/>
      <c r="AW189" s="12"/>
      <c r="AX189" s="12"/>
      <c r="AY189" s="152"/>
      <c r="AZ189" s="22"/>
      <c r="BA189" s="74"/>
      <c r="BB189" s="45"/>
      <c r="BC189" s="22"/>
      <c r="BD189" s="158"/>
      <c r="BE189" s="558"/>
      <c r="BF189" s="45"/>
      <c r="BG189" s="45"/>
      <c r="BH189" s="45"/>
      <c r="BI189" s="45"/>
      <c r="BJ189" s="45"/>
      <c r="BK189" s="45"/>
      <c r="BL189" s="45"/>
      <c r="BM189" s="158"/>
      <c r="BN189" s="558"/>
      <c r="BO189" s="45"/>
      <c r="BP189" s="45"/>
      <c r="BQ189" s="532"/>
      <c r="BR189" s="532"/>
      <c r="BS189" s="532"/>
      <c r="BT189" s="532"/>
      <c r="BU189" s="532"/>
      <c r="BV189" s="559"/>
      <c r="BW189" s="45"/>
      <c r="BX189" s="45"/>
      <c r="BY189" s="45"/>
      <c r="BZ189" s="69"/>
      <c r="CA189" s="69"/>
      <c r="CB189" s="69"/>
      <c r="CC189" s="69"/>
      <c r="CD189" s="69"/>
      <c r="CE189" s="22"/>
      <c r="CF189" s="22"/>
      <c r="CG189" s="22"/>
    </row>
    <row r="190" spans="1:85" ht="15.75" customHeight="1" x14ac:dyDescent="0.45">
      <c r="A190" s="22"/>
      <c r="B190" s="12"/>
      <c r="C190" s="12"/>
      <c r="D190" s="155"/>
      <c r="E190" s="144"/>
      <c r="F190" s="144"/>
      <c r="G190" s="12"/>
      <c r="H190" s="22"/>
      <c r="I190" s="22"/>
      <c r="J190" s="22"/>
      <c r="K190" s="145"/>
      <c r="L190" s="144"/>
      <c r="M190" s="144"/>
      <c r="N190" s="144"/>
      <c r="O190" s="145"/>
      <c r="P190" s="145"/>
      <c r="Q190" s="145"/>
      <c r="R190" s="145"/>
      <c r="S190" s="144"/>
      <c r="T190" s="145"/>
      <c r="U190" s="145"/>
      <c r="V190" s="145"/>
      <c r="W190" s="145"/>
      <c r="X190" s="53"/>
      <c r="Y190" s="74"/>
      <c r="Z190" s="145"/>
      <c r="AA190" s="145"/>
      <c r="AB190" s="145"/>
      <c r="AC190" s="146"/>
      <c r="AD190" s="145"/>
      <c r="AE190" s="145"/>
      <c r="AF190" s="145"/>
      <c r="AG190" s="145"/>
      <c r="AH190" s="146"/>
      <c r="AI190" s="145"/>
      <c r="AJ190" s="145"/>
      <c r="AK190" s="145"/>
      <c r="AL190" s="145"/>
      <c r="AM190" s="145"/>
      <c r="AN190" s="145"/>
      <c r="AO190" s="145"/>
      <c r="AP190" s="74"/>
      <c r="AQ190" s="74"/>
      <c r="AR190" s="74"/>
      <c r="AS190" s="523"/>
      <c r="AT190" s="523"/>
      <c r="AU190" s="523"/>
      <c r="AV190" s="555"/>
      <c r="AW190" s="12"/>
      <c r="AX190" s="12"/>
      <c r="AY190" s="152"/>
      <c r="AZ190" s="22"/>
      <c r="BA190" s="74"/>
      <c r="BB190" s="45"/>
      <c r="BC190" s="22"/>
      <c r="BD190" s="158"/>
      <c r="BE190" s="558"/>
      <c r="BF190" s="45"/>
      <c r="BG190" s="45"/>
      <c r="BH190" s="45"/>
      <c r="BI190" s="45"/>
      <c r="BJ190" s="45"/>
      <c r="BK190" s="45"/>
      <c r="BL190" s="45"/>
      <c r="BM190" s="158"/>
      <c r="BN190" s="558"/>
      <c r="BO190" s="45"/>
      <c r="BP190" s="45"/>
      <c r="BQ190" s="532"/>
      <c r="BR190" s="532"/>
      <c r="BS190" s="149"/>
      <c r="BT190" s="149"/>
      <c r="BU190" s="149"/>
      <c r="BV190" s="559"/>
      <c r="BW190" s="45"/>
      <c r="BX190" s="45"/>
      <c r="BY190" s="45"/>
      <c r="BZ190" s="69"/>
      <c r="CA190" s="69"/>
      <c r="CB190" s="69"/>
      <c r="CC190" s="69"/>
      <c r="CD190" s="69"/>
      <c r="CE190" s="22"/>
      <c r="CF190" s="22"/>
      <c r="CG190" s="22"/>
    </row>
    <row r="191" spans="1:85" ht="15.75" customHeight="1" x14ac:dyDescent="0.45">
      <c r="A191" s="22"/>
      <c r="B191" s="12"/>
      <c r="C191" s="12"/>
      <c r="D191" s="155"/>
      <c r="E191" s="144"/>
      <c r="F191" s="144"/>
      <c r="G191" s="12"/>
      <c r="H191" s="22"/>
      <c r="I191" s="22"/>
      <c r="J191" s="22"/>
      <c r="K191" s="145"/>
      <c r="L191" s="144"/>
      <c r="M191" s="144"/>
      <c r="N191" s="144"/>
      <c r="O191" s="145"/>
      <c r="P191" s="145"/>
      <c r="Q191" s="145"/>
      <c r="R191" s="145"/>
      <c r="S191" s="144"/>
      <c r="T191" s="145"/>
      <c r="U191" s="145"/>
      <c r="V191" s="145"/>
      <c r="W191" s="145"/>
      <c r="X191" s="53"/>
      <c r="Y191" s="74"/>
      <c r="Z191" s="145"/>
      <c r="AA191" s="145"/>
      <c r="AB191" s="145"/>
      <c r="AC191" s="146"/>
      <c r="AD191" s="145"/>
      <c r="AE191" s="145"/>
      <c r="AF191" s="145"/>
      <c r="AG191" s="145"/>
      <c r="AH191" s="146"/>
      <c r="AI191" s="145"/>
      <c r="AJ191" s="145"/>
      <c r="AK191" s="145"/>
      <c r="AL191" s="145"/>
      <c r="AM191" s="145"/>
      <c r="AN191" s="145"/>
      <c r="AO191" s="145"/>
      <c r="AP191" s="74"/>
      <c r="AQ191" s="74"/>
      <c r="AR191" s="74"/>
      <c r="AS191" s="523"/>
      <c r="AT191" s="523"/>
      <c r="AU191" s="523"/>
      <c r="AV191" s="555"/>
      <c r="AW191" s="12"/>
      <c r="AX191" s="12"/>
      <c r="AY191" s="152"/>
      <c r="AZ191" s="22"/>
      <c r="BA191" s="74"/>
      <c r="BB191" s="45"/>
      <c r="BC191" s="22"/>
      <c r="BD191" s="158"/>
      <c r="BE191" s="558"/>
      <c r="BF191" s="45"/>
      <c r="BG191" s="45"/>
      <c r="BH191" s="45"/>
      <c r="BI191" s="45"/>
      <c r="BJ191" s="45"/>
      <c r="BK191" s="45"/>
      <c r="BL191" s="45"/>
      <c r="BM191" s="158"/>
      <c r="BN191" s="558"/>
      <c r="BO191" s="45"/>
      <c r="BP191" s="45"/>
      <c r="BQ191" s="149"/>
      <c r="BR191" s="149"/>
      <c r="BS191" s="149"/>
      <c r="BT191" s="149"/>
      <c r="BU191" s="149"/>
      <c r="BV191" s="559"/>
      <c r="BW191" s="45"/>
      <c r="BX191" s="45"/>
      <c r="BY191" s="45"/>
      <c r="BZ191" s="69"/>
      <c r="CA191" s="69"/>
      <c r="CB191" s="69"/>
      <c r="CC191" s="69"/>
      <c r="CD191" s="69"/>
      <c r="CE191" s="22"/>
      <c r="CF191" s="22"/>
      <c r="CG191" s="22"/>
    </row>
    <row r="192" spans="1:85" ht="15.75" customHeight="1" x14ac:dyDescent="0.45">
      <c r="A192" s="22"/>
      <c r="B192" s="12"/>
      <c r="C192" s="12"/>
      <c r="D192" s="155"/>
      <c r="E192" s="144"/>
      <c r="F192" s="144"/>
      <c r="G192" s="12"/>
      <c r="H192" s="22"/>
      <c r="I192" s="22"/>
      <c r="J192" s="22"/>
      <c r="K192" s="145"/>
      <c r="L192" s="144"/>
      <c r="M192" s="144"/>
      <c r="N192" s="144"/>
      <c r="O192" s="145"/>
      <c r="P192" s="145"/>
      <c r="Q192" s="145"/>
      <c r="R192" s="145"/>
      <c r="S192" s="144"/>
      <c r="T192" s="145"/>
      <c r="U192" s="145"/>
      <c r="V192" s="145"/>
      <c r="W192" s="145"/>
      <c r="X192" s="53"/>
      <c r="Y192" s="74"/>
      <c r="Z192" s="145"/>
      <c r="AA192" s="145"/>
      <c r="AB192" s="145"/>
      <c r="AC192" s="146"/>
      <c r="AD192" s="145"/>
      <c r="AE192" s="145"/>
      <c r="AF192" s="145"/>
      <c r="AG192" s="145"/>
      <c r="AH192" s="146"/>
      <c r="AI192" s="145"/>
      <c r="AJ192" s="145"/>
      <c r="AK192" s="145"/>
      <c r="AL192" s="145"/>
      <c r="AM192" s="145"/>
      <c r="AN192" s="145"/>
      <c r="AO192" s="145"/>
      <c r="AP192" s="74"/>
      <c r="AQ192" s="74"/>
      <c r="AR192" s="74"/>
      <c r="AS192" s="523"/>
      <c r="AT192" s="523"/>
      <c r="AU192" s="523"/>
      <c r="AV192" s="555"/>
      <c r="AW192" s="12"/>
      <c r="AX192" s="12"/>
      <c r="AY192" s="152"/>
      <c r="AZ192" s="22"/>
      <c r="BA192" s="74"/>
      <c r="BB192" s="45"/>
      <c r="BC192" s="22"/>
      <c r="BD192" s="158"/>
      <c r="BE192" s="558"/>
      <c r="BF192" s="45"/>
      <c r="BG192" s="45"/>
      <c r="BH192" s="45"/>
      <c r="BI192" s="45"/>
      <c r="BJ192" s="45"/>
      <c r="BK192" s="45"/>
      <c r="BL192" s="45"/>
      <c r="BM192" s="158"/>
      <c r="BN192" s="558"/>
      <c r="BO192" s="45"/>
      <c r="BP192" s="45"/>
      <c r="BQ192" s="149"/>
      <c r="BR192" s="149"/>
      <c r="BS192" s="149"/>
      <c r="BT192" s="149"/>
      <c r="BU192" s="149"/>
      <c r="BV192" s="559"/>
      <c r="BW192" s="45"/>
      <c r="BX192" s="45"/>
      <c r="BY192" s="45"/>
      <c r="BZ192" s="69"/>
      <c r="CA192" s="69"/>
      <c r="CB192" s="69"/>
      <c r="CC192" s="69"/>
      <c r="CD192" s="69"/>
      <c r="CE192" s="22"/>
      <c r="CF192" s="22"/>
      <c r="CG192" s="22"/>
    </row>
    <row r="193" spans="1:85" ht="15.75" customHeight="1" x14ac:dyDescent="0.45">
      <c r="A193" s="22"/>
      <c r="B193" s="12"/>
      <c r="C193" s="12"/>
      <c r="D193" s="155"/>
      <c r="E193" s="144"/>
      <c r="F193" s="144"/>
      <c r="G193" s="12"/>
      <c r="H193" s="22"/>
      <c r="I193" s="22"/>
      <c r="J193" s="22"/>
      <c r="K193" s="145"/>
      <c r="L193" s="144"/>
      <c r="M193" s="144"/>
      <c r="N193" s="144"/>
      <c r="O193" s="145"/>
      <c r="P193" s="145"/>
      <c r="Q193" s="145"/>
      <c r="R193" s="145"/>
      <c r="S193" s="144"/>
      <c r="T193" s="145"/>
      <c r="U193" s="145"/>
      <c r="V193" s="145"/>
      <c r="W193" s="145"/>
      <c r="X193" s="53"/>
      <c r="Y193" s="74"/>
      <c r="Z193" s="145"/>
      <c r="AA193" s="145"/>
      <c r="AB193" s="145"/>
      <c r="AC193" s="146"/>
      <c r="AD193" s="145"/>
      <c r="AE193" s="145"/>
      <c r="AF193" s="145"/>
      <c r="AG193" s="145"/>
      <c r="AH193" s="146"/>
      <c r="AI193" s="145"/>
      <c r="AJ193" s="145"/>
      <c r="AK193" s="145"/>
      <c r="AL193" s="145"/>
      <c r="AM193" s="145"/>
      <c r="AN193" s="145"/>
      <c r="AO193" s="145"/>
      <c r="AP193" s="74"/>
      <c r="AQ193" s="74"/>
      <c r="AR193" s="74"/>
      <c r="AS193" s="523"/>
      <c r="AT193" s="523"/>
      <c r="AU193" s="523"/>
      <c r="AV193" s="555"/>
      <c r="AW193" s="12"/>
      <c r="AX193" s="12"/>
      <c r="AY193" s="152"/>
      <c r="AZ193" s="22"/>
      <c r="BA193" s="74"/>
      <c r="BB193" s="45"/>
      <c r="BC193" s="22"/>
      <c r="BD193" s="158"/>
      <c r="BE193" s="558"/>
      <c r="BF193" s="45"/>
      <c r="BG193" s="45"/>
      <c r="BH193" s="45"/>
      <c r="BI193" s="45"/>
      <c r="BJ193" s="45"/>
      <c r="BK193" s="45"/>
      <c r="BL193" s="45"/>
      <c r="BM193" s="158"/>
      <c r="BN193" s="558"/>
      <c r="BO193" s="45"/>
      <c r="BP193" s="45"/>
      <c r="BQ193" s="149"/>
      <c r="BR193" s="149"/>
      <c r="BS193" s="149"/>
      <c r="BT193" s="149"/>
      <c r="BU193" s="149"/>
      <c r="BV193" s="559"/>
      <c r="BW193" s="45"/>
      <c r="BX193" s="45"/>
      <c r="BY193" s="45"/>
      <c r="BZ193" s="69"/>
      <c r="CA193" s="69"/>
      <c r="CB193" s="69"/>
      <c r="CC193" s="69"/>
      <c r="CD193" s="69"/>
      <c r="CE193" s="22"/>
      <c r="CF193" s="22"/>
      <c r="CG193" s="22"/>
    </row>
    <row r="194" spans="1:85" ht="15.75" customHeight="1" x14ac:dyDescent="0.45">
      <c r="A194" s="22"/>
      <c r="B194" s="12"/>
      <c r="C194" s="12"/>
      <c r="D194" s="155"/>
      <c r="E194" s="144"/>
      <c r="F194" s="144"/>
      <c r="G194" s="12"/>
      <c r="H194" s="22"/>
      <c r="I194" s="22"/>
      <c r="J194" s="22"/>
      <c r="K194" s="145"/>
      <c r="L194" s="144"/>
      <c r="M194" s="144"/>
      <c r="N194" s="144"/>
      <c r="O194" s="145"/>
      <c r="P194" s="145"/>
      <c r="Q194" s="145"/>
      <c r="R194" s="145"/>
      <c r="S194" s="144"/>
      <c r="T194" s="145"/>
      <c r="U194" s="145"/>
      <c r="V194" s="145"/>
      <c r="W194" s="145"/>
      <c r="X194" s="53"/>
      <c r="Y194" s="74"/>
      <c r="Z194" s="145"/>
      <c r="AA194" s="145"/>
      <c r="AB194" s="145"/>
      <c r="AC194" s="146"/>
      <c r="AD194" s="145"/>
      <c r="AE194" s="145"/>
      <c r="AF194" s="145"/>
      <c r="AG194" s="145"/>
      <c r="AH194" s="146"/>
      <c r="AI194" s="145"/>
      <c r="AJ194" s="145"/>
      <c r="AK194" s="145"/>
      <c r="AL194" s="145"/>
      <c r="AM194" s="145"/>
      <c r="AN194" s="145"/>
      <c r="AO194" s="145"/>
      <c r="AP194" s="74"/>
      <c r="AQ194" s="74"/>
      <c r="AR194" s="74"/>
      <c r="AS194" s="523"/>
      <c r="AT194" s="523"/>
      <c r="AU194" s="523"/>
      <c r="AV194" s="555"/>
      <c r="AW194" s="12"/>
      <c r="AX194" s="12"/>
      <c r="AY194" s="152"/>
      <c r="AZ194" s="22"/>
      <c r="BA194" s="74"/>
      <c r="BB194" s="45"/>
      <c r="BC194" s="22"/>
      <c r="BD194" s="158"/>
      <c r="BE194" s="558"/>
      <c r="BF194" s="45"/>
      <c r="BG194" s="45"/>
      <c r="BH194" s="45"/>
      <c r="BI194" s="45"/>
      <c r="BJ194" s="45"/>
      <c r="BK194" s="45"/>
      <c r="BL194" s="45"/>
      <c r="BM194" s="158"/>
      <c r="BN194" s="558"/>
      <c r="BO194" s="45"/>
      <c r="BP194" s="45"/>
      <c r="BQ194" s="149"/>
      <c r="BR194" s="149"/>
      <c r="BS194" s="149"/>
      <c r="BT194" s="149"/>
      <c r="BU194" s="149"/>
      <c r="BV194" s="559"/>
      <c r="BW194" s="45"/>
      <c r="BX194" s="45"/>
      <c r="BY194" s="45"/>
      <c r="BZ194" s="69"/>
      <c r="CA194" s="69"/>
      <c r="CB194" s="69"/>
      <c r="CC194" s="69"/>
      <c r="CD194" s="69"/>
      <c r="CE194" s="22"/>
      <c r="CF194" s="22"/>
      <c r="CG194" s="22"/>
    </row>
    <row r="195" spans="1:85" ht="15.75" customHeight="1" x14ac:dyDescent="0.45">
      <c r="A195" s="22"/>
      <c r="B195" s="12"/>
      <c r="C195" s="12"/>
      <c r="D195" s="155"/>
      <c r="E195" s="144"/>
      <c r="F195" s="144"/>
      <c r="G195" s="12"/>
      <c r="H195" s="22"/>
      <c r="I195" s="22"/>
      <c r="J195" s="22"/>
      <c r="K195" s="145"/>
      <c r="L195" s="144"/>
      <c r="M195" s="144"/>
      <c r="N195" s="144"/>
      <c r="O195" s="145"/>
      <c r="P195" s="145"/>
      <c r="Q195" s="145"/>
      <c r="R195" s="145"/>
      <c r="S195" s="144"/>
      <c r="T195" s="145"/>
      <c r="U195" s="145"/>
      <c r="V195" s="145"/>
      <c r="W195" s="145"/>
      <c r="X195" s="53"/>
      <c r="Y195" s="74"/>
      <c r="Z195" s="145"/>
      <c r="AA195" s="145"/>
      <c r="AB195" s="145"/>
      <c r="AC195" s="146"/>
      <c r="AD195" s="145"/>
      <c r="AE195" s="145"/>
      <c r="AF195" s="145"/>
      <c r="AG195" s="145"/>
      <c r="AH195" s="146"/>
      <c r="AI195" s="145"/>
      <c r="AJ195" s="145"/>
      <c r="AK195" s="145"/>
      <c r="AL195" s="145"/>
      <c r="AM195" s="145"/>
      <c r="AN195" s="145"/>
      <c r="AO195" s="145"/>
      <c r="AP195" s="74"/>
      <c r="AQ195" s="74"/>
      <c r="AR195" s="74"/>
      <c r="AS195" s="523"/>
      <c r="AT195" s="523"/>
      <c r="AU195" s="523"/>
      <c r="AV195" s="555"/>
      <c r="AW195" s="12"/>
      <c r="AX195" s="12"/>
      <c r="AY195" s="152"/>
      <c r="AZ195" s="22"/>
      <c r="BA195" s="74"/>
      <c r="BB195" s="45"/>
      <c r="BC195" s="22"/>
      <c r="BD195" s="158"/>
      <c r="BE195" s="558"/>
      <c r="BF195" s="45"/>
      <c r="BG195" s="45"/>
      <c r="BH195" s="45"/>
      <c r="BI195" s="45"/>
      <c r="BJ195" s="45"/>
      <c r="BK195" s="45"/>
      <c r="BL195" s="45"/>
      <c r="BM195" s="158"/>
      <c r="BN195" s="558"/>
      <c r="BO195" s="45"/>
      <c r="BP195" s="45"/>
      <c r="BQ195" s="532"/>
      <c r="BR195" s="532"/>
      <c r="BS195" s="532"/>
      <c r="BT195" s="532"/>
      <c r="BU195" s="532"/>
      <c r="BV195" s="559"/>
      <c r="BW195" s="45"/>
      <c r="BX195" s="45"/>
      <c r="BY195" s="45"/>
      <c r="BZ195" s="69"/>
      <c r="CA195" s="69"/>
      <c r="CB195" s="69"/>
      <c r="CC195" s="69"/>
      <c r="CD195" s="69"/>
      <c r="CE195" s="22"/>
      <c r="CF195" s="22"/>
      <c r="CG195" s="22"/>
    </row>
    <row r="196" spans="1:85" ht="15.75" customHeight="1" x14ac:dyDescent="0.45">
      <c r="A196" s="22"/>
      <c r="B196" s="12"/>
      <c r="C196" s="12"/>
      <c r="D196" s="155"/>
      <c r="E196" s="144"/>
      <c r="F196" s="144"/>
      <c r="G196" s="12"/>
      <c r="H196" s="22"/>
      <c r="I196" s="22"/>
      <c r="J196" s="22"/>
      <c r="K196" s="145"/>
      <c r="L196" s="144"/>
      <c r="M196" s="144"/>
      <c r="N196" s="144"/>
      <c r="O196" s="145"/>
      <c r="P196" s="145"/>
      <c r="Q196" s="145"/>
      <c r="R196" s="145"/>
      <c r="S196" s="144"/>
      <c r="T196" s="145"/>
      <c r="U196" s="145"/>
      <c r="V196" s="145"/>
      <c r="W196" s="145"/>
      <c r="X196" s="53"/>
      <c r="Y196" s="74"/>
      <c r="Z196" s="145"/>
      <c r="AA196" s="145"/>
      <c r="AB196" s="145"/>
      <c r="AC196" s="146"/>
      <c r="AD196" s="145"/>
      <c r="AE196" s="145"/>
      <c r="AF196" s="145"/>
      <c r="AG196" s="145"/>
      <c r="AH196" s="146"/>
      <c r="AI196" s="145"/>
      <c r="AJ196" s="145"/>
      <c r="AK196" s="145"/>
      <c r="AL196" s="145"/>
      <c r="AM196" s="145"/>
      <c r="AN196" s="145"/>
      <c r="AO196" s="145"/>
      <c r="AP196" s="74"/>
      <c r="AQ196" s="74"/>
      <c r="AR196" s="74"/>
      <c r="AS196" s="523"/>
      <c r="AT196" s="523"/>
      <c r="AU196" s="523"/>
      <c r="AV196" s="555"/>
      <c r="AW196" s="12"/>
      <c r="AX196" s="12"/>
      <c r="AY196" s="152"/>
      <c r="AZ196" s="22"/>
      <c r="BA196" s="74"/>
      <c r="BB196" s="45"/>
      <c r="BC196" s="22"/>
      <c r="BD196" s="158"/>
      <c r="BE196" s="558"/>
      <c r="BF196" s="45"/>
      <c r="BG196" s="45"/>
      <c r="BH196" s="45"/>
      <c r="BI196" s="45"/>
      <c r="BJ196" s="45"/>
      <c r="BK196" s="45"/>
      <c r="BL196" s="45"/>
      <c r="BM196" s="158"/>
      <c r="BN196" s="558"/>
      <c r="BO196" s="45"/>
      <c r="BP196" s="45"/>
      <c r="BQ196" s="532"/>
      <c r="BR196" s="532"/>
      <c r="BS196" s="532"/>
      <c r="BT196" s="532"/>
      <c r="BU196" s="532"/>
      <c r="BV196" s="559"/>
      <c r="BW196" s="45"/>
      <c r="BX196" s="45"/>
      <c r="BY196" s="45"/>
      <c r="BZ196" s="69"/>
      <c r="CA196" s="69"/>
      <c r="CB196" s="69"/>
      <c r="CC196" s="69"/>
      <c r="CD196" s="69"/>
      <c r="CE196" s="22"/>
      <c r="CF196" s="22"/>
      <c r="CG196" s="22"/>
    </row>
    <row r="197" spans="1:85" ht="15.75" customHeight="1" x14ac:dyDescent="0.45">
      <c r="A197" s="22"/>
      <c r="B197" s="12"/>
      <c r="C197" s="12"/>
      <c r="D197" s="155"/>
      <c r="E197" s="144"/>
      <c r="F197" s="144"/>
      <c r="G197" s="12"/>
      <c r="H197" s="22"/>
      <c r="I197" s="22"/>
      <c r="J197" s="22"/>
      <c r="K197" s="145"/>
      <c r="L197" s="144"/>
      <c r="M197" s="144"/>
      <c r="N197" s="144"/>
      <c r="O197" s="145"/>
      <c r="P197" s="145"/>
      <c r="Q197" s="145"/>
      <c r="R197" s="145"/>
      <c r="S197" s="144"/>
      <c r="T197" s="145"/>
      <c r="U197" s="145"/>
      <c r="V197" s="145"/>
      <c r="W197" s="145"/>
      <c r="X197" s="53"/>
      <c r="Y197" s="74"/>
      <c r="Z197" s="145"/>
      <c r="AA197" s="145"/>
      <c r="AB197" s="145"/>
      <c r="AC197" s="146"/>
      <c r="AD197" s="145"/>
      <c r="AE197" s="145"/>
      <c r="AF197" s="145"/>
      <c r="AG197" s="145"/>
      <c r="AH197" s="146"/>
      <c r="AI197" s="145"/>
      <c r="AJ197" s="145"/>
      <c r="AK197" s="145"/>
      <c r="AL197" s="145"/>
      <c r="AM197" s="145"/>
      <c r="AN197" s="145"/>
      <c r="AO197" s="145"/>
      <c r="AP197" s="74"/>
      <c r="AQ197" s="74"/>
      <c r="AR197" s="74"/>
      <c r="AS197" s="523"/>
      <c r="AT197" s="523"/>
      <c r="AU197" s="523"/>
      <c r="AV197" s="555"/>
      <c r="AW197" s="12"/>
      <c r="AX197" s="12"/>
      <c r="AY197" s="152"/>
      <c r="AZ197" s="22"/>
      <c r="BA197" s="74"/>
      <c r="BB197" s="45"/>
      <c r="BC197" s="22"/>
      <c r="BD197" s="158"/>
      <c r="BE197" s="558"/>
      <c r="BF197" s="45"/>
      <c r="BG197" s="45"/>
      <c r="BH197" s="45"/>
      <c r="BI197" s="45"/>
      <c r="BJ197" s="45"/>
      <c r="BK197" s="45"/>
      <c r="BL197" s="45"/>
      <c r="BM197" s="158"/>
      <c r="BN197" s="558"/>
      <c r="BO197" s="45"/>
      <c r="BP197" s="45"/>
      <c r="BQ197" s="532"/>
      <c r="BR197" s="532"/>
      <c r="BS197" s="532"/>
      <c r="BT197" s="532"/>
      <c r="BU197" s="532"/>
      <c r="BV197" s="559"/>
      <c r="BW197" s="45"/>
      <c r="BX197" s="45"/>
      <c r="BY197" s="45"/>
      <c r="BZ197" s="69"/>
      <c r="CA197" s="69"/>
      <c r="CB197" s="69"/>
      <c r="CC197" s="69"/>
      <c r="CD197" s="69"/>
      <c r="CE197" s="22"/>
      <c r="CF197" s="22"/>
      <c r="CG197" s="22"/>
    </row>
    <row r="198" spans="1:85" ht="15.75" customHeight="1" x14ac:dyDescent="0.45">
      <c r="A198" s="22"/>
      <c r="B198" s="12"/>
      <c r="C198" s="12"/>
      <c r="D198" s="155"/>
      <c r="E198" s="144"/>
      <c r="F198" s="144"/>
      <c r="G198" s="12"/>
      <c r="H198" s="22"/>
      <c r="I198" s="22"/>
      <c r="J198" s="22"/>
      <c r="K198" s="145"/>
      <c r="L198" s="144"/>
      <c r="M198" s="144"/>
      <c r="N198" s="144"/>
      <c r="O198" s="145"/>
      <c r="P198" s="145"/>
      <c r="Q198" s="145"/>
      <c r="R198" s="145"/>
      <c r="S198" s="144"/>
      <c r="T198" s="145"/>
      <c r="U198" s="145"/>
      <c r="V198" s="145"/>
      <c r="W198" s="145"/>
      <c r="X198" s="53"/>
      <c r="Y198" s="74"/>
      <c r="Z198" s="145"/>
      <c r="AA198" s="145"/>
      <c r="AB198" s="145"/>
      <c r="AC198" s="146"/>
      <c r="AD198" s="145"/>
      <c r="AE198" s="145"/>
      <c r="AF198" s="145"/>
      <c r="AG198" s="145"/>
      <c r="AH198" s="146"/>
      <c r="AI198" s="145"/>
      <c r="AJ198" s="145"/>
      <c r="AK198" s="145"/>
      <c r="AL198" s="145"/>
      <c r="AM198" s="145"/>
      <c r="AN198" s="145"/>
      <c r="AO198" s="145"/>
      <c r="AP198" s="74"/>
      <c r="AQ198" s="74"/>
      <c r="AR198" s="74"/>
      <c r="AS198" s="523"/>
      <c r="AT198" s="523"/>
      <c r="AU198" s="523"/>
      <c r="AV198" s="555"/>
      <c r="AW198" s="12"/>
      <c r="AX198" s="12"/>
      <c r="AY198" s="152"/>
      <c r="AZ198" s="22"/>
      <c r="BA198" s="74"/>
      <c r="BB198" s="45"/>
      <c r="BC198" s="22"/>
      <c r="BD198" s="158"/>
      <c r="BE198" s="558"/>
      <c r="BF198" s="45"/>
      <c r="BG198" s="45"/>
      <c r="BH198" s="45"/>
      <c r="BI198" s="45"/>
      <c r="BJ198" s="45"/>
      <c r="BK198" s="45"/>
      <c r="BL198" s="45"/>
      <c r="BM198" s="158"/>
      <c r="BN198" s="558"/>
      <c r="BO198" s="45"/>
      <c r="BP198" s="45"/>
      <c r="BQ198" s="149"/>
      <c r="BR198" s="149"/>
      <c r="BS198" s="149"/>
      <c r="BT198" s="149"/>
      <c r="BU198" s="149"/>
      <c r="BV198" s="559"/>
      <c r="BW198" s="45"/>
      <c r="BX198" s="45"/>
      <c r="BY198" s="45"/>
      <c r="BZ198" s="69"/>
      <c r="CA198" s="69"/>
      <c r="CB198" s="69"/>
      <c r="CC198" s="69"/>
      <c r="CD198" s="69"/>
      <c r="CE198" s="22"/>
      <c r="CF198" s="22"/>
      <c r="CG198" s="22"/>
    </row>
    <row r="199" spans="1:85" ht="15.75" customHeight="1" x14ac:dyDescent="0.45">
      <c r="A199" s="22"/>
      <c r="B199" s="12"/>
      <c r="C199" s="12"/>
      <c r="D199" s="155"/>
      <c r="E199" s="144"/>
      <c r="F199" s="144"/>
      <c r="G199" s="12"/>
      <c r="H199" s="22"/>
      <c r="I199" s="22"/>
      <c r="J199" s="22"/>
      <c r="K199" s="145"/>
      <c r="L199" s="144"/>
      <c r="M199" s="144"/>
      <c r="N199" s="144"/>
      <c r="O199" s="145"/>
      <c r="P199" s="145"/>
      <c r="Q199" s="145"/>
      <c r="R199" s="145"/>
      <c r="S199" s="144"/>
      <c r="T199" s="145"/>
      <c r="U199" s="145"/>
      <c r="V199" s="145"/>
      <c r="W199" s="145"/>
      <c r="X199" s="53"/>
      <c r="Y199" s="74"/>
      <c r="Z199" s="145"/>
      <c r="AA199" s="145"/>
      <c r="AB199" s="145"/>
      <c r="AC199" s="146"/>
      <c r="AD199" s="145"/>
      <c r="AE199" s="145"/>
      <c r="AF199" s="145"/>
      <c r="AG199" s="145"/>
      <c r="AH199" s="146"/>
      <c r="AI199" s="145"/>
      <c r="AJ199" s="145"/>
      <c r="AK199" s="145"/>
      <c r="AL199" s="145"/>
      <c r="AM199" s="145"/>
      <c r="AN199" s="145"/>
      <c r="AO199" s="145"/>
      <c r="AP199" s="74"/>
      <c r="AQ199" s="74"/>
      <c r="AR199" s="74"/>
      <c r="AS199" s="523"/>
      <c r="AT199" s="523"/>
      <c r="AU199" s="523"/>
      <c r="AV199" s="555"/>
      <c r="AW199" s="12"/>
      <c r="AX199" s="12"/>
      <c r="AY199" s="152"/>
      <c r="AZ199" s="22"/>
      <c r="BA199" s="74"/>
      <c r="BB199" s="45"/>
      <c r="BC199" s="22"/>
      <c r="BD199" s="158"/>
      <c r="BE199" s="558"/>
      <c r="BF199" s="45"/>
      <c r="BG199" s="45"/>
      <c r="BH199" s="45"/>
      <c r="BI199" s="45"/>
      <c r="BJ199" s="45"/>
      <c r="BK199" s="45"/>
      <c r="BL199" s="45"/>
      <c r="BM199" s="158"/>
      <c r="BN199" s="558"/>
      <c r="BO199" s="45"/>
      <c r="BP199" s="45"/>
      <c r="BQ199" s="149"/>
      <c r="BR199" s="149"/>
      <c r="BS199" s="149"/>
      <c r="BT199" s="149"/>
      <c r="BU199" s="149"/>
      <c r="BV199" s="559"/>
      <c r="BW199" s="45"/>
      <c r="BX199" s="45"/>
      <c r="BY199" s="45"/>
      <c r="BZ199" s="69"/>
      <c r="CA199" s="69"/>
      <c r="CB199" s="69"/>
      <c r="CC199" s="69"/>
      <c r="CD199" s="69"/>
      <c r="CE199" s="22"/>
      <c r="CF199" s="22"/>
      <c r="CG199" s="22"/>
    </row>
    <row r="200" spans="1:85" ht="15.75" customHeight="1" x14ac:dyDescent="0.45">
      <c r="A200" s="22"/>
      <c r="B200" s="12"/>
      <c r="C200" s="12"/>
      <c r="D200" s="155"/>
      <c r="E200" s="144"/>
      <c r="F200" s="144"/>
      <c r="G200" s="12"/>
      <c r="H200" s="22"/>
      <c r="I200" s="22"/>
      <c r="J200" s="22"/>
      <c r="K200" s="145"/>
      <c r="L200" s="144"/>
      <c r="M200" s="144"/>
      <c r="N200" s="144"/>
      <c r="O200" s="145"/>
      <c r="P200" s="145"/>
      <c r="Q200" s="145"/>
      <c r="R200" s="145"/>
      <c r="S200" s="144"/>
      <c r="T200" s="145"/>
      <c r="U200" s="145"/>
      <c r="V200" s="145"/>
      <c r="W200" s="145"/>
      <c r="X200" s="53"/>
      <c r="Y200" s="74"/>
      <c r="Z200" s="145"/>
      <c r="AA200" s="145"/>
      <c r="AB200" s="145"/>
      <c r="AC200" s="146"/>
      <c r="AD200" s="145"/>
      <c r="AE200" s="145"/>
      <c r="AF200" s="145"/>
      <c r="AG200" s="145"/>
      <c r="AH200" s="146"/>
      <c r="AI200" s="145"/>
      <c r="AJ200" s="145"/>
      <c r="AK200" s="145"/>
      <c r="AL200" s="145"/>
      <c r="AM200" s="145"/>
      <c r="AN200" s="145"/>
      <c r="AO200" s="145"/>
      <c r="AP200" s="74"/>
      <c r="AQ200" s="74"/>
      <c r="AR200" s="74"/>
      <c r="AS200" s="523"/>
      <c r="AT200" s="523"/>
      <c r="AU200" s="523"/>
      <c r="AV200" s="555"/>
      <c r="AW200" s="12"/>
      <c r="AX200" s="12"/>
      <c r="AY200" s="152"/>
      <c r="AZ200" s="22"/>
      <c r="BA200" s="74"/>
      <c r="BB200" s="45"/>
      <c r="BC200" s="22"/>
      <c r="BD200" s="158"/>
      <c r="BE200" s="558"/>
      <c r="BF200" s="45"/>
      <c r="BG200" s="45"/>
      <c r="BH200" s="45"/>
      <c r="BI200" s="45"/>
      <c r="BJ200" s="45"/>
      <c r="BK200" s="45"/>
      <c r="BL200" s="45"/>
      <c r="BM200" s="158"/>
      <c r="BN200" s="558"/>
      <c r="BO200" s="45"/>
      <c r="BP200" s="45"/>
      <c r="BQ200" s="532"/>
      <c r="BR200" s="532"/>
      <c r="BS200" s="532"/>
      <c r="BT200" s="532"/>
      <c r="BU200" s="532"/>
      <c r="BV200" s="559"/>
      <c r="BW200" s="45"/>
      <c r="BX200" s="45"/>
      <c r="BY200" s="45"/>
      <c r="BZ200" s="69"/>
      <c r="CA200" s="69"/>
      <c r="CB200" s="69"/>
      <c r="CC200" s="69"/>
      <c r="CD200" s="69"/>
      <c r="CE200" s="22"/>
      <c r="CF200" s="22"/>
      <c r="CG200" s="22"/>
    </row>
    <row r="201" spans="1:85" ht="15.75" customHeight="1" x14ac:dyDescent="0.45">
      <c r="A201" s="22"/>
      <c r="B201" s="12"/>
      <c r="C201" s="12"/>
      <c r="D201" s="155"/>
      <c r="E201" s="144"/>
      <c r="F201" s="144"/>
      <c r="G201" s="12"/>
      <c r="H201" s="22"/>
      <c r="I201" s="22"/>
      <c r="J201" s="22"/>
      <c r="K201" s="145"/>
      <c r="L201" s="144"/>
      <c r="M201" s="144"/>
      <c r="N201" s="144"/>
      <c r="O201" s="145"/>
      <c r="P201" s="145"/>
      <c r="Q201" s="145"/>
      <c r="R201" s="145"/>
      <c r="S201" s="144"/>
      <c r="T201" s="145"/>
      <c r="U201" s="145"/>
      <c r="V201" s="145"/>
      <c r="W201" s="145"/>
      <c r="X201" s="53"/>
      <c r="Y201" s="74"/>
      <c r="Z201" s="145"/>
      <c r="AA201" s="145"/>
      <c r="AB201" s="145"/>
      <c r="AC201" s="146"/>
      <c r="AD201" s="145"/>
      <c r="AE201" s="145"/>
      <c r="AF201" s="145"/>
      <c r="AG201" s="145"/>
      <c r="AH201" s="146"/>
      <c r="AI201" s="145"/>
      <c r="AJ201" s="145"/>
      <c r="AK201" s="145"/>
      <c r="AL201" s="145"/>
      <c r="AM201" s="145"/>
      <c r="AN201" s="145"/>
      <c r="AO201" s="145"/>
      <c r="AP201" s="74"/>
      <c r="AQ201" s="74"/>
      <c r="AR201" s="74"/>
      <c r="AS201" s="523"/>
      <c r="AT201" s="523"/>
      <c r="AU201" s="523"/>
      <c r="AV201" s="555"/>
      <c r="AW201" s="12"/>
      <c r="AX201" s="12"/>
      <c r="AY201" s="152"/>
      <c r="AZ201" s="22"/>
      <c r="BA201" s="74"/>
      <c r="BB201" s="45"/>
      <c r="BC201" s="22"/>
      <c r="BD201" s="158"/>
      <c r="BE201" s="558"/>
      <c r="BF201" s="45"/>
      <c r="BG201" s="45"/>
      <c r="BH201" s="45"/>
      <c r="BI201" s="45"/>
      <c r="BJ201" s="45"/>
      <c r="BK201" s="45"/>
      <c r="BL201" s="45"/>
      <c r="BM201" s="158"/>
      <c r="BN201" s="558"/>
      <c r="BO201" s="45"/>
      <c r="BP201" s="45"/>
      <c r="BQ201" s="532"/>
      <c r="BR201" s="532"/>
      <c r="BS201" s="532"/>
      <c r="BT201" s="532"/>
      <c r="BU201" s="532"/>
      <c r="BV201" s="559"/>
      <c r="BW201" s="45"/>
      <c r="BX201" s="45"/>
      <c r="BY201" s="45"/>
      <c r="BZ201" s="69"/>
      <c r="CA201" s="69"/>
      <c r="CB201" s="69"/>
      <c r="CC201" s="69"/>
      <c r="CD201" s="69"/>
      <c r="CE201" s="22"/>
      <c r="CF201" s="22"/>
      <c r="CG201" s="22"/>
    </row>
    <row r="202" spans="1:85" ht="15.75" customHeight="1" x14ac:dyDescent="0.45">
      <c r="A202" s="22"/>
      <c r="B202" s="12"/>
      <c r="C202" s="12"/>
      <c r="D202" s="155"/>
      <c r="E202" s="144"/>
      <c r="F202" s="144"/>
      <c r="G202" s="12"/>
      <c r="H202" s="22"/>
      <c r="I202" s="22"/>
      <c r="J202" s="22"/>
      <c r="K202" s="145"/>
      <c r="L202" s="144"/>
      <c r="M202" s="144"/>
      <c r="N202" s="144"/>
      <c r="O202" s="145"/>
      <c r="P202" s="145"/>
      <c r="Q202" s="145"/>
      <c r="R202" s="145"/>
      <c r="S202" s="144"/>
      <c r="T202" s="145"/>
      <c r="U202" s="145"/>
      <c r="V202" s="145"/>
      <c r="W202" s="145"/>
      <c r="X202" s="53"/>
      <c r="Y202" s="74"/>
      <c r="Z202" s="145"/>
      <c r="AA202" s="145"/>
      <c r="AB202" s="145"/>
      <c r="AC202" s="146"/>
      <c r="AD202" s="145"/>
      <c r="AE202" s="145"/>
      <c r="AF202" s="145"/>
      <c r="AG202" s="145"/>
      <c r="AH202" s="146"/>
      <c r="AI202" s="145"/>
      <c r="AJ202" s="145"/>
      <c r="AK202" s="145"/>
      <c r="AL202" s="145"/>
      <c r="AM202" s="145"/>
      <c r="AN202" s="145"/>
      <c r="AO202" s="145"/>
      <c r="AP202" s="74"/>
      <c r="AQ202" s="74"/>
      <c r="AR202" s="74"/>
      <c r="AS202" s="523"/>
      <c r="AT202" s="523"/>
      <c r="AU202" s="523"/>
      <c r="AV202" s="555"/>
      <c r="AW202" s="12"/>
      <c r="AX202" s="12"/>
      <c r="AY202" s="152"/>
      <c r="AZ202" s="22"/>
      <c r="BA202" s="74"/>
      <c r="BB202" s="45"/>
      <c r="BC202" s="22"/>
      <c r="BD202" s="158"/>
      <c r="BE202" s="558"/>
      <c r="BF202" s="45"/>
      <c r="BG202" s="45"/>
      <c r="BH202" s="45"/>
      <c r="BI202" s="45"/>
      <c r="BJ202" s="45"/>
      <c r="BK202" s="45"/>
      <c r="BL202" s="45"/>
      <c r="BM202" s="158"/>
      <c r="BN202" s="558"/>
      <c r="BO202" s="45"/>
      <c r="BP202" s="45"/>
      <c r="BQ202" s="532"/>
      <c r="BR202" s="532"/>
      <c r="BS202" s="532"/>
      <c r="BT202" s="532"/>
      <c r="BU202" s="532"/>
      <c r="BV202" s="559"/>
      <c r="BW202" s="45"/>
      <c r="BX202" s="45"/>
      <c r="BY202" s="45"/>
      <c r="BZ202" s="69"/>
      <c r="CA202" s="69"/>
      <c r="CB202" s="69"/>
      <c r="CC202" s="69"/>
      <c r="CD202" s="69"/>
      <c r="CE202" s="22"/>
      <c r="CF202" s="22"/>
      <c r="CG202" s="22"/>
    </row>
    <row r="203" spans="1:85" ht="15.75" customHeight="1" x14ac:dyDescent="0.45">
      <c r="A203" s="22"/>
      <c r="B203" s="12"/>
      <c r="C203" s="12"/>
      <c r="D203" s="155"/>
      <c r="E203" s="144"/>
      <c r="F203" s="144"/>
      <c r="G203" s="12"/>
      <c r="H203" s="22"/>
      <c r="I203" s="22"/>
      <c r="J203" s="22"/>
      <c r="K203" s="145"/>
      <c r="L203" s="144"/>
      <c r="M203" s="144"/>
      <c r="N203" s="144"/>
      <c r="O203" s="145"/>
      <c r="P203" s="145"/>
      <c r="Q203" s="145"/>
      <c r="R203" s="145"/>
      <c r="S203" s="144"/>
      <c r="T203" s="145"/>
      <c r="U203" s="145"/>
      <c r="V203" s="145"/>
      <c r="W203" s="145"/>
      <c r="X203" s="53"/>
      <c r="Y203" s="74"/>
      <c r="Z203" s="145"/>
      <c r="AA203" s="145"/>
      <c r="AB203" s="145"/>
      <c r="AC203" s="146"/>
      <c r="AD203" s="145"/>
      <c r="AE203" s="145"/>
      <c r="AF203" s="145"/>
      <c r="AG203" s="145"/>
      <c r="AH203" s="146"/>
      <c r="AI203" s="145"/>
      <c r="AJ203" s="145"/>
      <c r="AK203" s="145"/>
      <c r="AL203" s="145"/>
      <c r="AM203" s="145"/>
      <c r="AN203" s="145"/>
      <c r="AO203" s="145"/>
      <c r="AP203" s="74"/>
      <c r="AQ203" s="74"/>
      <c r="AR203" s="74"/>
      <c r="AS203" s="523"/>
      <c r="AT203" s="523"/>
      <c r="AU203" s="523"/>
      <c r="AV203" s="555"/>
      <c r="AW203" s="12"/>
      <c r="AX203" s="12"/>
      <c r="AY203" s="152"/>
      <c r="AZ203" s="22"/>
      <c r="BA203" s="74"/>
      <c r="BB203" s="45"/>
      <c r="BC203" s="22"/>
      <c r="BD203" s="158"/>
      <c r="BE203" s="558"/>
      <c r="BF203" s="45"/>
      <c r="BG203" s="45"/>
      <c r="BH203" s="45"/>
      <c r="BI203" s="45"/>
      <c r="BJ203" s="45"/>
      <c r="BK203" s="45"/>
      <c r="BL203" s="45"/>
      <c r="BM203" s="158"/>
      <c r="BN203" s="558"/>
      <c r="BO203" s="45"/>
      <c r="BP203" s="45"/>
      <c r="BQ203" s="149"/>
      <c r="BR203" s="149"/>
      <c r="BS203" s="149"/>
      <c r="BT203" s="149"/>
      <c r="BU203" s="149"/>
      <c r="BV203" s="559"/>
      <c r="BW203" s="45"/>
      <c r="BX203" s="45"/>
      <c r="BY203" s="45"/>
      <c r="BZ203" s="69"/>
      <c r="CA203" s="69"/>
      <c r="CB203" s="69"/>
      <c r="CC203" s="69"/>
      <c r="CD203" s="69"/>
      <c r="CE203" s="22"/>
      <c r="CF203" s="22"/>
      <c r="CG203" s="22"/>
    </row>
    <row r="204" spans="1:85" ht="15.75" customHeight="1" x14ac:dyDescent="0.45">
      <c r="A204" s="22"/>
      <c r="B204" s="12"/>
      <c r="C204" s="12"/>
      <c r="D204" s="155"/>
      <c r="E204" s="144"/>
      <c r="F204" s="144"/>
      <c r="G204" s="12"/>
      <c r="H204" s="22"/>
      <c r="I204" s="22"/>
      <c r="J204" s="22"/>
      <c r="K204" s="145"/>
      <c r="L204" s="144"/>
      <c r="M204" s="144"/>
      <c r="N204" s="144"/>
      <c r="O204" s="145"/>
      <c r="P204" s="145"/>
      <c r="Q204" s="145"/>
      <c r="R204" s="145"/>
      <c r="S204" s="144"/>
      <c r="T204" s="145"/>
      <c r="U204" s="145"/>
      <c r="V204" s="145"/>
      <c r="W204" s="145"/>
      <c r="X204" s="53"/>
      <c r="Y204" s="74"/>
      <c r="Z204" s="145"/>
      <c r="AA204" s="145"/>
      <c r="AB204" s="145"/>
      <c r="AC204" s="146"/>
      <c r="AD204" s="145"/>
      <c r="AE204" s="145"/>
      <c r="AF204" s="145"/>
      <c r="AG204" s="145"/>
      <c r="AH204" s="146"/>
      <c r="AI204" s="145"/>
      <c r="AJ204" s="145"/>
      <c r="AK204" s="145"/>
      <c r="AL204" s="145"/>
      <c r="AM204" s="145"/>
      <c r="AN204" s="145"/>
      <c r="AO204" s="145"/>
      <c r="AP204" s="74"/>
      <c r="AQ204" s="74"/>
      <c r="AR204" s="74"/>
      <c r="AS204" s="523"/>
      <c r="AT204" s="523"/>
      <c r="AU204" s="523"/>
      <c r="AV204" s="555"/>
      <c r="AW204" s="12"/>
      <c r="AX204" s="12"/>
      <c r="AY204" s="152"/>
      <c r="AZ204" s="22"/>
      <c r="BA204" s="74"/>
      <c r="BB204" s="45"/>
      <c r="BC204" s="22"/>
      <c r="BD204" s="158"/>
      <c r="BE204" s="558"/>
      <c r="BF204" s="45"/>
      <c r="BG204" s="45"/>
      <c r="BH204" s="45"/>
      <c r="BI204" s="45"/>
      <c r="BJ204" s="45"/>
      <c r="BK204" s="45"/>
      <c r="BL204" s="45"/>
      <c r="BM204" s="158"/>
      <c r="BN204" s="558"/>
      <c r="BO204" s="45"/>
      <c r="BP204" s="45"/>
      <c r="BQ204" s="532"/>
      <c r="BR204" s="532"/>
      <c r="BS204" s="532"/>
      <c r="BT204" s="532"/>
      <c r="BU204" s="532"/>
      <c r="BV204" s="559"/>
      <c r="BW204" s="45"/>
      <c r="BX204" s="45"/>
      <c r="BY204" s="45"/>
      <c r="BZ204" s="69"/>
      <c r="CA204" s="69"/>
      <c r="CB204" s="69"/>
      <c r="CC204" s="69"/>
      <c r="CD204" s="69"/>
      <c r="CE204" s="22"/>
      <c r="CF204" s="22"/>
      <c r="CG204" s="22"/>
    </row>
    <row r="205" spans="1:85" ht="15.75" customHeight="1" x14ac:dyDescent="0.45">
      <c r="A205" s="22"/>
      <c r="B205" s="12"/>
      <c r="C205" s="12"/>
      <c r="D205" s="155"/>
      <c r="E205" s="144"/>
      <c r="F205" s="144"/>
      <c r="G205" s="12"/>
      <c r="H205" s="22"/>
      <c r="I205" s="22"/>
      <c r="J205" s="22"/>
      <c r="K205" s="145"/>
      <c r="L205" s="144"/>
      <c r="M205" s="144"/>
      <c r="N205" s="144"/>
      <c r="O205" s="145"/>
      <c r="P205" s="145"/>
      <c r="Q205" s="145"/>
      <c r="R205" s="145"/>
      <c r="S205" s="144"/>
      <c r="T205" s="145"/>
      <c r="U205" s="145"/>
      <c r="V205" s="145"/>
      <c r="W205" s="145"/>
      <c r="X205" s="53"/>
      <c r="Y205" s="74"/>
      <c r="Z205" s="145"/>
      <c r="AA205" s="145"/>
      <c r="AB205" s="145"/>
      <c r="AC205" s="146"/>
      <c r="AD205" s="145"/>
      <c r="AE205" s="145"/>
      <c r="AF205" s="145"/>
      <c r="AG205" s="145"/>
      <c r="AH205" s="146"/>
      <c r="AI205" s="145"/>
      <c r="AJ205" s="145"/>
      <c r="AK205" s="145"/>
      <c r="AL205" s="145"/>
      <c r="AM205" s="145"/>
      <c r="AN205" s="145"/>
      <c r="AO205" s="145"/>
      <c r="AP205" s="74"/>
      <c r="AQ205" s="74"/>
      <c r="AR205" s="74"/>
      <c r="AS205" s="523"/>
      <c r="AT205" s="523"/>
      <c r="AU205" s="523"/>
      <c r="AV205" s="555"/>
      <c r="AW205" s="12"/>
      <c r="AX205" s="12"/>
      <c r="AY205" s="152"/>
      <c r="AZ205" s="22"/>
      <c r="BA205" s="74"/>
      <c r="BB205" s="45"/>
      <c r="BC205" s="22"/>
      <c r="BD205" s="158"/>
      <c r="BE205" s="558"/>
      <c r="BF205" s="45"/>
      <c r="BG205" s="45"/>
      <c r="BH205" s="45"/>
      <c r="BI205" s="45"/>
      <c r="BJ205" s="45"/>
      <c r="BK205" s="45"/>
      <c r="BL205" s="45"/>
      <c r="BM205" s="158"/>
      <c r="BN205" s="558"/>
      <c r="BO205" s="45"/>
      <c r="BP205" s="45"/>
      <c r="BQ205" s="149"/>
      <c r="BR205" s="149"/>
      <c r="BS205" s="149"/>
      <c r="BT205" s="149"/>
      <c r="BU205" s="149"/>
      <c r="BV205" s="559"/>
      <c r="BW205" s="45"/>
      <c r="BX205" s="45"/>
      <c r="BY205" s="45"/>
      <c r="BZ205" s="69"/>
      <c r="CA205" s="69"/>
      <c r="CB205" s="69"/>
      <c r="CC205" s="69"/>
      <c r="CD205" s="69"/>
      <c r="CE205" s="22"/>
      <c r="CF205" s="22"/>
      <c r="CG205" s="22"/>
    </row>
    <row r="206" spans="1:85" ht="15.75" customHeight="1" x14ac:dyDescent="0.45">
      <c r="A206" s="22"/>
      <c r="B206" s="12"/>
      <c r="C206" s="12"/>
      <c r="D206" s="155"/>
      <c r="E206" s="144"/>
      <c r="F206" s="144"/>
      <c r="G206" s="12"/>
      <c r="H206" s="22"/>
      <c r="I206" s="22"/>
      <c r="J206" s="22"/>
      <c r="K206" s="145"/>
      <c r="L206" s="144"/>
      <c r="M206" s="144"/>
      <c r="N206" s="144"/>
      <c r="O206" s="145"/>
      <c r="P206" s="145"/>
      <c r="Q206" s="145"/>
      <c r="R206" s="145"/>
      <c r="S206" s="144"/>
      <c r="T206" s="145"/>
      <c r="U206" s="145"/>
      <c r="V206" s="145"/>
      <c r="W206" s="145"/>
      <c r="X206" s="53"/>
      <c r="Y206" s="74"/>
      <c r="Z206" s="145"/>
      <c r="AA206" s="145"/>
      <c r="AB206" s="145"/>
      <c r="AC206" s="146"/>
      <c r="AD206" s="145"/>
      <c r="AE206" s="145"/>
      <c r="AF206" s="145"/>
      <c r="AG206" s="145"/>
      <c r="AH206" s="146"/>
      <c r="AI206" s="145"/>
      <c r="AJ206" s="145"/>
      <c r="AK206" s="145"/>
      <c r="AL206" s="145"/>
      <c r="AM206" s="145"/>
      <c r="AN206" s="145"/>
      <c r="AO206" s="145"/>
      <c r="AP206" s="74"/>
      <c r="AQ206" s="74"/>
      <c r="AR206" s="74"/>
      <c r="AS206" s="523"/>
      <c r="AT206" s="523"/>
      <c r="AU206" s="523"/>
      <c r="AV206" s="555"/>
      <c r="AW206" s="12"/>
      <c r="AX206" s="12"/>
      <c r="AY206" s="152"/>
      <c r="AZ206" s="22"/>
      <c r="BA206" s="74"/>
      <c r="BB206" s="45"/>
      <c r="BC206" s="22"/>
      <c r="BD206" s="158"/>
      <c r="BE206" s="558"/>
      <c r="BF206" s="45"/>
      <c r="BG206" s="45"/>
      <c r="BH206" s="45"/>
      <c r="BI206" s="45"/>
      <c r="BJ206" s="45"/>
      <c r="BK206" s="45"/>
      <c r="BL206" s="45"/>
      <c r="BM206" s="158"/>
      <c r="BN206" s="558"/>
      <c r="BO206" s="45"/>
      <c r="BP206" s="45"/>
      <c r="BQ206" s="149"/>
      <c r="BR206" s="149"/>
      <c r="BS206" s="149"/>
      <c r="BT206" s="149"/>
      <c r="BU206" s="149"/>
      <c r="BV206" s="559"/>
      <c r="BW206" s="45"/>
      <c r="BX206" s="45"/>
      <c r="BY206" s="45"/>
      <c r="BZ206" s="69"/>
      <c r="CA206" s="69"/>
      <c r="CB206" s="69"/>
      <c r="CC206" s="69"/>
      <c r="CD206" s="69"/>
      <c r="CE206" s="22"/>
      <c r="CF206" s="22"/>
      <c r="CG206" s="22"/>
    </row>
    <row r="207" spans="1:85" ht="15.75" customHeight="1" x14ac:dyDescent="0.45">
      <c r="A207" s="22"/>
      <c r="B207" s="12"/>
      <c r="C207" s="12"/>
      <c r="D207" s="155"/>
      <c r="E207" s="144"/>
      <c r="F207" s="144"/>
      <c r="G207" s="12"/>
      <c r="H207" s="22"/>
      <c r="I207" s="22"/>
      <c r="J207" s="22"/>
      <c r="K207" s="145"/>
      <c r="L207" s="144"/>
      <c r="M207" s="144"/>
      <c r="N207" s="144"/>
      <c r="O207" s="145"/>
      <c r="P207" s="145"/>
      <c r="Q207" s="145"/>
      <c r="R207" s="145"/>
      <c r="S207" s="144"/>
      <c r="T207" s="145"/>
      <c r="U207" s="145"/>
      <c r="V207" s="145"/>
      <c r="W207" s="145"/>
      <c r="X207" s="53"/>
      <c r="Y207" s="74"/>
      <c r="Z207" s="145"/>
      <c r="AA207" s="145"/>
      <c r="AB207" s="145"/>
      <c r="AC207" s="146"/>
      <c r="AD207" s="145"/>
      <c r="AE207" s="145"/>
      <c r="AF207" s="145"/>
      <c r="AG207" s="145"/>
      <c r="AH207" s="146"/>
      <c r="AI207" s="145"/>
      <c r="AJ207" s="145"/>
      <c r="AK207" s="145"/>
      <c r="AL207" s="145"/>
      <c r="AM207" s="145"/>
      <c r="AN207" s="145"/>
      <c r="AO207" s="145"/>
      <c r="AP207" s="74"/>
      <c r="AQ207" s="74"/>
      <c r="AR207" s="74"/>
      <c r="AS207" s="523"/>
      <c r="AT207" s="523"/>
      <c r="AU207" s="523"/>
      <c r="AV207" s="555"/>
      <c r="AW207" s="12"/>
      <c r="AX207" s="12"/>
      <c r="AY207" s="152"/>
      <c r="AZ207" s="22"/>
      <c r="BA207" s="74"/>
      <c r="BB207" s="45"/>
      <c r="BC207" s="22"/>
      <c r="BD207" s="158"/>
      <c r="BE207" s="558"/>
      <c r="BF207" s="45"/>
      <c r="BG207" s="45"/>
      <c r="BH207" s="45"/>
      <c r="BI207" s="45"/>
      <c r="BJ207" s="45"/>
      <c r="BK207" s="45"/>
      <c r="BL207" s="45"/>
      <c r="BM207" s="158"/>
      <c r="BN207" s="558"/>
      <c r="BO207" s="45"/>
      <c r="BP207" s="45"/>
      <c r="BQ207" s="149"/>
      <c r="BR207" s="149"/>
      <c r="BS207" s="149"/>
      <c r="BT207" s="149"/>
      <c r="BU207" s="149"/>
      <c r="BV207" s="559"/>
      <c r="BW207" s="45"/>
      <c r="BX207" s="45"/>
      <c r="BY207" s="45"/>
      <c r="BZ207" s="69"/>
      <c r="CA207" s="69"/>
      <c r="CB207" s="69"/>
      <c r="CC207" s="69"/>
      <c r="CD207" s="69"/>
      <c r="CE207" s="22"/>
      <c r="CF207" s="22"/>
      <c r="CG207" s="22"/>
    </row>
    <row r="208" spans="1:85" ht="15.75" customHeight="1" x14ac:dyDescent="0.45">
      <c r="A208" s="22"/>
      <c r="B208" s="12"/>
      <c r="C208" s="12"/>
      <c r="D208" s="155"/>
      <c r="E208" s="144"/>
      <c r="F208" s="144"/>
      <c r="G208" s="12"/>
      <c r="H208" s="22"/>
      <c r="I208" s="22"/>
      <c r="J208" s="22"/>
      <c r="K208" s="145"/>
      <c r="L208" s="144"/>
      <c r="M208" s="144"/>
      <c r="N208" s="144"/>
      <c r="O208" s="145"/>
      <c r="P208" s="145"/>
      <c r="Q208" s="145"/>
      <c r="R208" s="145"/>
      <c r="S208" s="144"/>
      <c r="T208" s="145"/>
      <c r="U208" s="145"/>
      <c r="V208" s="145"/>
      <c r="W208" s="145"/>
      <c r="X208" s="53"/>
      <c r="Y208" s="74"/>
      <c r="Z208" s="145"/>
      <c r="AA208" s="145"/>
      <c r="AB208" s="145"/>
      <c r="AC208" s="146"/>
      <c r="AD208" s="145"/>
      <c r="AE208" s="145"/>
      <c r="AF208" s="145"/>
      <c r="AG208" s="145"/>
      <c r="AH208" s="146"/>
      <c r="AI208" s="145"/>
      <c r="AJ208" s="145"/>
      <c r="AK208" s="145"/>
      <c r="AL208" s="145"/>
      <c r="AM208" s="145"/>
      <c r="AN208" s="145"/>
      <c r="AO208" s="145"/>
      <c r="AP208" s="74"/>
      <c r="AQ208" s="74"/>
      <c r="AR208" s="74"/>
      <c r="AS208" s="523"/>
      <c r="AT208" s="523"/>
      <c r="AU208" s="523"/>
      <c r="AV208" s="555"/>
      <c r="AW208" s="12"/>
      <c r="AX208" s="12"/>
      <c r="AY208" s="152"/>
      <c r="AZ208" s="22"/>
      <c r="BA208" s="74"/>
      <c r="BB208" s="45"/>
      <c r="BC208" s="22"/>
      <c r="BD208" s="158"/>
      <c r="BE208" s="558"/>
      <c r="BF208" s="45"/>
      <c r="BG208" s="45"/>
      <c r="BH208" s="45"/>
      <c r="BI208" s="45"/>
      <c r="BJ208" s="45"/>
      <c r="BK208" s="45"/>
      <c r="BL208" s="45"/>
      <c r="BM208" s="158"/>
      <c r="BN208" s="558"/>
      <c r="BO208" s="45"/>
      <c r="BP208" s="45"/>
      <c r="BQ208" s="149"/>
      <c r="BR208" s="149"/>
      <c r="BS208" s="149"/>
      <c r="BT208" s="149"/>
      <c r="BU208" s="149"/>
      <c r="BV208" s="559"/>
      <c r="BW208" s="45"/>
      <c r="BX208" s="45"/>
      <c r="BY208" s="45"/>
      <c r="BZ208" s="69"/>
      <c r="CA208" s="69"/>
      <c r="CB208" s="69"/>
      <c r="CC208" s="69"/>
      <c r="CD208" s="69"/>
      <c r="CE208" s="22"/>
      <c r="CF208" s="22"/>
      <c r="CG208" s="22"/>
    </row>
    <row r="209" spans="1:85" ht="15.75" customHeight="1" x14ac:dyDescent="0.45">
      <c r="A209" s="22"/>
      <c r="B209" s="12"/>
      <c r="C209" s="12"/>
      <c r="D209" s="155"/>
      <c r="E209" s="144"/>
      <c r="F209" s="144"/>
      <c r="G209" s="12"/>
      <c r="H209" s="22"/>
      <c r="I209" s="22"/>
      <c r="J209" s="22"/>
      <c r="K209" s="145"/>
      <c r="L209" s="144"/>
      <c r="M209" s="144"/>
      <c r="N209" s="144"/>
      <c r="O209" s="145"/>
      <c r="P209" s="145"/>
      <c r="Q209" s="145"/>
      <c r="R209" s="145"/>
      <c r="S209" s="144"/>
      <c r="T209" s="145"/>
      <c r="U209" s="145"/>
      <c r="V209" s="145"/>
      <c r="W209" s="145"/>
      <c r="X209" s="53"/>
      <c r="Y209" s="74"/>
      <c r="Z209" s="145"/>
      <c r="AA209" s="145"/>
      <c r="AB209" s="145"/>
      <c r="AC209" s="146"/>
      <c r="AD209" s="145"/>
      <c r="AE209" s="145"/>
      <c r="AF209" s="145"/>
      <c r="AG209" s="145"/>
      <c r="AH209" s="146"/>
      <c r="AI209" s="145"/>
      <c r="AJ209" s="145"/>
      <c r="AK209" s="145"/>
      <c r="AL209" s="145"/>
      <c r="AM209" s="145"/>
      <c r="AN209" s="145"/>
      <c r="AO209" s="145"/>
      <c r="AP209" s="74"/>
      <c r="AQ209" s="74"/>
      <c r="AR209" s="74"/>
      <c r="AS209" s="523"/>
      <c r="AT209" s="523"/>
      <c r="AU209" s="523"/>
      <c r="AV209" s="555"/>
      <c r="AW209" s="12"/>
      <c r="AX209" s="12"/>
      <c r="AY209" s="152"/>
      <c r="AZ209" s="22"/>
      <c r="BA209" s="74"/>
      <c r="BB209" s="45"/>
      <c r="BC209" s="22"/>
      <c r="BD209" s="158"/>
      <c r="BE209" s="558"/>
      <c r="BF209" s="45"/>
      <c r="BG209" s="45"/>
      <c r="BH209" s="45"/>
      <c r="BI209" s="45"/>
      <c r="BJ209" s="45"/>
      <c r="BK209" s="45"/>
      <c r="BL209" s="45"/>
      <c r="BM209" s="158"/>
      <c r="BN209" s="558"/>
      <c r="BO209" s="45"/>
      <c r="BP209" s="45"/>
      <c r="BQ209" s="22"/>
      <c r="BR209" s="22"/>
      <c r="BS209" s="22"/>
      <c r="BT209" s="22"/>
      <c r="BU209" s="22"/>
      <c r="BV209" s="559"/>
      <c r="BW209" s="45"/>
      <c r="BX209" s="45"/>
      <c r="BY209" s="45"/>
      <c r="BZ209" s="69"/>
      <c r="CA209" s="69"/>
      <c r="CB209" s="69"/>
      <c r="CC209" s="69"/>
      <c r="CD209" s="69"/>
      <c r="CE209" s="22"/>
      <c r="CF209" s="22"/>
      <c r="CG209" s="22"/>
    </row>
    <row r="210" spans="1:85" ht="15.75" customHeight="1" x14ac:dyDescent="0.45">
      <c r="A210" s="22"/>
      <c r="B210" s="12"/>
      <c r="C210" s="12"/>
      <c r="D210" s="155"/>
      <c r="E210" s="144"/>
      <c r="F210" s="144"/>
      <c r="G210" s="12"/>
      <c r="H210" s="22"/>
      <c r="I210" s="22"/>
      <c r="J210" s="22"/>
      <c r="K210" s="145"/>
      <c r="L210" s="144"/>
      <c r="M210" s="144"/>
      <c r="N210" s="144"/>
      <c r="O210" s="145"/>
      <c r="P210" s="145"/>
      <c r="Q210" s="145"/>
      <c r="R210" s="145"/>
      <c r="S210" s="144"/>
      <c r="T210" s="145"/>
      <c r="U210" s="145"/>
      <c r="V210" s="145"/>
      <c r="W210" s="145"/>
      <c r="X210" s="53"/>
      <c r="Y210" s="74"/>
      <c r="Z210" s="145"/>
      <c r="AA210" s="145"/>
      <c r="AB210" s="145"/>
      <c r="AC210" s="146"/>
      <c r="AD210" s="145"/>
      <c r="AE210" s="145"/>
      <c r="AF210" s="145"/>
      <c r="AG210" s="145"/>
      <c r="AH210" s="146"/>
      <c r="AI210" s="145"/>
      <c r="AJ210" s="145"/>
      <c r="AK210" s="145"/>
      <c r="AL210" s="145"/>
      <c r="AM210" s="145"/>
      <c r="AN210" s="145"/>
      <c r="AO210" s="145"/>
      <c r="AP210" s="74"/>
      <c r="AQ210" s="74"/>
      <c r="AR210" s="74"/>
      <c r="AS210" s="523"/>
      <c r="AT210" s="523"/>
      <c r="AU210" s="523"/>
      <c r="AV210" s="555"/>
      <c r="AW210" s="12"/>
      <c r="AX210" s="12"/>
      <c r="AY210" s="152"/>
      <c r="AZ210" s="22"/>
      <c r="BA210" s="74"/>
      <c r="BB210" s="45"/>
      <c r="BC210" s="22"/>
      <c r="BD210" s="158"/>
      <c r="BE210" s="558"/>
      <c r="BF210" s="45"/>
      <c r="BG210" s="45"/>
      <c r="BH210" s="45"/>
      <c r="BI210" s="45"/>
      <c r="BJ210" s="45"/>
      <c r="BK210" s="45"/>
      <c r="BL210" s="45"/>
      <c r="BM210" s="158"/>
      <c r="BN210" s="558"/>
      <c r="BO210" s="45"/>
      <c r="BP210" s="45"/>
      <c r="BQ210" s="532"/>
      <c r="BR210" s="532"/>
      <c r="BS210" s="532"/>
      <c r="BT210" s="532"/>
      <c r="BU210" s="532"/>
      <c r="BV210" s="559"/>
      <c r="BW210" s="45"/>
      <c r="BX210" s="45"/>
      <c r="BY210" s="45"/>
      <c r="BZ210" s="69"/>
      <c r="CA210" s="69"/>
      <c r="CB210" s="69"/>
      <c r="CC210" s="69"/>
      <c r="CD210" s="69"/>
      <c r="CE210" s="22"/>
      <c r="CF210" s="22"/>
      <c r="CG210" s="22"/>
    </row>
    <row r="211" spans="1:85" ht="15.75" customHeight="1" x14ac:dyDescent="0.45">
      <c r="A211" s="22"/>
      <c r="B211" s="12"/>
      <c r="C211" s="12"/>
      <c r="D211" s="155"/>
      <c r="E211" s="144"/>
      <c r="F211" s="144"/>
      <c r="G211" s="12"/>
      <c r="H211" s="22"/>
      <c r="I211" s="22"/>
      <c r="J211" s="22"/>
      <c r="K211" s="145"/>
      <c r="L211" s="144"/>
      <c r="M211" s="144"/>
      <c r="N211" s="144"/>
      <c r="O211" s="145"/>
      <c r="P211" s="145"/>
      <c r="Q211" s="145"/>
      <c r="R211" s="145"/>
      <c r="S211" s="144"/>
      <c r="T211" s="145"/>
      <c r="U211" s="145"/>
      <c r="V211" s="145"/>
      <c r="W211" s="145"/>
      <c r="X211" s="53"/>
      <c r="Y211" s="74"/>
      <c r="Z211" s="145"/>
      <c r="AA211" s="145"/>
      <c r="AB211" s="145"/>
      <c r="AC211" s="146"/>
      <c r="AD211" s="145"/>
      <c r="AE211" s="145"/>
      <c r="AF211" s="145"/>
      <c r="AG211" s="145"/>
      <c r="AH211" s="146"/>
      <c r="AI211" s="145"/>
      <c r="AJ211" s="145"/>
      <c r="AK211" s="145"/>
      <c r="AL211" s="145"/>
      <c r="AM211" s="145"/>
      <c r="AN211" s="145"/>
      <c r="AO211" s="145"/>
      <c r="AP211" s="74"/>
      <c r="AQ211" s="74"/>
      <c r="AR211" s="74"/>
      <c r="AS211" s="523"/>
      <c r="AT211" s="523"/>
      <c r="AU211" s="523"/>
      <c r="AV211" s="555"/>
      <c r="AW211" s="12"/>
      <c r="AX211" s="12"/>
      <c r="AY211" s="152"/>
      <c r="AZ211" s="22"/>
      <c r="BA211" s="74"/>
      <c r="BB211" s="45"/>
      <c r="BC211" s="22"/>
      <c r="BD211" s="158"/>
      <c r="BE211" s="558"/>
      <c r="BF211" s="45"/>
      <c r="BG211" s="45"/>
      <c r="BH211" s="45"/>
      <c r="BI211" s="45"/>
      <c r="BJ211" s="45"/>
      <c r="BK211" s="45"/>
      <c r="BL211" s="45"/>
      <c r="BM211" s="158"/>
      <c r="BN211" s="558"/>
      <c r="BO211" s="45"/>
      <c r="BP211" s="45"/>
      <c r="BQ211" s="532"/>
      <c r="BR211" s="532"/>
      <c r="BS211" s="532"/>
      <c r="BT211" s="532"/>
      <c r="BU211" s="532"/>
      <c r="BV211" s="559"/>
      <c r="BW211" s="45"/>
      <c r="BX211" s="45"/>
      <c r="BY211" s="45"/>
      <c r="BZ211" s="69"/>
      <c r="CA211" s="69"/>
      <c r="CB211" s="69"/>
      <c r="CC211" s="69"/>
      <c r="CD211" s="69"/>
      <c r="CE211" s="22"/>
      <c r="CF211" s="22"/>
      <c r="CG211" s="22"/>
    </row>
    <row r="212" spans="1:85" ht="15.75" customHeight="1" x14ac:dyDescent="0.45">
      <c r="A212" s="22"/>
      <c r="B212" s="12"/>
      <c r="C212" s="12"/>
      <c r="D212" s="155"/>
      <c r="E212" s="144"/>
      <c r="F212" s="144"/>
      <c r="G212" s="12"/>
      <c r="H212" s="22"/>
      <c r="I212" s="22"/>
      <c r="J212" s="22"/>
      <c r="K212" s="145"/>
      <c r="L212" s="144"/>
      <c r="M212" s="144"/>
      <c r="N212" s="144"/>
      <c r="O212" s="145"/>
      <c r="P212" s="145"/>
      <c r="Q212" s="145"/>
      <c r="R212" s="145"/>
      <c r="S212" s="144"/>
      <c r="T212" s="145"/>
      <c r="U212" s="145"/>
      <c r="V212" s="145"/>
      <c r="W212" s="145"/>
      <c r="X212" s="53"/>
      <c r="Y212" s="74"/>
      <c r="Z212" s="145"/>
      <c r="AA212" s="145"/>
      <c r="AB212" s="145"/>
      <c r="AC212" s="146"/>
      <c r="AD212" s="145"/>
      <c r="AE212" s="145"/>
      <c r="AF212" s="145"/>
      <c r="AG212" s="145"/>
      <c r="AH212" s="146"/>
      <c r="AI212" s="145"/>
      <c r="AJ212" s="145"/>
      <c r="AK212" s="145"/>
      <c r="AL212" s="145"/>
      <c r="AM212" s="145"/>
      <c r="AN212" s="145"/>
      <c r="AO212" s="145"/>
      <c r="AP212" s="74"/>
      <c r="AQ212" s="74"/>
      <c r="AR212" s="74"/>
      <c r="AS212" s="523"/>
      <c r="AT212" s="523"/>
      <c r="AU212" s="523"/>
      <c r="AV212" s="555"/>
      <c r="AW212" s="12"/>
      <c r="AX212" s="12"/>
      <c r="AY212" s="152"/>
      <c r="AZ212" s="22"/>
      <c r="BA212" s="74"/>
      <c r="BB212" s="45"/>
      <c r="BC212" s="22"/>
      <c r="BD212" s="158"/>
      <c r="BE212" s="558"/>
      <c r="BF212" s="45"/>
      <c r="BG212" s="45"/>
      <c r="BH212" s="45"/>
      <c r="BI212" s="45"/>
      <c r="BJ212" s="45"/>
      <c r="BK212" s="45"/>
      <c r="BL212" s="45"/>
      <c r="BM212" s="158"/>
      <c r="BN212" s="558"/>
      <c r="BO212" s="45"/>
      <c r="BP212" s="45"/>
      <c r="BQ212" s="532"/>
      <c r="BR212" s="532"/>
      <c r="BS212" s="532"/>
      <c r="BT212" s="532"/>
      <c r="BU212" s="532"/>
      <c r="BV212" s="559"/>
      <c r="BW212" s="45"/>
      <c r="BX212" s="45"/>
      <c r="BY212" s="45"/>
      <c r="BZ212" s="69"/>
      <c r="CA212" s="69"/>
      <c r="CB212" s="69"/>
      <c r="CC212" s="69"/>
      <c r="CD212" s="69"/>
      <c r="CE212" s="22"/>
      <c r="CF212" s="22"/>
      <c r="CG212" s="22"/>
    </row>
    <row r="213" spans="1:85" ht="15.75" customHeight="1" x14ac:dyDescent="0.45">
      <c r="A213" s="22"/>
      <c r="B213" s="12"/>
      <c r="C213" s="12"/>
      <c r="D213" s="155"/>
      <c r="E213" s="144"/>
      <c r="F213" s="144"/>
      <c r="G213" s="12"/>
      <c r="H213" s="22"/>
      <c r="I213" s="22"/>
      <c r="J213" s="22"/>
      <c r="K213" s="145"/>
      <c r="L213" s="144"/>
      <c r="M213" s="144"/>
      <c r="N213" s="144"/>
      <c r="O213" s="145"/>
      <c r="P213" s="145"/>
      <c r="Q213" s="145"/>
      <c r="R213" s="145"/>
      <c r="S213" s="144"/>
      <c r="T213" s="145"/>
      <c r="U213" s="145"/>
      <c r="V213" s="145"/>
      <c r="W213" s="145"/>
      <c r="X213" s="53"/>
      <c r="Y213" s="74"/>
      <c r="Z213" s="145"/>
      <c r="AA213" s="145"/>
      <c r="AB213" s="145"/>
      <c r="AC213" s="146"/>
      <c r="AD213" s="145"/>
      <c r="AE213" s="145"/>
      <c r="AF213" s="145"/>
      <c r="AG213" s="145"/>
      <c r="AH213" s="146"/>
      <c r="AI213" s="145"/>
      <c r="AJ213" s="145"/>
      <c r="AK213" s="145"/>
      <c r="AL213" s="145"/>
      <c r="AM213" s="145"/>
      <c r="AN213" s="145"/>
      <c r="AO213" s="145"/>
      <c r="AP213" s="74"/>
      <c r="AQ213" s="74"/>
      <c r="AR213" s="74"/>
      <c r="AS213" s="523"/>
      <c r="AT213" s="523"/>
      <c r="AU213" s="523"/>
      <c r="AV213" s="555"/>
      <c r="AW213" s="12"/>
      <c r="AX213" s="12"/>
      <c r="AY213" s="152"/>
      <c r="AZ213" s="22"/>
      <c r="BA213" s="74"/>
      <c r="BB213" s="45"/>
      <c r="BC213" s="22"/>
      <c r="BD213" s="158"/>
      <c r="BE213" s="558"/>
      <c r="BF213" s="45"/>
      <c r="BG213" s="45"/>
      <c r="BH213" s="45"/>
      <c r="BI213" s="45"/>
      <c r="BJ213" s="45"/>
      <c r="BK213" s="45"/>
      <c r="BL213" s="45"/>
      <c r="BM213" s="158"/>
      <c r="BN213" s="558"/>
      <c r="BO213" s="45"/>
      <c r="BP213" s="45"/>
      <c r="BQ213" s="532"/>
      <c r="BR213" s="532"/>
      <c r="BS213" s="532"/>
      <c r="BT213" s="532"/>
      <c r="BU213" s="532"/>
      <c r="BV213" s="559"/>
      <c r="BW213" s="45"/>
      <c r="BX213" s="45"/>
      <c r="BY213" s="45"/>
      <c r="BZ213" s="69"/>
      <c r="CA213" s="69"/>
      <c r="CB213" s="69"/>
      <c r="CC213" s="69"/>
      <c r="CD213" s="69"/>
      <c r="CE213" s="22"/>
      <c r="CF213" s="22"/>
      <c r="CG213" s="22"/>
    </row>
    <row r="214" spans="1:85" ht="15.75" customHeight="1" x14ac:dyDescent="0.45">
      <c r="A214" s="22"/>
      <c r="B214" s="12"/>
      <c r="C214" s="12"/>
      <c r="D214" s="155"/>
      <c r="E214" s="144"/>
      <c r="F214" s="144"/>
      <c r="G214" s="12"/>
      <c r="H214" s="22"/>
      <c r="I214" s="22"/>
      <c r="J214" s="22"/>
      <c r="K214" s="145"/>
      <c r="L214" s="144"/>
      <c r="M214" s="144"/>
      <c r="N214" s="144"/>
      <c r="O214" s="145"/>
      <c r="P214" s="145"/>
      <c r="Q214" s="145"/>
      <c r="R214" s="145"/>
      <c r="S214" s="144"/>
      <c r="T214" s="145"/>
      <c r="U214" s="145"/>
      <c r="V214" s="145"/>
      <c r="W214" s="145"/>
      <c r="X214" s="53"/>
      <c r="Y214" s="74"/>
      <c r="Z214" s="145"/>
      <c r="AA214" s="145"/>
      <c r="AB214" s="145"/>
      <c r="AC214" s="146"/>
      <c r="AD214" s="145"/>
      <c r="AE214" s="145"/>
      <c r="AF214" s="145"/>
      <c r="AG214" s="145"/>
      <c r="AH214" s="146"/>
      <c r="AI214" s="145"/>
      <c r="AJ214" s="145"/>
      <c r="AK214" s="145"/>
      <c r="AL214" s="145"/>
      <c r="AM214" s="145"/>
      <c r="AN214" s="145"/>
      <c r="AO214" s="145"/>
      <c r="AP214" s="74"/>
      <c r="AQ214" s="74"/>
      <c r="AR214" s="74"/>
      <c r="AS214" s="523"/>
      <c r="AT214" s="523"/>
      <c r="AU214" s="523"/>
      <c r="AV214" s="555"/>
      <c r="AW214" s="12"/>
      <c r="AX214" s="12"/>
      <c r="AY214" s="152"/>
      <c r="AZ214" s="22"/>
      <c r="BA214" s="74"/>
      <c r="BB214" s="45"/>
      <c r="BC214" s="22"/>
      <c r="BD214" s="158"/>
      <c r="BE214" s="558"/>
      <c r="BF214" s="45"/>
      <c r="BG214" s="45"/>
      <c r="BH214" s="45"/>
      <c r="BI214" s="45"/>
      <c r="BJ214" s="45"/>
      <c r="BK214" s="45"/>
      <c r="BL214" s="45"/>
      <c r="BM214" s="158"/>
      <c r="BN214" s="558"/>
      <c r="BO214" s="45"/>
      <c r="BP214" s="45"/>
      <c r="BQ214" s="149"/>
      <c r="BR214" s="149"/>
      <c r="BS214" s="149"/>
      <c r="BT214" s="149"/>
      <c r="BU214" s="149"/>
      <c r="BV214" s="559"/>
      <c r="BW214" s="45"/>
      <c r="BX214" s="45"/>
      <c r="BY214" s="45"/>
      <c r="BZ214" s="69"/>
      <c r="CA214" s="69"/>
      <c r="CB214" s="69"/>
      <c r="CC214" s="69"/>
      <c r="CD214" s="69"/>
      <c r="CE214" s="22"/>
      <c r="CF214" s="22"/>
      <c r="CG214" s="22"/>
    </row>
    <row r="215" spans="1:85" ht="15.75" customHeight="1" x14ac:dyDescent="0.45">
      <c r="A215" s="22"/>
      <c r="B215" s="12"/>
      <c r="C215" s="12"/>
      <c r="D215" s="155"/>
      <c r="E215" s="144"/>
      <c r="F215" s="144"/>
      <c r="G215" s="12"/>
      <c r="H215" s="22"/>
      <c r="I215" s="22"/>
      <c r="J215" s="22"/>
      <c r="K215" s="145"/>
      <c r="L215" s="144"/>
      <c r="M215" s="144"/>
      <c r="N215" s="144"/>
      <c r="O215" s="145"/>
      <c r="P215" s="145"/>
      <c r="Q215" s="145"/>
      <c r="R215" s="145"/>
      <c r="S215" s="144"/>
      <c r="T215" s="145"/>
      <c r="U215" s="145"/>
      <c r="V215" s="145"/>
      <c r="W215" s="145"/>
      <c r="X215" s="53"/>
      <c r="Y215" s="74"/>
      <c r="Z215" s="145"/>
      <c r="AA215" s="145"/>
      <c r="AB215" s="145"/>
      <c r="AC215" s="146"/>
      <c r="AD215" s="145"/>
      <c r="AE215" s="145"/>
      <c r="AF215" s="145"/>
      <c r="AG215" s="145"/>
      <c r="AH215" s="146"/>
      <c r="AI215" s="145"/>
      <c r="AJ215" s="145"/>
      <c r="AK215" s="145"/>
      <c r="AL215" s="145"/>
      <c r="AM215" s="145"/>
      <c r="AN215" s="145"/>
      <c r="AO215" s="145"/>
      <c r="AP215" s="74"/>
      <c r="AQ215" s="74"/>
      <c r="AR215" s="74"/>
      <c r="AS215" s="523"/>
      <c r="AT215" s="523"/>
      <c r="AU215" s="523"/>
      <c r="AV215" s="555"/>
      <c r="AW215" s="12"/>
      <c r="AX215" s="12"/>
      <c r="AY215" s="152"/>
      <c r="AZ215" s="22"/>
      <c r="BA215" s="74"/>
      <c r="BB215" s="45"/>
      <c r="BC215" s="22"/>
      <c r="BD215" s="158"/>
      <c r="BE215" s="558"/>
      <c r="BF215" s="45"/>
      <c r="BG215" s="45"/>
      <c r="BH215" s="45"/>
      <c r="BI215" s="45"/>
      <c r="BJ215" s="45"/>
      <c r="BK215" s="45"/>
      <c r="BL215" s="45"/>
      <c r="BM215" s="158"/>
      <c r="BN215" s="558"/>
      <c r="BO215" s="45"/>
      <c r="BP215" s="45"/>
      <c r="BQ215" s="149"/>
      <c r="BR215" s="149"/>
      <c r="BS215" s="149"/>
      <c r="BT215" s="149"/>
      <c r="BU215" s="149"/>
      <c r="BV215" s="559"/>
      <c r="BW215" s="45"/>
      <c r="BX215" s="45"/>
      <c r="BY215" s="45"/>
      <c r="BZ215" s="69"/>
      <c r="CA215" s="69"/>
      <c r="CB215" s="69"/>
      <c r="CC215" s="69"/>
      <c r="CD215" s="69"/>
      <c r="CE215" s="22"/>
      <c r="CF215" s="22"/>
      <c r="CG215" s="22"/>
    </row>
    <row r="216" spans="1:85" ht="15.75" customHeight="1" x14ac:dyDescent="0.45">
      <c r="A216" s="22"/>
      <c r="B216" s="12"/>
      <c r="C216" s="12"/>
      <c r="D216" s="155"/>
      <c r="E216" s="144"/>
      <c r="F216" s="144"/>
      <c r="G216" s="12"/>
      <c r="H216" s="22"/>
      <c r="I216" s="22"/>
      <c r="J216" s="22"/>
      <c r="K216" s="145"/>
      <c r="L216" s="144"/>
      <c r="M216" s="144"/>
      <c r="N216" s="144"/>
      <c r="O216" s="145"/>
      <c r="P216" s="145"/>
      <c r="Q216" s="145"/>
      <c r="R216" s="145"/>
      <c r="S216" s="144"/>
      <c r="T216" s="145"/>
      <c r="U216" s="145"/>
      <c r="V216" s="145"/>
      <c r="W216" s="145"/>
      <c r="X216" s="53"/>
      <c r="Y216" s="74"/>
      <c r="Z216" s="145"/>
      <c r="AA216" s="145"/>
      <c r="AB216" s="145"/>
      <c r="AC216" s="146"/>
      <c r="AD216" s="145"/>
      <c r="AE216" s="145"/>
      <c r="AF216" s="145"/>
      <c r="AG216" s="145"/>
      <c r="AH216" s="146"/>
      <c r="AI216" s="145"/>
      <c r="AJ216" s="145"/>
      <c r="AK216" s="145"/>
      <c r="AL216" s="145"/>
      <c r="AM216" s="145"/>
      <c r="AN216" s="145"/>
      <c r="AO216" s="145"/>
      <c r="AP216" s="74"/>
      <c r="AQ216" s="74"/>
      <c r="AR216" s="74"/>
      <c r="AS216" s="523"/>
      <c r="AT216" s="523"/>
      <c r="AU216" s="523"/>
      <c r="AV216" s="555"/>
      <c r="AW216" s="12"/>
      <c r="AX216" s="12"/>
      <c r="AY216" s="152"/>
      <c r="AZ216" s="22"/>
      <c r="BA216" s="74"/>
      <c r="BB216" s="45"/>
      <c r="BC216" s="22"/>
      <c r="BD216" s="158"/>
      <c r="BE216" s="558"/>
      <c r="BF216" s="45"/>
      <c r="BG216" s="45"/>
      <c r="BH216" s="45"/>
      <c r="BI216" s="45"/>
      <c r="BJ216" s="45"/>
      <c r="BK216" s="45"/>
      <c r="BL216" s="45"/>
      <c r="BM216" s="158"/>
      <c r="BN216" s="558"/>
      <c r="BO216" s="45"/>
      <c r="BP216" s="45"/>
      <c r="BQ216" s="149"/>
      <c r="BR216" s="149"/>
      <c r="BS216" s="149"/>
      <c r="BT216" s="149"/>
      <c r="BU216" s="149"/>
      <c r="BV216" s="559"/>
      <c r="BW216" s="45"/>
      <c r="BX216" s="45"/>
      <c r="BY216" s="45"/>
      <c r="BZ216" s="69"/>
      <c r="CA216" s="69"/>
      <c r="CB216" s="69"/>
      <c r="CC216" s="69"/>
      <c r="CD216" s="69"/>
      <c r="CE216" s="22"/>
      <c r="CF216" s="22"/>
      <c r="CG216" s="22"/>
    </row>
    <row r="217" spans="1:85" ht="15.75" customHeight="1" x14ac:dyDescent="0.45">
      <c r="A217" s="22"/>
      <c r="B217" s="12"/>
      <c r="C217" s="12"/>
      <c r="D217" s="155"/>
      <c r="E217" s="144"/>
      <c r="F217" s="144"/>
      <c r="G217" s="12"/>
      <c r="H217" s="22"/>
      <c r="I217" s="22"/>
      <c r="J217" s="22"/>
      <c r="K217" s="145"/>
      <c r="L217" s="144"/>
      <c r="M217" s="144"/>
      <c r="N217" s="144"/>
      <c r="O217" s="145"/>
      <c r="P217" s="145"/>
      <c r="Q217" s="145"/>
      <c r="R217" s="145"/>
      <c r="S217" s="144"/>
      <c r="T217" s="145"/>
      <c r="U217" s="145"/>
      <c r="V217" s="145"/>
      <c r="W217" s="145"/>
      <c r="X217" s="53"/>
      <c r="Y217" s="74"/>
      <c r="Z217" s="145"/>
      <c r="AA217" s="145"/>
      <c r="AB217" s="145"/>
      <c r="AC217" s="146"/>
      <c r="AD217" s="145"/>
      <c r="AE217" s="145"/>
      <c r="AF217" s="145"/>
      <c r="AG217" s="145"/>
      <c r="AH217" s="146"/>
      <c r="AI217" s="145"/>
      <c r="AJ217" s="145"/>
      <c r="AK217" s="145"/>
      <c r="AL217" s="145"/>
      <c r="AM217" s="145"/>
      <c r="AN217" s="145"/>
      <c r="AO217" s="145"/>
      <c r="AP217" s="74"/>
      <c r="AQ217" s="74"/>
      <c r="AR217" s="74"/>
      <c r="AS217" s="523"/>
      <c r="AT217" s="523"/>
      <c r="AU217" s="523"/>
      <c r="AV217" s="555"/>
      <c r="AW217" s="12"/>
      <c r="AX217" s="12"/>
      <c r="AY217" s="152"/>
      <c r="AZ217" s="22"/>
      <c r="BA217" s="74"/>
      <c r="BB217" s="45"/>
      <c r="BC217" s="22"/>
      <c r="BD217" s="158"/>
      <c r="BE217" s="558"/>
      <c r="BF217" s="45"/>
      <c r="BG217" s="45"/>
      <c r="BH217" s="45"/>
      <c r="BI217" s="45"/>
      <c r="BJ217" s="45"/>
      <c r="BK217" s="45"/>
      <c r="BL217" s="45"/>
      <c r="BM217" s="158"/>
      <c r="BN217" s="558"/>
      <c r="BO217" s="45"/>
      <c r="BP217" s="45"/>
      <c r="BQ217" s="149"/>
      <c r="BR217" s="149"/>
      <c r="BS217" s="149"/>
      <c r="BT217" s="149"/>
      <c r="BU217" s="149"/>
      <c r="BV217" s="559"/>
      <c r="BW217" s="45"/>
      <c r="BX217" s="45"/>
      <c r="BY217" s="45"/>
      <c r="BZ217" s="69"/>
      <c r="CA217" s="69"/>
      <c r="CB217" s="69"/>
      <c r="CC217" s="69"/>
      <c r="CD217" s="69"/>
      <c r="CE217" s="22"/>
      <c r="CF217" s="22"/>
      <c r="CG217" s="22"/>
    </row>
    <row r="218" spans="1:85" ht="15.75" customHeight="1" x14ac:dyDescent="0.45">
      <c r="A218" s="22"/>
      <c r="B218" s="12"/>
      <c r="C218" s="12"/>
      <c r="D218" s="155"/>
      <c r="E218" s="144"/>
      <c r="F218" s="144"/>
      <c r="G218" s="12"/>
      <c r="H218" s="22"/>
      <c r="I218" s="22"/>
      <c r="J218" s="22"/>
      <c r="K218" s="145"/>
      <c r="L218" s="144"/>
      <c r="M218" s="144"/>
      <c r="N218" s="144"/>
      <c r="O218" s="145"/>
      <c r="P218" s="145"/>
      <c r="Q218" s="145"/>
      <c r="R218" s="145"/>
      <c r="S218" s="144"/>
      <c r="T218" s="145"/>
      <c r="U218" s="145"/>
      <c r="V218" s="145"/>
      <c r="W218" s="145"/>
      <c r="X218" s="53"/>
      <c r="Y218" s="74"/>
      <c r="Z218" s="145"/>
      <c r="AA218" s="145"/>
      <c r="AB218" s="145"/>
      <c r="AC218" s="146"/>
      <c r="AD218" s="145"/>
      <c r="AE218" s="145"/>
      <c r="AF218" s="145"/>
      <c r="AG218" s="145"/>
      <c r="AH218" s="146"/>
      <c r="AI218" s="145"/>
      <c r="AJ218" s="145"/>
      <c r="AK218" s="145"/>
      <c r="AL218" s="145"/>
      <c r="AM218" s="145"/>
      <c r="AN218" s="145"/>
      <c r="AO218" s="145"/>
      <c r="AP218" s="74"/>
      <c r="AQ218" s="74"/>
      <c r="AR218" s="74"/>
      <c r="AS218" s="523"/>
      <c r="AT218" s="523"/>
      <c r="AU218" s="523"/>
      <c r="AV218" s="555"/>
      <c r="AW218" s="12"/>
      <c r="AX218" s="12"/>
      <c r="AY218" s="152"/>
      <c r="AZ218" s="22"/>
      <c r="BA218" s="74"/>
      <c r="BB218" s="45"/>
      <c r="BC218" s="22"/>
      <c r="BD218" s="158"/>
      <c r="BE218" s="558"/>
      <c r="BF218" s="45"/>
      <c r="BG218" s="45"/>
      <c r="BH218" s="45"/>
      <c r="BI218" s="45"/>
      <c r="BJ218" s="45"/>
      <c r="BK218" s="45"/>
      <c r="BL218" s="45"/>
      <c r="BM218" s="158"/>
      <c r="BN218" s="558"/>
      <c r="BO218" s="45"/>
      <c r="BP218" s="45"/>
      <c r="BQ218" s="149"/>
      <c r="BR218" s="149"/>
      <c r="BS218" s="149"/>
      <c r="BT218" s="149"/>
      <c r="BU218" s="149"/>
      <c r="BV218" s="559"/>
      <c r="BW218" s="45"/>
      <c r="BX218" s="45"/>
      <c r="BY218" s="45"/>
      <c r="BZ218" s="69"/>
      <c r="CA218" s="69"/>
      <c r="CB218" s="69"/>
      <c r="CC218" s="69"/>
      <c r="CD218" s="69"/>
      <c r="CE218" s="22"/>
      <c r="CF218" s="22"/>
      <c r="CG218" s="22"/>
    </row>
    <row r="219" spans="1:85" ht="15.75" customHeight="1" x14ac:dyDescent="0.45">
      <c r="A219" s="22"/>
      <c r="B219" s="12"/>
      <c r="C219" s="12"/>
      <c r="D219" s="155"/>
      <c r="E219" s="144"/>
      <c r="F219" s="144"/>
      <c r="G219" s="12"/>
      <c r="H219" s="22"/>
      <c r="I219" s="22"/>
      <c r="J219" s="22"/>
      <c r="K219" s="145"/>
      <c r="L219" s="144"/>
      <c r="M219" s="144"/>
      <c r="N219" s="144"/>
      <c r="O219" s="145"/>
      <c r="P219" s="145"/>
      <c r="Q219" s="145"/>
      <c r="R219" s="145"/>
      <c r="S219" s="144"/>
      <c r="T219" s="145"/>
      <c r="U219" s="145"/>
      <c r="V219" s="145"/>
      <c r="W219" s="145"/>
      <c r="X219" s="53"/>
      <c r="Y219" s="74"/>
      <c r="Z219" s="145"/>
      <c r="AA219" s="145"/>
      <c r="AB219" s="145"/>
      <c r="AC219" s="146"/>
      <c r="AD219" s="145"/>
      <c r="AE219" s="145"/>
      <c r="AF219" s="145"/>
      <c r="AG219" s="145"/>
      <c r="AH219" s="146"/>
      <c r="AI219" s="145"/>
      <c r="AJ219" s="145"/>
      <c r="AK219" s="145"/>
      <c r="AL219" s="145"/>
      <c r="AM219" s="145"/>
      <c r="AN219" s="145"/>
      <c r="AO219" s="145"/>
      <c r="AP219" s="74"/>
      <c r="AQ219" s="74"/>
      <c r="AR219" s="74"/>
      <c r="AS219" s="523"/>
      <c r="AT219" s="523"/>
      <c r="AU219" s="523"/>
      <c r="AV219" s="555"/>
      <c r="AW219" s="12"/>
      <c r="AX219" s="12"/>
      <c r="AY219" s="152"/>
      <c r="AZ219" s="22"/>
      <c r="BA219" s="74"/>
      <c r="BB219" s="45"/>
      <c r="BC219" s="22"/>
      <c r="BD219" s="158"/>
      <c r="BE219" s="558"/>
      <c r="BF219" s="45"/>
      <c r="BG219" s="45"/>
      <c r="BH219" s="45"/>
      <c r="BI219" s="45"/>
      <c r="BJ219" s="45"/>
      <c r="BK219" s="45"/>
      <c r="BL219" s="45"/>
      <c r="BM219" s="158"/>
      <c r="BN219" s="558"/>
      <c r="BO219" s="45"/>
      <c r="BP219" s="45"/>
      <c r="BQ219" s="149"/>
      <c r="BR219" s="149"/>
      <c r="BS219" s="149"/>
      <c r="BT219" s="149"/>
      <c r="BU219" s="149"/>
      <c r="BV219" s="559"/>
      <c r="BW219" s="45"/>
      <c r="BX219" s="45"/>
      <c r="BY219" s="45"/>
      <c r="BZ219" s="69"/>
      <c r="CA219" s="69"/>
      <c r="CB219" s="69"/>
      <c r="CC219" s="69"/>
      <c r="CD219" s="69"/>
      <c r="CE219" s="22"/>
      <c r="CF219" s="22"/>
      <c r="CG219" s="22"/>
    </row>
    <row r="220" spans="1:85" ht="15.75" customHeight="1" x14ac:dyDescent="0.45">
      <c r="A220" s="22"/>
      <c r="B220" s="12"/>
      <c r="C220" s="12"/>
      <c r="D220" s="155"/>
      <c r="E220" s="144"/>
      <c r="F220" s="144"/>
      <c r="G220" s="12"/>
      <c r="H220" s="22"/>
      <c r="I220" s="22"/>
      <c r="J220" s="22"/>
      <c r="K220" s="145"/>
      <c r="L220" s="144"/>
      <c r="M220" s="144"/>
      <c r="N220" s="144"/>
      <c r="O220" s="145"/>
      <c r="P220" s="145"/>
      <c r="Q220" s="145"/>
      <c r="R220" s="145"/>
      <c r="S220" s="144"/>
      <c r="T220" s="145"/>
      <c r="U220" s="145"/>
      <c r="V220" s="145"/>
      <c r="W220" s="145"/>
      <c r="X220" s="53"/>
      <c r="Y220" s="74"/>
      <c r="Z220" s="145"/>
      <c r="AA220" s="145"/>
      <c r="AB220" s="145"/>
      <c r="AC220" s="146"/>
      <c r="AD220" s="145"/>
      <c r="AE220" s="145"/>
      <c r="AF220" s="145"/>
      <c r="AG220" s="145"/>
      <c r="AH220" s="146"/>
      <c r="AI220" s="145"/>
      <c r="AJ220" s="145"/>
      <c r="AK220" s="145"/>
      <c r="AL220" s="145"/>
      <c r="AM220" s="145"/>
      <c r="AN220" s="145"/>
      <c r="AO220" s="145"/>
      <c r="AP220" s="74"/>
      <c r="AQ220" s="74"/>
      <c r="AR220" s="74"/>
      <c r="AS220" s="523"/>
      <c r="AT220" s="523"/>
      <c r="AU220" s="523"/>
      <c r="AV220" s="555"/>
      <c r="AW220" s="12"/>
      <c r="AX220" s="12"/>
      <c r="AY220" s="152"/>
      <c r="AZ220" s="22"/>
      <c r="BA220" s="74"/>
      <c r="BB220" s="45"/>
      <c r="BC220" s="22"/>
      <c r="BD220" s="158"/>
      <c r="BE220" s="558"/>
      <c r="BF220" s="45"/>
      <c r="BG220" s="45"/>
      <c r="BH220" s="45"/>
      <c r="BI220" s="45"/>
      <c r="BJ220" s="45"/>
      <c r="BK220" s="45"/>
      <c r="BL220" s="45"/>
      <c r="BM220" s="158"/>
      <c r="BN220" s="558"/>
      <c r="BO220" s="45"/>
      <c r="BP220" s="45"/>
      <c r="BQ220" s="149"/>
      <c r="BR220" s="149"/>
      <c r="BS220" s="149"/>
      <c r="BT220" s="149"/>
      <c r="BU220" s="149"/>
      <c r="BV220" s="559"/>
      <c r="BW220" s="45"/>
      <c r="BX220" s="45"/>
      <c r="BY220" s="45"/>
      <c r="BZ220" s="69"/>
      <c r="CA220" s="69"/>
      <c r="CB220" s="69"/>
      <c r="CC220" s="69"/>
      <c r="CD220" s="69"/>
      <c r="CE220" s="22"/>
      <c r="CF220" s="22"/>
      <c r="CG220" s="22"/>
    </row>
    <row r="221" spans="1:85" ht="15.75" customHeight="1" x14ac:dyDescent="0.45">
      <c r="A221" s="22"/>
      <c r="B221" s="12"/>
      <c r="C221" s="12"/>
      <c r="D221" s="155"/>
      <c r="E221" s="144"/>
      <c r="F221" s="144"/>
      <c r="G221" s="12"/>
      <c r="H221" s="22"/>
      <c r="I221" s="22"/>
      <c r="J221" s="22"/>
      <c r="K221" s="145"/>
      <c r="L221" s="144"/>
      <c r="M221" s="144"/>
      <c r="N221" s="144"/>
      <c r="O221" s="145"/>
      <c r="P221" s="145"/>
      <c r="Q221" s="145"/>
      <c r="R221" s="145"/>
      <c r="S221" s="144"/>
      <c r="T221" s="145"/>
      <c r="U221" s="145"/>
      <c r="V221" s="145"/>
      <c r="W221" s="145"/>
      <c r="X221" s="53"/>
      <c r="Y221" s="74"/>
      <c r="Z221" s="145"/>
      <c r="AA221" s="145"/>
      <c r="AB221" s="145"/>
      <c r="AC221" s="146"/>
      <c r="AD221" s="145"/>
      <c r="AE221" s="145"/>
      <c r="AF221" s="145"/>
      <c r="AG221" s="145"/>
      <c r="AH221" s="146"/>
      <c r="AI221" s="145"/>
      <c r="AJ221" s="145"/>
      <c r="AK221" s="145"/>
      <c r="AL221" s="145"/>
      <c r="AM221" s="145"/>
      <c r="AN221" s="145"/>
      <c r="AO221" s="145"/>
      <c r="AP221" s="74"/>
      <c r="AQ221" s="74"/>
      <c r="AR221" s="74"/>
      <c r="AS221" s="523"/>
      <c r="AT221" s="523"/>
      <c r="AU221" s="523"/>
      <c r="AV221" s="555"/>
      <c r="AW221" s="12"/>
      <c r="AX221" s="12"/>
      <c r="AY221" s="152"/>
      <c r="AZ221" s="22"/>
      <c r="BA221" s="74"/>
      <c r="BB221" s="45"/>
      <c r="BC221" s="22"/>
      <c r="BD221" s="158"/>
      <c r="BE221" s="558"/>
      <c r="BF221" s="45"/>
      <c r="BG221" s="45"/>
      <c r="BH221" s="45"/>
      <c r="BI221" s="45"/>
      <c r="BJ221" s="45"/>
      <c r="BK221" s="45"/>
      <c r="BL221" s="45"/>
      <c r="BM221" s="158"/>
      <c r="BN221" s="558"/>
      <c r="BO221" s="45"/>
      <c r="BP221" s="45"/>
      <c r="BQ221" s="149"/>
      <c r="BR221" s="149"/>
      <c r="BS221" s="149"/>
      <c r="BT221" s="149"/>
      <c r="BU221" s="149"/>
      <c r="BV221" s="559"/>
      <c r="BW221" s="45"/>
      <c r="BX221" s="45"/>
      <c r="BY221" s="45"/>
      <c r="BZ221" s="69"/>
      <c r="CA221" s="69"/>
      <c r="CB221" s="69"/>
      <c r="CC221" s="69"/>
      <c r="CD221" s="69"/>
      <c r="CE221" s="22"/>
      <c r="CF221" s="22"/>
      <c r="CG221" s="22"/>
    </row>
    <row r="222" spans="1:85" ht="15.75" customHeight="1" x14ac:dyDescent="0.45">
      <c r="A222" s="22"/>
      <c r="B222" s="12"/>
      <c r="C222" s="12"/>
      <c r="D222" s="155"/>
      <c r="E222" s="144"/>
      <c r="F222" s="144"/>
      <c r="G222" s="12"/>
      <c r="H222" s="22"/>
      <c r="I222" s="22"/>
      <c r="J222" s="22"/>
      <c r="K222" s="145"/>
      <c r="L222" s="144"/>
      <c r="M222" s="144"/>
      <c r="N222" s="144"/>
      <c r="O222" s="145"/>
      <c r="P222" s="145"/>
      <c r="Q222" s="145"/>
      <c r="R222" s="145"/>
      <c r="S222" s="144"/>
      <c r="T222" s="145"/>
      <c r="U222" s="145"/>
      <c r="V222" s="145"/>
      <c r="W222" s="145"/>
      <c r="X222" s="53"/>
      <c r="Y222" s="74"/>
      <c r="Z222" s="145"/>
      <c r="AA222" s="145"/>
      <c r="AB222" s="145"/>
      <c r="AC222" s="146"/>
      <c r="AD222" s="145"/>
      <c r="AE222" s="145"/>
      <c r="AF222" s="145"/>
      <c r="AG222" s="145"/>
      <c r="AH222" s="146"/>
      <c r="AI222" s="145"/>
      <c r="AJ222" s="145"/>
      <c r="AK222" s="145"/>
      <c r="AL222" s="145"/>
      <c r="AM222" s="145"/>
      <c r="AN222" s="145"/>
      <c r="AO222" s="145"/>
      <c r="AP222" s="74"/>
      <c r="AQ222" s="74"/>
      <c r="AR222" s="74"/>
      <c r="AS222" s="523"/>
      <c r="AT222" s="523"/>
      <c r="AU222" s="523"/>
      <c r="AV222" s="555"/>
      <c r="AW222" s="12"/>
      <c r="AX222" s="12"/>
      <c r="AY222" s="152"/>
      <c r="AZ222" s="22"/>
      <c r="BA222" s="74"/>
      <c r="BB222" s="45"/>
      <c r="BC222" s="22"/>
      <c r="BD222" s="158"/>
      <c r="BE222" s="558"/>
      <c r="BF222" s="45"/>
      <c r="BG222" s="45"/>
      <c r="BH222" s="45"/>
      <c r="BI222" s="45"/>
      <c r="BJ222" s="45"/>
      <c r="BK222" s="45"/>
      <c r="BL222" s="45"/>
      <c r="BM222" s="158"/>
      <c r="BN222" s="558"/>
      <c r="BO222" s="45"/>
      <c r="BP222" s="45"/>
      <c r="BQ222" s="532"/>
      <c r="BR222" s="532"/>
      <c r="BS222" s="532"/>
      <c r="BT222" s="532"/>
      <c r="BU222" s="532"/>
      <c r="BV222" s="559"/>
      <c r="BW222" s="45"/>
      <c r="BX222" s="45"/>
      <c r="BY222" s="45"/>
      <c r="BZ222" s="69"/>
      <c r="CA222" s="69"/>
      <c r="CB222" s="69"/>
      <c r="CC222" s="69"/>
      <c r="CD222" s="69"/>
      <c r="CE222" s="22"/>
      <c r="CF222" s="22"/>
      <c r="CG222" s="22"/>
    </row>
    <row r="223" spans="1:85" ht="15.75" customHeight="1" x14ac:dyDescent="0.45">
      <c r="A223" s="22"/>
      <c r="B223" s="12"/>
      <c r="C223" s="12"/>
      <c r="D223" s="155"/>
      <c r="E223" s="144"/>
      <c r="F223" s="144"/>
      <c r="G223" s="12"/>
      <c r="H223" s="22"/>
      <c r="I223" s="22"/>
      <c r="J223" s="22"/>
      <c r="K223" s="145"/>
      <c r="L223" s="144"/>
      <c r="M223" s="144"/>
      <c r="N223" s="144"/>
      <c r="O223" s="145"/>
      <c r="P223" s="145"/>
      <c r="Q223" s="145"/>
      <c r="R223" s="145"/>
      <c r="S223" s="144"/>
      <c r="T223" s="145"/>
      <c r="U223" s="145"/>
      <c r="V223" s="145"/>
      <c r="W223" s="145"/>
      <c r="X223" s="53"/>
      <c r="Y223" s="74"/>
      <c r="Z223" s="145"/>
      <c r="AA223" s="145"/>
      <c r="AB223" s="145"/>
      <c r="AC223" s="146"/>
      <c r="AD223" s="145"/>
      <c r="AE223" s="145"/>
      <c r="AF223" s="145"/>
      <c r="AG223" s="145"/>
      <c r="AH223" s="146"/>
      <c r="AI223" s="145"/>
      <c r="AJ223" s="145"/>
      <c r="AK223" s="145"/>
      <c r="AL223" s="145"/>
      <c r="AM223" s="145"/>
      <c r="AN223" s="145"/>
      <c r="AO223" s="145"/>
      <c r="AP223" s="74"/>
      <c r="AQ223" s="74"/>
      <c r="AR223" s="74"/>
      <c r="AS223" s="523"/>
      <c r="AT223" s="523"/>
      <c r="AU223" s="523"/>
      <c r="AV223" s="555"/>
      <c r="AW223" s="12"/>
      <c r="AX223" s="12"/>
      <c r="AY223" s="152"/>
      <c r="AZ223" s="22"/>
      <c r="BA223" s="74"/>
      <c r="BB223" s="45"/>
      <c r="BC223" s="22"/>
      <c r="BD223" s="158"/>
      <c r="BE223" s="558"/>
      <c r="BF223" s="45"/>
      <c r="BG223" s="45"/>
      <c r="BH223" s="45"/>
      <c r="BI223" s="45"/>
      <c r="BJ223" s="45"/>
      <c r="BK223" s="45"/>
      <c r="BL223" s="45"/>
      <c r="BM223" s="158"/>
      <c r="BN223" s="558"/>
      <c r="BO223" s="45"/>
      <c r="BP223" s="45"/>
      <c r="BQ223" s="149"/>
      <c r="BR223" s="149"/>
      <c r="BS223" s="149"/>
      <c r="BT223" s="149"/>
      <c r="BU223" s="149"/>
      <c r="BV223" s="559"/>
      <c r="BW223" s="45"/>
      <c r="BX223" s="45"/>
      <c r="BY223" s="45"/>
      <c r="BZ223" s="69"/>
      <c r="CA223" s="69"/>
      <c r="CB223" s="69"/>
      <c r="CC223" s="69"/>
      <c r="CD223" s="69"/>
      <c r="CE223" s="22"/>
      <c r="CF223" s="22"/>
      <c r="CG223" s="22"/>
    </row>
    <row r="224" spans="1:85" ht="15.75" customHeight="1" x14ac:dyDescent="0.45">
      <c r="A224" s="22"/>
      <c r="B224" s="12"/>
      <c r="C224" s="12"/>
      <c r="D224" s="155"/>
      <c r="E224" s="144"/>
      <c r="F224" s="144"/>
      <c r="G224" s="12"/>
      <c r="H224" s="22"/>
      <c r="I224" s="22"/>
      <c r="J224" s="22"/>
      <c r="K224" s="145"/>
      <c r="L224" s="144"/>
      <c r="M224" s="144"/>
      <c r="N224" s="144"/>
      <c r="O224" s="145"/>
      <c r="P224" s="145"/>
      <c r="Q224" s="145"/>
      <c r="R224" s="145"/>
      <c r="S224" s="144"/>
      <c r="T224" s="145"/>
      <c r="U224" s="145"/>
      <c r="V224" s="145"/>
      <c r="W224" s="145"/>
      <c r="X224" s="53"/>
      <c r="Y224" s="74"/>
      <c r="Z224" s="145"/>
      <c r="AA224" s="145"/>
      <c r="AB224" s="145"/>
      <c r="AC224" s="146"/>
      <c r="AD224" s="145"/>
      <c r="AE224" s="145"/>
      <c r="AF224" s="145"/>
      <c r="AG224" s="145"/>
      <c r="AH224" s="146"/>
      <c r="AI224" s="145"/>
      <c r="AJ224" s="145"/>
      <c r="AK224" s="145"/>
      <c r="AL224" s="145"/>
      <c r="AM224" s="145"/>
      <c r="AN224" s="145"/>
      <c r="AO224" s="145"/>
      <c r="AP224" s="74"/>
      <c r="AQ224" s="74"/>
      <c r="AR224" s="74"/>
      <c r="AS224" s="523"/>
      <c r="AT224" s="523"/>
      <c r="AU224" s="523"/>
      <c r="AV224" s="555"/>
      <c r="AW224" s="12"/>
      <c r="AX224" s="12"/>
      <c r="AY224" s="152"/>
      <c r="AZ224" s="22"/>
      <c r="BA224" s="74"/>
      <c r="BB224" s="45"/>
      <c r="BC224" s="22"/>
      <c r="BD224" s="158"/>
      <c r="BE224" s="558"/>
      <c r="BF224" s="45"/>
      <c r="BG224" s="45"/>
      <c r="BH224" s="45"/>
      <c r="BI224" s="45"/>
      <c r="BJ224" s="45"/>
      <c r="BK224" s="45"/>
      <c r="BL224" s="45"/>
      <c r="BM224" s="158"/>
      <c r="BN224" s="558"/>
      <c r="BO224" s="45"/>
      <c r="BP224" s="45"/>
      <c r="BQ224" s="532"/>
      <c r="BR224" s="532"/>
      <c r="BS224" s="532"/>
      <c r="BT224" s="532"/>
      <c r="BU224" s="532"/>
      <c r="BV224" s="559"/>
      <c r="BW224" s="45"/>
      <c r="BX224" s="45"/>
      <c r="BY224" s="45"/>
      <c r="BZ224" s="69"/>
      <c r="CA224" s="69"/>
      <c r="CB224" s="69"/>
      <c r="CC224" s="69"/>
      <c r="CD224" s="69"/>
      <c r="CE224" s="22"/>
      <c r="CF224" s="22"/>
      <c r="CG224" s="22"/>
    </row>
    <row r="225" spans="1:85" ht="15.75" customHeight="1" x14ac:dyDescent="0.45">
      <c r="A225" s="22"/>
      <c r="B225" s="12"/>
      <c r="C225" s="12"/>
      <c r="D225" s="155"/>
      <c r="E225" s="144"/>
      <c r="F225" s="144"/>
      <c r="G225" s="12"/>
      <c r="H225" s="22"/>
      <c r="I225" s="22"/>
      <c r="J225" s="22"/>
      <c r="K225" s="145"/>
      <c r="L225" s="144"/>
      <c r="M225" s="144"/>
      <c r="N225" s="144"/>
      <c r="O225" s="145"/>
      <c r="P225" s="145"/>
      <c r="Q225" s="145"/>
      <c r="R225" s="145"/>
      <c r="S225" s="144"/>
      <c r="T225" s="145"/>
      <c r="U225" s="145"/>
      <c r="V225" s="145"/>
      <c r="W225" s="145"/>
      <c r="X225" s="53"/>
      <c r="Y225" s="74"/>
      <c r="Z225" s="145"/>
      <c r="AA225" s="145"/>
      <c r="AB225" s="145"/>
      <c r="AC225" s="146"/>
      <c r="AD225" s="145"/>
      <c r="AE225" s="145"/>
      <c r="AF225" s="145"/>
      <c r="AG225" s="145"/>
      <c r="AH225" s="146"/>
      <c r="AI225" s="145"/>
      <c r="AJ225" s="145"/>
      <c r="AK225" s="145"/>
      <c r="AL225" s="145"/>
      <c r="AM225" s="145"/>
      <c r="AN225" s="145"/>
      <c r="AO225" s="145"/>
      <c r="AP225" s="74"/>
      <c r="AQ225" s="74"/>
      <c r="AR225" s="74"/>
      <c r="AS225" s="523"/>
      <c r="AT225" s="523"/>
      <c r="AU225" s="523"/>
      <c r="AV225" s="555"/>
      <c r="AW225" s="12"/>
      <c r="AX225" s="12"/>
      <c r="AY225" s="152"/>
      <c r="AZ225" s="22"/>
      <c r="BA225" s="74"/>
      <c r="BB225" s="45"/>
      <c r="BC225" s="22"/>
      <c r="BD225" s="158"/>
      <c r="BE225" s="558"/>
      <c r="BF225" s="45"/>
      <c r="BG225" s="45"/>
      <c r="BH225" s="45"/>
      <c r="BI225" s="45"/>
      <c r="BJ225" s="45"/>
      <c r="BK225" s="45"/>
      <c r="BL225" s="45"/>
      <c r="BM225" s="158"/>
      <c r="BN225" s="558"/>
      <c r="BO225" s="45"/>
      <c r="BP225" s="45"/>
      <c r="BQ225" s="532"/>
      <c r="BR225" s="532"/>
      <c r="BS225" s="532"/>
      <c r="BT225" s="532"/>
      <c r="BU225" s="532"/>
      <c r="BV225" s="559"/>
      <c r="BW225" s="45"/>
      <c r="BX225" s="45"/>
      <c r="BY225" s="45"/>
      <c r="BZ225" s="69"/>
      <c r="CA225" s="69"/>
      <c r="CB225" s="69"/>
      <c r="CC225" s="69"/>
      <c r="CD225" s="69"/>
      <c r="CE225" s="22"/>
      <c r="CF225" s="22"/>
      <c r="CG225" s="22"/>
    </row>
    <row r="226" spans="1:85" ht="15.75" customHeight="1" x14ac:dyDescent="0.45">
      <c r="A226" s="22"/>
      <c r="B226" s="12"/>
      <c r="C226" s="12"/>
      <c r="D226" s="155"/>
      <c r="E226" s="144"/>
      <c r="F226" s="144"/>
      <c r="G226" s="12"/>
      <c r="H226" s="22"/>
      <c r="I226" s="22"/>
      <c r="J226" s="22"/>
      <c r="K226" s="145"/>
      <c r="L226" s="144"/>
      <c r="M226" s="144"/>
      <c r="N226" s="144"/>
      <c r="O226" s="145"/>
      <c r="P226" s="145"/>
      <c r="Q226" s="145"/>
      <c r="R226" s="145"/>
      <c r="S226" s="144"/>
      <c r="T226" s="145"/>
      <c r="U226" s="145"/>
      <c r="V226" s="145"/>
      <c r="W226" s="145"/>
      <c r="X226" s="53"/>
      <c r="Y226" s="74"/>
      <c r="Z226" s="145"/>
      <c r="AA226" s="145"/>
      <c r="AB226" s="145"/>
      <c r="AC226" s="146"/>
      <c r="AD226" s="145"/>
      <c r="AE226" s="145"/>
      <c r="AF226" s="145"/>
      <c r="AG226" s="145"/>
      <c r="AH226" s="146"/>
      <c r="AI226" s="145"/>
      <c r="AJ226" s="145"/>
      <c r="AK226" s="145"/>
      <c r="AL226" s="145"/>
      <c r="AM226" s="145"/>
      <c r="AN226" s="145"/>
      <c r="AO226" s="145"/>
      <c r="AP226" s="74"/>
      <c r="AQ226" s="74"/>
      <c r="AR226" s="74"/>
      <c r="AS226" s="523"/>
      <c r="AT226" s="523"/>
      <c r="AU226" s="523"/>
      <c r="AV226" s="555"/>
      <c r="AW226" s="12"/>
      <c r="AX226" s="12"/>
      <c r="AY226" s="152"/>
      <c r="AZ226" s="22"/>
      <c r="BA226" s="74"/>
      <c r="BB226" s="45"/>
      <c r="BC226" s="22"/>
      <c r="BD226" s="158"/>
      <c r="BE226" s="558"/>
      <c r="BF226" s="45"/>
      <c r="BG226" s="45"/>
      <c r="BH226" s="45"/>
      <c r="BI226" s="45"/>
      <c r="BJ226" s="45"/>
      <c r="BK226" s="45"/>
      <c r="BL226" s="45"/>
      <c r="BM226" s="158"/>
      <c r="BN226" s="558"/>
      <c r="BO226" s="45"/>
      <c r="BP226" s="45"/>
      <c r="BQ226" s="532"/>
      <c r="BR226" s="532"/>
      <c r="BS226" s="532"/>
      <c r="BT226" s="532"/>
      <c r="BU226" s="532"/>
      <c r="BV226" s="559"/>
      <c r="BW226" s="45"/>
      <c r="BX226" s="45"/>
      <c r="BY226" s="45"/>
      <c r="BZ226" s="69"/>
      <c r="CA226" s="69"/>
      <c r="CB226" s="69"/>
      <c r="CC226" s="69"/>
      <c r="CD226" s="69"/>
      <c r="CE226" s="22"/>
      <c r="CF226" s="22"/>
      <c r="CG226" s="22"/>
    </row>
    <row r="227" spans="1:85" ht="15.75" customHeight="1" x14ac:dyDescent="0.45">
      <c r="A227" s="22"/>
      <c r="B227" s="12"/>
      <c r="C227" s="12"/>
      <c r="D227" s="155"/>
      <c r="E227" s="144"/>
      <c r="F227" s="144"/>
      <c r="G227" s="12"/>
      <c r="H227" s="22"/>
      <c r="I227" s="22"/>
      <c r="J227" s="22"/>
      <c r="K227" s="145"/>
      <c r="L227" s="144"/>
      <c r="M227" s="144"/>
      <c r="N227" s="144"/>
      <c r="O227" s="145"/>
      <c r="P227" s="145"/>
      <c r="Q227" s="145"/>
      <c r="R227" s="145"/>
      <c r="S227" s="144"/>
      <c r="T227" s="145"/>
      <c r="U227" s="145"/>
      <c r="V227" s="145"/>
      <c r="W227" s="145"/>
      <c r="X227" s="53"/>
      <c r="Y227" s="74"/>
      <c r="Z227" s="145"/>
      <c r="AA227" s="145"/>
      <c r="AB227" s="145"/>
      <c r="AC227" s="146"/>
      <c r="AD227" s="145"/>
      <c r="AE227" s="145"/>
      <c r="AF227" s="145"/>
      <c r="AG227" s="145"/>
      <c r="AH227" s="146"/>
      <c r="AI227" s="145"/>
      <c r="AJ227" s="145"/>
      <c r="AK227" s="145"/>
      <c r="AL227" s="145"/>
      <c r="AM227" s="145"/>
      <c r="AN227" s="145"/>
      <c r="AO227" s="145"/>
      <c r="AP227" s="74"/>
      <c r="AQ227" s="74"/>
      <c r="AR227" s="74"/>
      <c r="AS227" s="523"/>
      <c r="AT227" s="523"/>
      <c r="AU227" s="523"/>
      <c r="AV227" s="555"/>
      <c r="AW227" s="12"/>
      <c r="AX227" s="12"/>
      <c r="AY227" s="152"/>
      <c r="AZ227" s="22"/>
      <c r="BA227" s="74"/>
      <c r="BB227" s="45"/>
      <c r="BC227" s="22"/>
      <c r="BD227" s="158"/>
      <c r="BE227" s="558"/>
      <c r="BF227" s="45"/>
      <c r="BG227" s="45"/>
      <c r="BH227" s="45"/>
      <c r="BI227" s="45"/>
      <c r="BJ227" s="45"/>
      <c r="BK227" s="45"/>
      <c r="BL227" s="45"/>
      <c r="BM227" s="158"/>
      <c r="BN227" s="558"/>
      <c r="BO227" s="45"/>
      <c r="BP227" s="45"/>
      <c r="BQ227" s="532"/>
      <c r="BR227" s="532"/>
      <c r="BS227" s="532"/>
      <c r="BT227" s="532"/>
      <c r="BU227" s="532"/>
      <c r="BV227" s="559"/>
      <c r="BW227" s="45"/>
      <c r="BX227" s="45"/>
      <c r="BY227" s="45"/>
      <c r="BZ227" s="69"/>
      <c r="CA227" s="69"/>
      <c r="CB227" s="69"/>
      <c r="CC227" s="69"/>
      <c r="CD227" s="69"/>
      <c r="CE227" s="22"/>
      <c r="CF227" s="22"/>
      <c r="CG227" s="22"/>
    </row>
    <row r="228" spans="1:85" ht="15.75" customHeight="1" x14ac:dyDescent="0.45">
      <c r="A228" s="22"/>
      <c r="B228" s="12"/>
      <c r="C228" s="12"/>
      <c r="D228" s="155"/>
      <c r="E228" s="144"/>
      <c r="F228" s="144"/>
      <c r="G228" s="12"/>
      <c r="H228" s="22"/>
      <c r="I228" s="22"/>
      <c r="J228" s="22"/>
      <c r="K228" s="145"/>
      <c r="L228" s="144"/>
      <c r="M228" s="144"/>
      <c r="N228" s="144"/>
      <c r="O228" s="145"/>
      <c r="P228" s="145"/>
      <c r="Q228" s="145"/>
      <c r="R228" s="145"/>
      <c r="S228" s="144"/>
      <c r="T228" s="145"/>
      <c r="U228" s="145"/>
      <c r="V228" s="145"/>
      <c r="W228" s="145"/>
      <c r="X228" s="53"/>
      <c r="Y228" s="74"/>
      <c r="Z228" s="145"/>
      <c r="AA228" s="145"/>
      <c r="AB228" s="145"/>
      <c r="AC228" s="146"/>
      <c r="AD228" s="145"/>
      <c r="AE228" s="145"/>
      <c r="AF228" s="145"/>
      <c r="AG228" s="145"/>
      <c r="AH228" s="146"/>
      <c r="AI228" s="145"/>
      <c r="AJ228" s="145"/>
      <c r="AK228" s="145"/>
      <c r="AL228" s="145"/>
      <c r="AM228" s="145"/>
      <c r="AN228" s="145"/>
      <c r="AO228" s="145"/>
      <c r="AP228" s="74"/>
      <c r="AQ228" s="74"/>
      <c r="AR228" s="74"/>
      <c r="AS228" s="523"/>
      <c r="AT228" s="523"/>
      <c r="AU228" s="523"/>
      <c r="AV228" s="555"/>
      <c r="AW228" s="12"/>
      <c r="AX228" s="12"/>
      <c r="AY228" s="152"/>
      <c r="AZ228" s="22"/>
      <c r="BA228" s="74"/>
      <c r="BB228" s="45"/>
      <c r="BC228" s="22"/>
      <c r="BD228" s="158"/>
      <c r="BE228" s="558"/>
      <c r="BF228" s="45"/>
      <c r="BG228" s="45"/>
      <c r="BH228" s="45"/>
      <c r="BI228" s="45"/>
      <c r="BJ228" s="45"/>
      <c r="BK228" s="45"/>
      <c r="BL228" s="45"/>
      <c r="BM228" s="158"/>
      <c r="BN228" s="558"/>
      <c r="BO228" s="45"/>
      <c r="BP228" s="45"/>
      <c r="BQ228" s="532"/>
      <c r="BR228" s="532"/>
      <c r="BS228" s="532"/>
      <c r="BT228" s="532"/>
      <c r="BU228" s="532"/>
      <c r="BV228" s="559"/>
      <c r="BW228" s="45"/>
      <c r="BX228" s="45"/>
      <c r="BY228" s="45"/>
      <c r="BZ228" s="69"/>
      <c r="CA228" s="69"/>
      <c r="CB228" s="69"/>
      <c r="CC228" s="69"/>
      <c r="CD228" s="69"/>
      <c r="CE228" s="22"/>
      <c r="CF228" s="22"/>
      <c r="CG228" s="22"/>
    </row>
    <row r="229" spans="1:85" ht="15.75" customHeight="1" x14ac:dyDescent="0.45">
      <c r="A229" s="22"/>
      <c r="B229" s="12"/>
      <c r="C229" s="12"/>
      <c r="D229" s="155"/>
      <c r="E229" s="144"/>
      <c r="F229" s="144"/>
      <c r="G229" s="12"/>
      <c r="H229" s="22"/>
      <c r="I229" s="22"/>
      <c r="J229" s="22"/>
      <c r="K229" s="145"/>
      <c r="L229" s="144"/>
      <c r="M229" s="144"/>
      <c r="N229" s="144"/>
      <c r="O229" s="145"/>
      <c r="P229" s="145"/>
      <c r="Q229" s="145"/>
      <c r="R229" s="145"/>
      <c r="S229" s="144"/>
      <c r="T229" s="145"/>
      <c r="U229" s="145"/>
      <c r="V229" s="145"/>
      <c r="W229" s="145"/>
      <c r="X229" s="53"/>
      <c r="Y229" s="74"/>
      <c r="Z229" s="145"/>
      <c r="AA229" s="145"/>
      <c r="AB229" s="145"/>
      <c r="AC229" s="146"/>
      <c r="AD229" s="145"/>
      <c r="AE229" s="145"/>
      <c r="AF229" s="145"/>
      <c r="AG229" s="145"/>
      <c r="AH229" s="146"/>
      <c r="AI229" s="145"/>
      <c r="AJ229" s="145"/>
      <c r="AK229" s="145"/>
      <c r="AL229" s="145"/>
      <c r="AM229" s="145"/>
      <c r="AN229" s="145"/>
      <c r="AO229" s="145"/>
      <c r="AP229" s="74"/>
      <c r="AQ229" s="74"/>
      <c r="AR229" s="74"/>
      <c r="AS229" s="523"/>
      <c r="AT229" s="523"/>
      <c r="AU229" s="523"/>
      <c r="AV229" s="555"/>
      <c r="AW229" s="12"/>
      <c r="AX229" s="12"/>
      <c r="AY229" s="152"/>
      <c r="AZ229" s="22"/>
      <c r="BA229" s="74"/>
      <c r="BB229" s="45"/>
      <c r="BC229" s="22"/>
      <c r="BD229" s="158"/>
      <c r="BE229" s="558"/>
      <c r="BF229" s="45"/>
      <c r="BG229" s="45"/>
      <c r="BH229" s="45"/>
      <c r="BI229" s="45"/>
      <c r="BJ229" s="45"/>
      <c r="BK229" s="45"/>
      <c r="BL229" s="45"/>
      <c r="BM229" s="158"/>
      <c r="BN229" s="558"/>
      <c r="BO229" s="45"/>
      <c r="BP229" s="45"/>
      <c r="BQ229" s="149"/>
      <c r="BR229" s="149"/>
      <c r="BS229" s="149"/>
      <c r="BT229" s="149"/>
      <c r="BU229" s="149"/>
      <c r="BV229" s="559"/>
      <c r="BW229" s="45"/>
      <c r="BX229" s="45"/>
      <c r="BY229" s="45"/>
      <c r="BZ229" s="69"/>
      <c r="CA229" s="69"/>
      <c r="CB229" s="69"/>
      <c r="CC229" s="69"/>
      <c r="CD229" s="69"/>
      <c r="CE229" s="22"/>
      <c r="CF229" s="22"/>
      <c r="CG229" s="22"/>
    </row>
    <row r="230" spans="1:85" ht="15.75" customHeight="1" x14ac:dyDescent="0.45">
      <c r="A230" s="22"/>
      <c r="B230" s="12"/>
      <c r="C230" s="12"/>
      <c r="D230" s="155"/>
      <c r="E230" s="144"/>
      <c r="F230" s="144"/>
      <c r="G230" s="12"/>
      <c r="H230" s="22"/>
      <c r="I230" s="22"/>
      <c r="J230" s="22"/>
      <c r="K230" s="145"/>
      <c r="L230" s="144"/>
      <c r="M230" s="144"/>
      <c r="N230" s="144"/>
      <c r="O230" s="145"/>
      <c r="P230" s="145"/>
      <c r="Q230" s="145"/>
      <c r="R230" s="145"/>
      <c r="S230" s="144"/>
      <c r="T230" s="145"/>
      <c r="U230" s="145"/>
      <c r="V230" s="145"/>
      <c r="W230" s="145"/>
      <c r="X230" s="53"/>
      <c r="Y230" s="74"/>
      <c r="Z230" s="145"/>
      <c r="AA230" s="145"/>
      <c r="AB230" s="145"/>
      <c r="AC230" s="146"/>
      <c r="AD230" s="145"/>
      <c r="AE230" s="145"/>
      <c r="AF230" s="145"/>
      <c r="AG230" s="145"/>
      <c r="AH230" s="146"/>
      <c r="AI230" s="145"/>
      <c r="AJ230" s="145"/>
      <c r="AK230" s="145"/>
      <c r="AL230" s="145"/>
      <c r="AM230" s="145"/>
      <c r="AN230" s="145"/>
      <c r="AO230" s="145"/>
      <c r="AP230" s="74"/>
      <c r="AQ230" s="74"/>
      <c r="AR230" s="74"/>
      <c r="AS230" s="523"/>
      <c r="AT230" s="523"/>
      <c r="AU230" s="523"/>
      <c r="AV230" s="555"/>
      <c r="AW230" s="12"/>
      <c r="AX230" s="12"/>
      <c r="AY230" s="152"/>
      <c r="AZ230" s="22"/>
      <c r="BA230" s="74"/>
      <c r="BB230" s="45"/>
      <c r="BC230" s="22"/>
      <c r="BD230" s="158"/>
      <c r="BE230" s="558"/>
      <c r="BF230" s="45"/>
      <c r="BG230" s="45"/>
      <c r="BH230" s="45"/>
      <c r="BI230" s="45"/>
      <c r="BJ230" s="45"/>
      <c r="BK230" s="45"/>
      <c r="BL230" s="45"/>
      <c r="BM230" s="158"/>
      <c r="BN230" s="558"/>
      <c r="BO230" s="45"/>
      <c r="BP230" s="45"/>
      <c r="BQ230" s="149"/>
      <c r="BR230" s="149"/>
      <c r="BS230" s="149"/>
      <c r="BT230" s="149"/>
      <c r="BU230" s="149"/>
      <c r="BV230" s="559"/>
      <c r="BW230" s="45"/>
      <c r="BX230" s="45"/>
      <c r="BY230" s="45"/>
      <c r="BZ230" s="69"/>
      <c r="CA230" s="69"/>
      <c r="CB230" s="69"/>
      <c r="CC230" s="69"/>
      <c r="CD230" s="69"/>
      <c r="CE230" s="22"/>
      <c r="CF230" s="22"/>
      <c r="CG230" s="22"/>
    </row>
    <row r="231" spans="1:85" ht="15.75" customHeight="1" x14ac:dyDescent="0.45">
      <c r="A231" s="22"/>
      <c r="B231" s="12"/>
      <c r="C231" s="12"/>
      <c r="D231" s="155"/>
      <c r="E231" s="144"/>
      <c r="F231" s="144"/>
      <c r="G231" s="12"/>
      <c r="H231" s="22"/>
      <c r="I231" s="22"/>
      <c r="J231" s="22"/>
      <c r="K231" s="145"/>
      <c r="L231" s="144"/>
      <c r="M231" s="144"/>
      <c r="N231" s="144"/>
      <c r="O231" s="145"/>
      <c r="P231" s="145"/>
      <c r="Q231" s="145"/>
      <c r="R231" s="145"/>
      <c r="S231" s="144"/>
      <c r="T231" s="145"/>
      <c r="U231" s="145"/>
      <c r="V231" s="145"/>
      <c r="W231" s="145"/>
      <c r="X231" s="53"/>
      <c r="Y231" s="74"/>
      <c r="Z231" s="145"/>
      <c r="AA231" s="145"/>
      <c r="AB231" s="145"/>
      <c r="AC231" s="146"/>
      <c r="AD231" s="145"/>
      <c r="AE231" s="145"/>
      <c r="AF231" s="145"/>
      <c r="AG231" s="145"/>
      <c r="AH231" s="146"/>
      <c r="AI231" s="145"/>
      <c r="AJ231" s="145"/>
      <c r="AK231" s="145"/>
      <c r="AL231" s="145"/>
      <c r="AM231" s="145"/>
      <c r="AN231" s="145"/>
      <c r="AO231" s="145"/>
      <c r="AP231" s="74"/>
      <c r="AQ231" s="74"/>
      <c r="AR231" s="74"/>
      <c r="AS231" s="523"/>
      <c r="AT231" s="523"/>
      <c r="AU231" s="523"/>
      <c r="AV231" s="555"/>
      <c r="AW231" s="12"/>
      <c r="AX231" s="12"/>
      <c r="AY231" s="152"/>
      <c r="AZ231" s="22"/>
      <c r="BA231" s="74"/>
      <c r="BB231" s="45"/>
      <c r="BC231" s="22"/>
      <c r="BD231" s="158"/>
      <c r="BE231" s="558"/>
      <c r="BF231" s="45"/>
      <c r="BG231" s="45"/>
      <c r="BH231" s="45"/>
      <c r="BI231" s="45"/>
      <c r="BJ231" s="45"/>
      <c r="BK231" s="45"/>
      <c r="BL231" s="45"/>
      <c r="BM231" s="158"/>
      <c r="BN231" s="558"/>
      <c r="BO231" s="45"/>
      <c r="BP231" s="45"/>
      <c r="BQ231" s="149"/>
      <c r="BR231" s="149"/>
      <c r="BS231" s="149"/>
      <c r="BT231" s="149"/>
      <c r="BU231" s="149"/>
      <c r="BV231" s="559"/>
      <c r="BW231" s="45"/>
      <c r="BX231" s="45"/>
      <c r="BY231" s="45"/>
      <c r="BZ231" s="69"/>
      <c r="CA231" s="69"/>
      <c r="CB231" s="69"/>
      <c r="CC231" s="69"/>
      <c r="CD231" s="69"/>
      <c r="CE231" s="22"/>
      <c r="CF231" s="22"/>
      <c r="CG231" s="22"/>
    </row>
    <row r="232" spans="1:85" ht="15.75" customHeight="1" x14ac:dyDescent="0.45">
      <c r="A232" s="22"/>
      <c r="B232" s="12"/>
      <c r="C232" s="12"/>
      <c r="D232" s="155"/>
      <c r="E232" s="144"/>
      <c r="F232" s="144"/>
      <c r="G232" s="12"/>
      <c r="H232" s="22"/>
      <c r="I232" s="22"/>
      <c r="J232" s="22"/>
      <c r="K232" s="145"/>
      <c r="L232" s="144"/>
      <c r="M232" s="144"/>
      <c r="N232" s="144"/>
      <c r="O232" s="145"/>
      <c r="P232" s="145"/>
      <c r="Q232" s="145"/>
      <c r="R232" s="145"/>
      <c r="S232" s="144"/>
      <c r="T232" s="145"/>
      <c r="U232" s="145"/>
      <c r="V232" s="145"/>
      <c r="W232" s="145"/>
      <c r="X232" s="53"/>
      <c r="Y232" s="74"/>
      <c r="Z232" s="145"/>
      <c r="AA232" s="145"/>
      <c r="AB232" s="145"/>
      <c r="AC232" s="146"/>
      <c r="AD232" s="145"/>
      <c r="AE232" s="145"/>
      <c r="AF232" s="145"/>
      <c r="AG232" s="145"/>
      <c r="AH232" s="146"/>
      <c r="AI232" s="145"/>
      <c r="AJ232" s="145"/>
      <c r="AK232" s="145"/>
      <c r="AL232" s="145"/>
      <c r="AM232" s="145"/>
      <c r="AN232" s="145"/>
      <c r="AO232" s="145"/>
      <c r="AP232" s="74"/>
      <c r="AQ232" s="74"/>
      <c r="AR232" s="74"/>
      <c r="AS232" s="523"/>
      <c r="AT232" s="523"/>
      <c r="AU232" s="523"/>
      <c r="AV232" s="555"/>
      <c r="AW232" s="12"/>
      <c r="AX232" s="12"/>
      <c r="AY232" s="152"/>
      <c r="AZ232" s="22"/>
      <c r="BA232" s="74"/>
      <c r="BB232" s="45"/>
      <c r="BC232" s="22"/>
      <c r="BD232" s="158"/>
      <c r="BE232" s="558"/>
      <c r="BF232" s="45"/>
      <c r="BG232" s="45"/>
      <c r="BH232" s="45"/>
      <c r="BI232" s="45"/>
      <c r="BJ232" s="45"/>
      <c r="BK232" s="45"/>
      <c r="BL232" s="45"/>
      <c r="BM232" s="158"/>
      <c r="BN232" s="558"/>
      <c r="BO232" s="45"/>
      <c r="BP232" s="45"/>
      <c r="BQ232" s="22"/>
      <c r="BR232" s="22"/>
      <c r="BS232" s="22"/>
      <c r="BT232" s="22"/>
      <c r="BU232" s="22"/>
      <c r="BV232" s="559"/>
      <c r="BW232" s="45"/>
      <c r="BX232" s="45"/>
      <c r="BY232" s="45"/>
      <c r="BZ232" s="69"/>
      <c r="CA232" s="69"/>
      <c r="CB232" s="69"/>
      <c r="CC232" s="69"/>
      <c r="CD232" s="69"/>
      <c r="CE232" s="22"/>
      <c r="CF232" s="22"/>
      <c r="CG232" s="22"/>
    </row>
    <row r="233" spans="1:85" ht="15.75" customHeight="1" x14ac:dyDescent="0.45">
      <c r="A233" s="22"/>
      <c r="B233" s="12"/>
      <c r="C233" s="12"/>
      <c r="D233" s="155"/>
      <c r="E233" s="144"/>
      <c r="F233" s="144"/>
      <c r="G233" s="12"/>
      <c r="H233" s="22"/>
      <c r="I233" s="22"/>
      <c r="J233" s="22"/>
      <c r="K233" s="145"/>
      <c r="L233" s="144"/>
      <c r="M233" s="144"/>
      <c r="N233" s="144"/>
      <c r="O233" s="145"/>
      <c r="P233" s="145"/>
      <c r="Q233" s="145"/>
      <c r="R233" s="145"/>
      <c r="S233" s="144"/>
      <c r="T233" s="145"/>
      <c r="U233" s="145"/>
      <c r="V233" s="145"/>
      <c r="W233" s="145"/>
      <c r="X233" s="53"/>
      <c r="Y233" s="74"/>
      <c r="Z233" s="145"/>
      <c r="AA233" s="145"/>
      <c r="AB233" s="145"/>
      <c r="AC233" s="146"/>
      <c r="AD233" s="145"/>
      <c r="AE233" s="145"/>
      <c r="AF233" s="145"/>
      <c r="AG233" s="145"/>
      <c r="AH233" s="146"/>
      <c r="AI233" s="145"/>
      <c r="AJ233" s="145"/>
      <c r="AK233" s="145"/>
      <c r="AL233" s="145"/>
      <c r="AM233" s="145"/>
      <c r="AN233" s="145"/>
      <c r="AO233" s="145"/>
      <c r="AP233" s="74"/>
      <c r="AQ233" s="74"/>
      <c r="AR233" s="74"/>
      <c r="AS233" s="523"/>
      <c r="AT233" s="523"/>
      <c r="AU233" s="523"/>
      <c r="AV233" s="555"/>
      <c r="AW233" s="12"/>
      <c r="AX233" s="12"/>
      <c r="AY233" s="152"/>
      <c r="AZ233" s="22"/>
      <c r="BA233" s="74"/>
      <c r="BB233" s="45"/>
      <c r="BC233" s="22"/>
      <c r="BD233" s="158"/>
      <c r="BE233" s="558"/>
      <c r="BF233" s="45"/>
      <c r="BG233" s="45"/>
      <c r="BH233" s="45"/>
      <c r="BI233" s="45"/>
      <c r="BJ233" s="45"/>
      <c r="BK233" s="45"/>
      <c r="BL233" s="45"/>
      <c r="BM233" s="158"/>
      <c r="BN233" s="558"/>
      <c r="BO233" s="45"/>
      <c r="BP233" s="45"/>
      <c r="BQ233" s="149"/>
      <c r="BR233" s="149"/>
      <c r="BS233" s="149"/>
      <c r="BT233" s="149"/>
      <c r="BU233" s="149"/>
      <c r="BV233" s="559"/>
      <c r="BW233" s="45"/>
      <c r="BX233" s="45"/>
      <c r="BY233" s="45"/>
      <c r="BZ233" s="69"/>
      <c r="CA233" s="69"/>
      <c r="CB233" s="69"/>
      <c r="CC233" s="69"/>
      <c r="CD233" s="69"/>
      <c r="CE233" s="22"/>
      <c r="CF233" s="22"/>
      <c r="CG233" s="22"/>
    </row>
    <row r="234" spans="1:85" ht="15.75" customHeight="1" x14ac:dyDescent="0.45">
      <c r="A234" s="22"/>
      <c r="B234" s="12"/>
      <c r="C234" s="12"/>
      <c r="D234" s="155"/>
      <c r="E234" s="144"/>
      <c r="F234" s="144"/>
      <c r="G234" s="12"/>
      <c r="H234" s="22"/>
      <c r="I234" s="22"/>
      <c r="J234" s="22"/>
      <c r="K234" s="145"/>
      <c r="L234" s="144"/>
      <c r="M234" s="144"/>
      <c r="N234" s="144"/>
      <c r="O234" s="145"/>
      <c r="P234" s="145"/>
      <c r="Q234" s="145"/>
      <c r="R234" s="145"/>
      <c r="S234" s="144"/>
      <c r="T234" s="145"/>
      <c r="U234" s="145"/>
      <c r="V234" s="145"/>
      <c r="W234" s="145"/>
      <c r="X234" s="53"/>
      <c r="Y234" s="74"/>
      <c r="Z234" s="145"/>
      <c r="AA234" s="145"/>
      <c r="AB234" s="145"/>
      <c r="AC234" s="146"/>
      <c r="AD234" s="145"/>
      <c r="AE234" s="145"/>
      <c r="AF234" s="145"/>
      <c r="AG234" s="145"/>
      <c r="AH234" s="146"/>
      <c r="AI234" s="145"/>
      <c r="AJ234" s="145"/>
      <c r="AK234" s="145"/>
      <c r="AL234" s="145"/>
      <c r="AM234" s="145"/>
      <c r="AN234" s="145"/>
      <c r="AO234" s="145"/>
      <c r="AP234" s="74"/>
      <c r="AQ234" s="74"/>
      <c r="AR234" s="74"/>
      <c r="AS234" s="523"/>
      <c r="AT234" s="523"/>
      <c r="AU234" s="523"/>
      <c r="AV234" s="555"/>
      <c r="AW234" s="12"/>
      <c r="AX234" s="12"/>
      <c r="AY234" s="152"/>
      <c r="AZ234" s="22"/>
      <c r="BA234" s="74"/>
      <c r="BB234" s="45"/>
      <c r="BC234" s="22"/>
      <c r="BD234" s="158"/>
      <c r="BE234" s="558"/>
      <c r="BF234" s="45"/>
      <c r="BG234" s="45"/>
      <c r="BH234" s="45"/>
      <c r="BI234" s="45"/>
      <c r="BJ234" s="45"/>
      <c r="BK234" s="45"/>
      <c r="BL234" s="45"/>
      <c r="BM234" s="158"/>
      <c r="BN234" s="558"/>
      <c r="BO234" s="45"/>
      <c r="BP234" s="45"/>
      <c r="BQ234" s="149"/>
      <c r="BR234" s="149"/>
      <c r="BS234" s="149"/>
      <c r="BT234" s="149"/>
      <c r="BU234" s="149"/>
      <c r="BV234" s="559"/>
      <c r="BW234" s="45"/>
      <c r="BX234" s="45"/>
      <c r="BY234" s="45"/>
      <c r="BZ234" s="69"/>
      <c r="CA234" s="69"/>
      <c r="CB234" s="69"/>
      <c r="CC234" s="69"/>
      <c r="CD234" s="69"/>
      <c r="CE234" s="22"/>
      <c r="CF234" s="22"/>
      <c r="CG234" s="22"/>
    </row>
    <row r="235" spans="1:85" ht="15.75" customHeight="1" x14ac:dyDescent="0.45">
      <c r="A235" s="22"/>
      <c r="B235" s="12"/>
      <c r="C235" s="12"/>
      <c r="D235" s="155"/>
      <c r="E235" s="144"/>
      <c r="F235" s="144"/>
      <c r="G235" s="12"/>
      <c r="H235" s="22"/>
      <c r="I235" s="22"/>
      <c r="J235" s="22"/>
      <c r="K235" s="145"/>
      <c r="L235" s="144"/>
      <c r="M235" s="144"/>
      <c r="N235" s="144"/>
      <c r="O235" s="145"/>
      <c r="P235" s="145"/>
      <c r="Q235" s="145"/>
      <c r="R235" s="145"/>
      <c r="S235" s="144"/>
      <c r="T235" s="145"/>
      <c r="U235" s="145"/>
      <c r="V235" s="145"/>
      <c r="W235" s="145"/>
      <c r="X235" s="53"/>
      <c r="Y235" s="74"/>
      <c r="Z235" s="145"/>
      <c r="AA235" s="145"/>
      <c r="AB235" s="145"/>
      <c r="AC235" s="146"/>
      <c r="AD235" s="145"/>
      <c r="AE235" s="145"/>
      <c r="AF235" s="145"/>
      <c r="AG235" s="145"/>
      <c r="AH235" s="146"/>
      <c r="AI235" s="145"/>
      <c r="AJ235" s="145"/>
      <c r="AK235" s="145"/>
      <c r="AL235" s="145"/>
      <c r="AM235" s="145"/>
      <c r="AN235" s="145"/>
      <c r="AO235" s="145"/>
      <c r="AP235" s="74"/>
      <c r="AQ235" s="74"/>
      <c r="AR235" s="74"/>
      <c r="AS235" s="523"/>
      <c r="AT235" s="523"/>
      <c r="AU235" s="523"/>
      <c r="AV235" s="555"/>
      <c r="AW235" s="12"/>
      <c r="AX235" s="12"/>
      <c r="AY235" s="152"/>
      <c r="AZ235" s="22"/>
      <c r="BA235" s="74"/>
      <c r="BB235" s="45"/>
      <c r="BC235" s="22"/>
      <c r="BD235" s="158"/>
      <c r="BE235" s="558"/>
      <c r="BF235" s="45"/>
      <c r="BG235" s="45"/>
      <c r="BH235" s="45"/>
      <c r="BI235" s="45"/>
      <c r="BJ235" s="45"/>
      <c r="BK235" s="45"/>
      <c r="BL235" s="45"/>
      <c r="BM235" s="158"/>
      <c r="BN235" s="558"/>
      <c r="BO235" s="45"/>
      <c r="BP235" s="45"/>
      <c r="BQ235" s="149"/>
      <c r="BR235" s="149"/>
      <c r="BS235" s="149"/>
      <c r="BT235" s="149"/>
      <c r="BU235" s="149"/>
      <c r="BV235" s="559"/>
      <c r="BW235" s="45"/>
      <c r="BX235" s="45"/>
      <c r="BY235" s="45"/>
      <c r="BZ235" s="69"/>
      <c r="CA235" s="69"/>
      <c r="CB235" s="69"/>
      <c r="CC235" s="69"/>
      <c r="CD235" s="69"/>
      <c r="CE235" s="22"/>
      <c r="CF235" s="22"/>
      <c r="CG235" s="22"/>
    </row>
    <row r="236" spans="1:85" ht="15.75" customHeight="1" x14ac:dyDescent="0.45">
      <c r="A236" s="22"/>
      <c r="B236" s="12"/>
      <c r="C236" s="12"/>
      <c r="D236" s="155"/>
      <c r="E236" s="144"/>
      <c r="F236" s="144"/>
      <c r="G236" s="12"/>
      <c r="H236" s="22"/>
      <c r="I236" s="22"/>
      <c r="J236" s="22"/>
      <c r="K236" s="145"/>
      <c r="L236" s="144"/>
      <c r="M236" s="144"/>
      <c r="N236" s="144"/>
      <c r="O236" s="145"/>
      <c r="P236" s="145"/>
      <c r="Q236" s="145"/>
      <c r="R236" s="145"/>
      <c r="S236" s="144"/>
      <c r="T236" s="145"/>
      <c r="U236" s="145"/>
      <c r="V236" s="145"/>
      <c r="W236" s="145"/>
      <c r="X236" s="53"/>
      <c r="Y236" s="74"/>
      <c r="Z236" s="145"/>
      <c r="AA236" s="145"/>
      <c r="AB236" s="145"/>
      <c r="AC236" s="146"/>
      <c r="AD236" s="145"/>
      <c r="AE236" s="145"/>
      <c r="AF236" s="145"/>
      <c r="AG236" s="145"/>
      <c r="AH236" s="146"/>
      <c r="AI236" s="145"/>
      <c r="AJ236" s="145"/>
      <c r="AK236" s="145"/>
      <c r="AL236" s="145"/>
      <c r="AM236" s="145"/>
      <c r="AN236" s="145"/>
      <c r="AO236" s="145"/>
      <c r="AP236" s="74"/>
      <c r="AQ236" s="74"/>
      <c r="AR236" s="74"/>
      <c r="AS236" s="523"/>
      <c r="AT236" s="523"/>
      <c r="AU236" s="523"/>
      <c r="AV236" s="555"/>
      <c r="AW236" s="12"/>
      <c r="AX236" s="12"/>
      <c r="AY236" s="152"/>
      <c r="AZ236" s="22"/>
      <c r="BA236" s="74"/>
      <c r="BB236" s="45"/>
      <c r="BC236" s="22"/>
      <c r="BD236" s="158"/>
      <c r="BE236" s="558"/>
      <c r="BF236" s="45"/>
      <c r="BG236" s="45"/>
      <c r="BH236" s="45"/>
      <c r="BI236" s="45"/>
      <c r="BJ236" s="45"/>
      <c r="BK236" s="45"/>
      <c r="BL236" s="45"/>
      <c r="BM236" s="158"/>
      <c r="BN236" s="558"/>
      <c r="BO236" s="45"/>
      <c r="BP236" s="45"/>
      <c r="BQ236" s="532"/>
      <c r="BR236" s="532"/>
      <c r="BS236" s="532"/>
      <c r="BT236" s="532"/>
      <c r="BU236" s="532"/>
      <c r="BV236" s="559"/>
      <c r="BW236" s="45"/>
      <c r="BX236" s="45"/>
      <c r="BY236" s="45"/>
      <c r="BZ236" s="69"/>
      <c r="CA236" s="69"/>
      <c r="CB236" s="69"/>
      <c r="CC236" s="69"/>
      <c r="CD236" s="69"/>
      <c r="CE236" s="22"/>
      <c r="CF236" s="22"/>
      <c r="CG236" s="22"/>
    </row>
    <row r="237" spans="1:85" ht="15.75" customHeight="1" x14ac:dyDescent="0.45">
      <c r="A237" s="22"/>
      <c r="B237" s="12"/>
      <c r="C237" s="12"/>
      <c r="D237" s="155"/>
      <c r="E237" s="144"/>
      <c r="F237" s="144"/>
      <c r="G237" s="12"/>
      <c r="H237" s="22"/>
      <c r="I237" s="22"/>
      <c r="J237" s="22"/>
      <c r="K237" s="145"/>
      <c r="L237" s="144"/>
      <c r="M237" s="144"/>
      <c r="N237" s="144"/>
      <c r="O237" s="145"/>
      <c r="P237" s="145"/>
      <c r="Q237" s="145"/>
      <c r="R237" s="145"/>
      <c r="S237" s="144"/>
      <c r="T237" s="145"/>
      <c r="U237" s="145"/>
      <c r="V237" s="145"/>
      <c r="W237" s="145"/>
      <c r="X237" s="53"/>
      <c r="Y237" s="74"/>
      <c r="Z237" s="145"/>
      <c r="AA237" s="145"/>
      <c r="AB237" s="145"/>
      <c r="AC237" s="146"/>
      <c r="AD237" s="145"/>
      <c r="AE237" s="145"/>
      <c r="AF237" s="145"/>
      <c r="AG237" s="145"/>
      <c r="AH237" s="146"/>
      <c r="AI237" s="145"/>
      <c r="AJ237" s="145"/>
      <c r="AK237" s="145"/>
      <c r="AL237" s="145"/>
      <c r="AM237" s="145"/>
      <c r="AN237" s="145"/>
      <c r="AO237" s="145"/>
      <c r="AP237" s="74"/>
      <c r="AQ237" s="74"/>
      <c r="AR237" s="74"/>
      <c r="AS237" s="523"/>
      <c r="AT237" s="523"/>
      <c r="AU237" s="523"/>
      <c r="AV237" s="555"/>
      <c r="AW237" s="12"/>
      <c r="AX237" s="12"/>
      <c r="AY237" s="152"/>
      <c r="AZ237" s="22"/>
      <c r="BA237" s="74"/>
      <c r="BB237" s="45"/>
      <c r="BC237" s="22"/>
      <c r="BD237" s="158"/>
      <c r="BE237" s="558"/>
      <c r="BF237" s="45"/>
      <c r="BG237" s="45"/>
      <c r="BH237" s="45"/>
      <c r="BI237" s="45"/>
      <c r="BJ237" s="45"/>
      <c r="BK237" s="45"/>
      <c r="BL237" s="45"/>
      <c r="BM237" s="158"/>
      <c r="BN237" s="558"/>
      <c r="BO237" s="45"/>
      <c r="BP237" s="45"/>
      <c r="BQ237" s="532"/>
      <c r="BR237" s="532"/>
      <c r="BS237" s="532"/>
      <c r="BT237" s="532"/>
      <c r="BU237" s="532"/>
      <c r="BV237" s="559"/>
      <c r="BW237" s="45"/>
      <c r="BX237" s="45"/>
      <c r="BY237" s="45"/>
      <c r="BZ237" s="69"/>
      <c r="CA237" s="69"/>
      <c r="CB237" s="69"/>
      <c r="CC237" s="69"/>
      <c r="CD237" s="69"/>
      <c r="CE237" s="22"/>
      <c r="CF237" s="22"/>
      <c r="CG237" s="22"/>
    </row>
    <row r="238" spans="1:85" ht="15.75" customHeight="1" x14ac:dyDescent="0.45">
      <c r="A238" s="22"/>
      <c r="B238" s="12"/>
      <c r="C238" s="12"/>
      <c r="D238" s="155"/>
      <c r="E238" s="144"/>
      <c r="F238" s="144"/>
      <c r="G238" s="12"/>
      <c r="H238" s="22"/>
      <c r="I238" s="22"/>
      <c r="J238" s="22"/>
      <c r="K238" s="145"/>
      <c r="L238" s="144"/>
      <c r="M238" s="144"/>
      <c r="N238" s="144"/>
      <c r="O238" s="145"/>
      <c r="P238" s="145"/>
      <c r="Q238" s="145"/>
      <c r="R238" s="145"/>
      <c r="S238" s="144"/>
      <c r="T238" s="145"/>
      <c r="U238" s="145"/>
      <c r="V238" s="145"/>
      <c r="W238" s="145"/>
      <c r="X238" s="53"/>
      <c r="Y238" s="74"/>
      <c r="Z238" s="145"/>
      <c r="AA238" s="145"/>
      <c r="AB238" s="145"/>
      <c r="AC238" s="146"/>
      <c r="AD238" s="145"/>
      <c r="AE238" s="145"/>
      <c r="AF238" s="145"/>
      <c r="AG238" s="145"/>
      <c r="AH238" s="146"/>
      <c r="AI238" s="145"/>
      <c r="AJ238" s="145"/>
      <c r="AK238" s="145"/>
      <c r="AL238" s="145"/>
      <c r="AM238" s="145"/>
      <c r="AN238" s="145"/>
      <c r="AO238" s="145"/>
      <c r="AP238" s="74"/>
      <c r="AQ238" s="74"/>
      <c r="AR238" s="74"/>
      <c r="AS238" s="523"/>
      <c r="AT238" s="523"/>
      <c r="AU238" s="523"/>
      <c r="AV238" s="555"/>
      <c r="AW238" s="12"/>
      <c r="AX238" s="12"/>
      <c r="AY238" s="152"/>
      <c r="AZ238" s="22"/>
      <c r="BA238" s="74"/>
      <c r="BB238" s="45"/>
      <c r="BC238" s="22"/>
      <c r="BD238" s="158"/>
      <c r="BE238" s="558"/>
      <c r="BF238" s="45"/>
      <c r="BG238" s="45"/>
      <c r="BH238" s="45"/>
      <c r="BI238" s="45"/>
      <c r="BJ238" s="45"/>
      <c r="BK238" s="45"/>
      <c r="BL238" s="45"/>
      <c r="BM238" s="158"/>
      <c r="BN238" s="558"/>
      <c r="BO238" s="45"/>
      <c r="BP238" s="45"/>
      <c r="BQ238" s="532"/>
      <c r="BR238" s="532"/>
      <c r="BS238" s="532"/>
      <c r="BT238" s="532"/>
      <c r="BU238" s="532"/>
      <c r="BV238" s="559"/>
      <c r="BW238" s="45"/>
      <c r="BX238" s="45"/>
      <c r="BY238" s="45"/>
      <c r="BZ238" s="69"/>
      <c r="CA238" s="69"/>
      <c r="CB238" s="69"/>
      <c r="CC238" s="69"/>
      <c r="CD238" s="69"/>
      <c r="CE238" s="22"/>
      <c r="CF238" s="22"/>
      <c r="CG238" s="22"/>
    </row>
    <row r="239" spans="1:85" ht="15.75" customHeight="1" x14ac:dyDescent="0.45">
      <c r="A239" s="22"/>
      <c r="B239" s="12"/>
      <c r="C239" s="12"/>
      <c r="D239" s="155"/>
      <c r="E239" s="144"/>
      <c r="F239" s="144"/>
      <c r="G239" s="12"/>
      <c r="H239" s="22"/>
      <c r="I239" s="22"/>
      <c r="J239" s="22"/>
      <c r="K239" s="145"/>
      <c r="L239" s="144"/>
      <c r="M239" s="144"/>
      <c r="N239" s="144"/>
      <c r="O239" s="145"/>
      <c r="P239" s="145"/>
      <c r="Q239" s="145"/>
      <c r="R239" s="145"/>
      <c r="S239" s="144"/>
      <c r="T239" s="145"/>
      <c r="U239" s="145"/>
      <c r="V239" s="145"/>
      <c r="W239" s="145"/>
      <c r="X239" s="53"/>
      <c r="Y239" s="74"/>
      <c r="Z239" s="145"/>
      <c r="AA239" s="145"/>
      <c r="AB239" s="145"/>
      <c r="AC239" s="146"/>
      <c r="AD239" s="145"/>
      <c r="AE239" s="145"/>
      <c r="AF239" s="145"/>
      <c r="AG239" s="145"/>
      <c r="AH239" s="146"/>
      <c r="AI239" s="145"/>
      <c r="AJ239" s="145"/>
      <c r="AK239" s="145"/>
      <c r="AL239" s="145"/>
      <c r="AM239" s="145"/>
      <c r="AN239" s="145"/>
      <c r="AO239" s="145"/>
      <c r="AP239" s="74"/>
      <c r="AQ239" s="74"/>
      <c r="AR239" s="74"/>
      <c r="AS239" s="523"/>
      <c r="AT239" s="523"/>
      <c r="AU239" s="523"/>
      <c r="AV239" s="555"/>
      <c r="AW239" s="12"/>
      <c r="AX239" s="12"/>
      <c r="AY239" s="152"/>
      <c r="AZ239" s="22"/>
      <c r="BA239" s="74"/>
      <c r="BB239" s="45"/>
      <c r="BC239" s="22"/>
      <c r="BD239" s="158"/>
      <c r="BE239" s="558"/>
      <c r="BF239" s="45"/>
      <c r="BG239" s="45"/>
      <c r="BH239" s="45"/>
      <c r="BI239" s="45"/>
      <c r="BJ239" s="45"/>
      <c r="BK239" s="45"/>
      <c r="BL239" s="45"/>
      <c r="BM239" s="158"/>
      <c r="BN239" s="558"/>
      <c r="BO239" s="45"/>
      <c r="BP239" s="45"/>
      <c r="BQ239" s="532"/>
      <c r="BR239" s="532"/>
      <c r="BS239" s="532"/>
      <c r="BT239" s="532"/>
      <c r="BU239" s="532"/>
      <c r="BV239" s="559"/>
      <c r="BW239" s="45"/>
      <c r="BX239" s="45"/>
      <c r="BY239" s="45"/>
      <c r="BZ239" s="69"/>
      <c r="CA239" s="69"/>
      <c r="CB239" s="69"/>
      <c r="CC239" s="69"/>
      <c r="CD239" s="69"/>
      <c r="CE239" s="22"/>
      <c r="CF239" s="22"/>
      <c r="CG239" s="22"/>
    </row>
    <row r="240" spans="1:85" ht="15.75" customHeight="1" x14ac:dyDescent="0.45">
      <c r="A240" s="22"/>
      <c r="B240" s="12"/>
      <c r="C240" s="12"/>
      <c r="D240" s="155"/>
      <c r="E240" s="144"/>
      <c r="F240" s="144"/>
      <c r="G240" s="12"/>
      <c r="H240" s="22"/>
      <c r="I240" s="22"/>
      <c r="J240" s="22"/>
      <c r="K240" s="145"/>
      <c r="L240" s="144"/>
      <c r="M240" s="144"/>
      <c r="N240" s="144"/>
      <c r="O240" s="145"/>
      <c r="P240" s="145"/>
      <c r="Q240" s="145"/>
      <c r="R240" s="145"/>
      <c r="S240" s="144"/>
      <c r="T240" s="145"/>
      <c r="U240" s="145"/>
      <c r="V240" s="145"/>
      <c r="W240" s="145"/>
      <c r="X240" s="53"/>
      <c r="Y240" s="74"/>
      <c r="Z240" s="145"/>
      <c r="AA240" s="145"/>
      <c r="AB240" s="145"/>
      <c r="AC240" s="146"/>
      <c r="AD240" s="145"/>
      <c r="AE240" s="145"/>
      <c r="AF240" s="145"/>
      <c r="AG240" s="145"/>
      <c r="AH240" s="146"/>
      <c r="AI240" s="145"/>
      <c r="AJ240" s="145"/>
      <c r="AK240" s="145"/>
      <c r="AL240" s="145"/>
      <c r="AM240" s="145"/>
      <c r="AN240" s="145"/>
      <c r="AO240" s="145"/>
      <c r="AP240" s="74"/>
      <c r="AQ240" s="74"/>
      <c r="AR240" s="74"/>
      <c r="AS240" s="523"/>
      <c r="AT240" s="523"/>
      <c r="AU240" s="523"/>
      <c r="AV240" s="555"/>
      <c r="AW240" s="12"/>
      <c r="AX240" s="12"/>
      <c r="AY240" s="152"/>
      <c r="AZ240" s="22"/>
      <c r="BA240" s="74"/>
      <c r="BB240" s="45"/>
      <c r="BC240" s="22"/>
      <c r="BD240" s="158"/>
      <c r="BE240" s="558"/>
      <c r="BF240" s="45"/>
      <c r="BG240" s="45"/>
      <c r="BH240" s="45"/>
      <c r="BI240" s="45"/>
      <c r="BJ240" s="45"/>
      <c r="BK240" s="45"/>
      <c r="BL240" s="45"/>
      <c r="BM240" s="158"/>
      <c r="BN240" s="558"/>
      <c r="BO240" s="45"/>
      <c r="BP240" s="45"/>
      <c r="BQ240" s="532"/>
      <c r="BR240" s="532"/>
      <c r="BS240" s="532"/>
      <c r="BT240" s="532"/>
      <c r="BU240" s="532"/>
      <c r="BV240" s="559"/>
      <c r="BW240" s="45"/>
      <c r="BX240" s="45"/>
      <c r="BY240" s="45"/>
      <c r="BZ240" s="69"/>
      <c r="CA240" s="69"/>
      <c r="CB240" s="69"/>
      <c r="CC240" s="69"/>
      <c r="CD240" s="69"/>
      <c r="CE240" s="22"/>
      <c r="CF240" s="22"/>
      <c r="CG240" s="22"/>
    </row>
    <row r="241" spans="1:85" ht="15.75" customHeight="1" x14ac:dyDescent="0.45">
      <c r="A241" s="22"/>
      <c r="B241" s="12"/>
      <c r="C241" s="12"/>
      <c r="D241" s="155"/>
      <c r="E241" s="144"/>
      <c r="F241" s="144"/>
      <c r="G241" s="12"/>
      <c r="H241" s="22"/>
      <c r="I241" s="22"/>
      <c r="J241" s="22"/>
      <c r="K241" s="145"/>
      <c r="L241" s="144"/>
      <c r="M241" s="144"/>
      <c r="N241" s="144"/>
      <c r="O241" s="145"/>
      <c r="P241" s="145"/>
      <c r="Q241" s="145"/>
      <c r="R241" s="145"/>
      <c r="S241" s="144"/>
      <c r="T241" s="145"/>
      <c r="U241" s="145"/>
      <c r="V241" s="145"/>
      <c r="W241" s="145"/>
      <c r="X241" s="53"/>
      <c r="Y241" s="74"/>
      <c r="Z241" s="145"/>
      <c r="AA241" s="145"/>
      <c r="AB241" s="145"/>
      <c r="AC241" s="146"/>
      <c r="AD241" s="145"/>
      <c r="AE241" s="145"/>
      <c r="AF241" s="145"/>
      <c r="AG241" s="145"/>
      <c r="AH241" s="146"/>
      <c r="AI241" s="145"/>
      <c r="AJ241" s="145"/>
      <c r="AK241" s="145"/>
      <c r="AL241" s="145"/>
      <c r="AM241" s="145"/>
      <c r="AN241" s="145"/>
      <c r="AO241" s="145"/>
      <c r="AP241" s="74"/>
      <c r="AQ241" s="74"/>
      <c r="AR241" s="74"/>
      <c r="AS241" s="523"/>
      <c r="AT241" s="523"/>
      <c r="AU241" s="523"/>
      <c r="AV241" s="555"/>
      <c r="AW241" s="12"/>
      <c r="AX241" s="12"/>
      <c r="AY241" s="152"/>
      <c r="AZ241" s="22"/>
      <c r="BA241" s="74"/>
      <c r="BB241" s="45"/>
      <c r="BC241" s="22"/>
      <c r="BD241" s="158"/>
      <c r="BE241" s="558"/>
      <c r="BF241" s="45"/>
      <c r="BG241" s="45"/>
      <c r="BH241" s="45"/>
      <c r="BI241" s="45"/>
      <c r="BJ241" s="45"/>
      <c r="BK241" s="45"/>
      <c r="BL241" s="45"/>
      <c r="BM241" s="158"/>
      <c r="BN241" s="558"/>
      <c r="BO241" s="45"/>
      <c r="BP241" s="45"/>
      <c r="BQ241" s="532"/>
      <c r="BR241" s="532"/>
      <c r="BS241" s="532"/>
      <c r="BT241" s="532"/>
      <c r="BU241" s="532"/>
      <c r="BV241" s="559"/>
      <c r="BW241" s="45"/>
      <c r="BX241" s="45"/>
      <c r="BY241" s="45"/>
      <c r="BZ241" s="69"/>
      <c r="CA241" s="69"/>
      <c r="CB241" s="69"/>
      <c r="CC241" s="69"/>
      <c r="CD241" s="69"/>
      <c r="CE241" s="22"/>
      <c r="CF241" s="22"/>
      <c r="CG241" s="22"/>
    </row>
    <row r="242" spans="1:85" ht="15.75" customHeight="1" x14ac:dyDescent="0.45">
      <c r="A242" s="22"/>
      <c r="B242" s="12"/>
      <c r="C242" s="12"/>
      <c r="D242" s="155"/>
      <c r="E242" s="144"/>
      <c r="F242" s="144"/>
      <c r="G242" s="12"/>
      <c r="H242" s="22"/>
      <c r="I242" s="22"/>
      <c r="J242" s="22"/>
      <c r="K242" s="145"/>
      <c r="L242" s="144"/>
      <c r="M242" s="144"/>
      <c r="N242" s="144"/>
      <c r="O242" s="145"/>
      <c r="P242" s="145"/>
      <c r="Q242" s="145"/>
      <c r="R242" s="145"/>
      <c r="S242" s="144"/>
      <c r="T242" s="145"/>
      <c r="U242" s="145"/>
      <c r="V242" s="145"/>
      <c r="W242" s="145"/>
      <c r="X242" s="53"/>
      <c r="Y242" s="74"/>
      <c r="Z242" s="145"/>
      <c r="AA242" s="145"/>
      <c r="AB242" s="145"/>
      <c r="AC242" s="146"/>
      <c r="AD242" s="145"/>
      <c r="AE242" s="145"/>
      <c r="AF242" s="145"/>
      <c r="AG242" s="145"/>
      <c r="AH242" s="146"/>
      <c r="AI242" s="145"/>
      <c r="AJ242" s="145"/>
      <c r="AK242" s="145"/>
      <c r="AL242" s="145"/>
      <c r="AM242" s="145"/>
      <c r="AN242" s="145"/>
      <c r="AO242" s="145"/>
      <c r="AP242" s="74"/>
      <c r="AQ242" s="74"/>
      <c r="AR242" s="74"/>
      <c r="AS242" s="523"/>
      <c r="AT242" s="523"/>
      <c r="AU242" s="523"/>
      <c r="AV242" s="555"/>
      <c r="AW242" s="12"/>
      <c r="AX242" s="12"/>
      <c r="AY242" s="152"/>
      <c r="AZ242" s="22"/>
      <c r="BA242" s="74"/>
      <c r="BB242" s="45"/>
      <c r="BC242" s="22"/>
      <c r="BD242" s="158"/>
      <c r="BE242" s="558"/>
      <c r="BF242" s="45"/>
      <c r="BG242" s="45"/>
      <c r="BH242" s="45"/>
      <c r="BI242" s="45"/>
      <c r="BJ242" s="45"/>
      <c r="BK242" s="45"/>
      <c r="BL242" s="45"/>
      <c r="BM242" s="158"/>
      <c r="BN242" s="558"/>
      <c r="BO242" s="45"/>
      <c r="BP242" s="45"/>
      <c r="BQ242" s="532"/>
      <c r="BR242" s="532"/>
      <c r="BS242" s="532"/>
      <c r="BT242" s="532"/>
      <c r="BU242" s="532"/>
      <c r="BV242" s="559"/>
      <c r="BW242" s="45"/>
      <c r="BX242" s="45"/>
      <c r="BY242" s="45"/>
      <c r="BZ242" s="69"/>
      <c r="CA242" s="69"/>
      <c r="CB242" s="69"/>
      <c r="CC242" s="69"/>
      <c r="CD242" s="69"/>
      <c r="CE242" s="22"/>
      <c r="CF242" s="22"/>
      <c r="CG242" s="22"/>
    </row>
    <row r="243" spans="1:85" ht="15.75" customHeight="1" x14ac:dyDescent="0.45">
      <c r="A243" s="22"/>
      <c r="B243" s="12"/>
      <c r="C243" s="12"/>
      <c r="D243" s="155"/>
      <c r="E243" s="144"/>
      <c r="F243" s="144"/>
      <c r="G243" s="12"/>
      <c r="H243" s="22"/>
      <c r="I243" s="22"/>
      <c r="J243" s="22"/>
      <c r="K243" s="145"/>
      <c r="L243" s="144"/>
      <c r="M243" s="144"/>
      <c r="N243" s="144"/>
      <c r="O243" s="145"/>
      <c r="P243" s="145"/>
      <c r="Q243" s="145"/>
      <c r="R243" s="145"/>
      <c r="S243" s="144"/>
      <c r="T243" s="145"/>
      <c r="U243" s="145"/>
      <c r="V243" s="145"/>
      <c r="W243" s="145"/>
      <c r="X243" s="53"/>
      <c r="Y243" s="74"/>
      <c r="Z243" s="145"/>
      <c r="AA243" s="145"/>
      <c r="AB243" s="145"/>
      <c r="AC243" s="146"/>
      <c r="AD243" s="145"/>
      <c r="AE243" s="145"/>
      <c r="AF243" s="145"/>
      <c r="AG243" s="145"/>
      <c r="AH243" s="146"/>
      <c r="AI243" s="145"/>
      <c r="AJ243" s="145"/>
      <c r="AK243" s="145"/>
      <c r="AL243" s="145"/>
      <c r="AM243" s="145"/>
      <c r="AN243" s="145"/>
      <c r="AO243" s="145"/>
      <c r="AP243" s="74"/>
      <c r="AQ243" s="74"/>
      <c r="AR243" s="74"/>
      <c r="AS243" s="523"/>
      <c r="AT243" s="523"/>
      <c r="AU243" s="523"/>
      <c r="AV243" s="555"/>
      <c r="AW243" s="12"/>
      <c r="AX243" s="12"/>
      <c r="AY243" s="152"/>
      <c r="AZ243" s="22"/>
      <c r="BA243" s="74"/>
      <c r="BB243" s="45"/>
      <c r="BC243" s="22"/>
      <c r="BD243" s="158"/>
      <c r="BE243" s="558"/>
      <c r="BF243" s="45"/>
      <c r="BG243" s="45"/>
      <c r="BH243" s="45"/>
      <c r="BI243" s="45"/>
      <c r="BJ243" s="45"/>
      <c r="BK243" s="45"/>
      <c r="BL243" s="45"/>
      <c r="BM243" s="158"/>
      <c r="BN243" s="558"/>
      <c r="BO243" s="45"/>
      <c r="BP243" s="45"/>
      <c r="BQ243" s="149"/>
      <c r="BR243" s="149"/>
      <c r="BS243" s="149"/>
      <c r="BT243" s="149"/>
      <c r="BU243" s="149"/>
      <c r="BV243" s="559"/>
      <c r="BW243" s="45"/>
      <c r="BX243" s="45"/>
      <c r="BY243" s="45"/>
      <c r="BZ243" s="69"/>
      <c r="CA243" s="69"/>
      <c r="CB243" s="69"/>
      <c r="CC243" s="69"/>
      <c r="CD243" s="69"/>
      <c r="CE243" s="22"/>
      <c r="CF243" s="22"/>
      <c r="CG243" s="22"/>
    </row>
    <row r="244" spans="1:85" ht="15.75" customHeight="1" x14ac:dyDescent="0.45">
      <c r="A244" s="22"/>
      <c r="B244" s="12"/>
      <c r="C244" s="12"/>
      <c r="D244" s="155"/>
      <c r="E244" s="144"/>
      <c r="F244" s="144"/>
      <c r="G244" s="12"/>
      <c r="H244" s="22"/>
      <c r="I244" s="22"/>
      <c r="J244" s="22"/>
      <c r="K244" s="145"/>
      <c r="L244" s="144"/>
      <c r="M244" s="144"/>
      <c r="N244" s="144"/>
      <c r="O244" s="145"/>
      <c r="P244" s="145"/>
      <c r="Q244" s="145"/>
      <c r="R244" s="145"/>
      <c r="S244" s="144"/>
      <c r="T244" s="145"/>
      <c r="U244" s="145"/>
      <c r="V244" s="145"/>
      <c r="W244" s="145"/>
      <c r="X244" s="53"/>
      <c r="Y244" s="74"/>
      <c r="Z244" s="145"/>
      <c r="AA244" s="145"/>
      <c r="AB244" s="145"/>
      <c r="AC244" s="146"/>
      <c r="AD244" s="145"/>
      <c r="AE244" s="145"/>
      <c r="AF244" s="145"/>
      <c r="AG244" s="145"/>
      <c r="AH244" s="146"/>
      <c r="AI244" s="145"/>
      <c r="AJ244" s="145"/>
      <c r="AK244" s="145"/>
      <c r="AL244" s="145"/>
      <c r="AM244" s="145"/>
      <c r="AN244" s="145"/>
      <c r="AO244" s="145"/>
      <c r="AP244" s="74"/>
      <c r="AQ244" s="74"/>
      <c r="AR244" s="74"/>
      <c r="AS244" s="523"/>
      <c r="AT244" s="523"/>
      <c r="AU244" s="523"/>
      <c r="AV244" s="555"/>
      <c r="AW244" s="12"/>
      <c r="AX244" s="12"/>
      <c r="AY244" s="152"/>
      <c r="AZ244" s="22"/>
      <c r="BA244" s="74"/>
      <c r="BB244" s="45"/>
      <c r="BC244" s="22"/>
      <c r="BD244" s="158"/>
      <c r="BE244" s="558"/>
      <c r="BF244" s="45"/>
      <c r="BG244" s="45"/>
      <c r="BH244" s="45"/>
      <c r="BI244" s="45"/>
      <c r="BJ244" s="45"/>
      <c r="BK244" s="45"/>
      <c r="BL244" s="45"/>
      <c r="BM244" s="158"/>
      <c r="BN244" s="558"/>
      <c r="BO244" s="45"/>
      <c r="BP244" s="45"/>
      <c r="BQ244" s="149"/>
      <c r="BR244" s="149"/>
      <c r="BS244" s="149"/>
      <c r="BT244" s="149"/>
      <c r="BU244" s="149"/>
      <c r="BV244" s="559"/>
      <c r="BW244" s="45"/>
      <c r="BX244" s="45"/>
      <c r="BY244" s="45"/>
      <c r="BZ244" s="69"/>
      <c r="CA244" s="69"/>
      <c r="CB244" s="69"/>
      <c r="CC244" s="69"/>
      <c r="CD244" s="69"/>
      <c r="CE244" s="22"/>
      <c r="CF244" s="22"/>
      <c r="CG244" s="22"/>
    </row>
    <row r="245" spans="1:85" ht="15.75" customHeight="1" x14ac:dyDescent="0.45">
      <c r="A245" s="22"/>
      <c r="B245" s="12"/>
      <c r="C245" s="12"/>
      <c r="D245" s="155"/>
      <c r="E245" s="144"/>
      <c r="F245" s="144"/>
      <c r="G245" s="12"/>
      <c r="H245" s="22"/>
      <c r="I245" s="22"/>
      <c r="J245" s="22"/>
      <c r="K245" s="145"/>
      <c r="L245" s="144"/>
      <c r="M245" s="144"/>
      <c r="N245" s="144"/>
      <c r="O245" s="145"/>
      <c r="P245" s="145"/>
      <c r="Q245" s="145"/>
      <c r="R245" s="145"/>
      <c r="S245" s="144"/>
      <c r="T245" s="145"/>
      <c r="U245" s="145"/>
      <c r="V245" s="145"/>
      <c r="W245" s="145"/>
      <c r="X245" s="53"/>
      <c r="Y245" s="74"/>
      <c r="Z245" s="145"/>
      <c r="AA245" s="145"/>
      <c r="AB245" s="145"/>
      <c r="AC245" s="146"/>
      <c r="AD245" s="145"/>
      <c r="AE245" s="145"/>
      <c r="AF245" s="145"/>
      <c r="AG245" s="145"/>
      <c r="AH245" s="146"/>
      <c r="AI245" s="145"/>
      <c r="AJ245" s="145"/>
      <c r="AK245" s="145"/>
      <c r="AL245" s="145"/>
      <c r="AM245" s="145"/>
      <c r="AN245" s="145"/>
      <c r="AO245" s="145"/>
      <c r="AP245" s="74"/>
      <c r="AQ245" s="74"/>
      <c r="AR245" s="74"/>
      <c r="AS245" s="523"/>
      <c r="AT245" s="523"/>
      <c r="AU245" s="523"/>
      <c r="AV245" s="555"/>
      <c r="AW245" s="12"/>
      <c r="AX245" s="12"/>
      <c r="AY245" s="152"/>
      <c r="AZ245" s="22"/>
      <c r="BA245" s="74"/>
      <c r="BB245" s="45"/>
      <c r="BC245" s="22"/>
      <c r="BD245" s="158"/>
      <c r="BE245" s="558"/>
      <c r="BF245" s="45"/>
      <c r="BG245" s="45"/>
      <c r="BH245" s="45"/>
      <c r="BI245" s="45"/>
      <c r="BJ245" s="45"/>
      <c r="BK245" s="45"/>
      <c r="BL245" s="45"/>
      <c r="BM245" s="158"/>
      <c r="BN245" s="558"/>
      <c r="BO245" s="45"/>
      <c r="BP245" s="45"/>
      <c r="BQ245" s="532"/>
      <c r="BR245" s="532"/>
      <c r="BS245" s="532"/>
      <c r="BT245" s="532"/>
      <c r="BU245" s="532"/>
      <c r="BV245" s="559"/>
      <c r="BW245" s="45"/>
      <c r="BX245" s="45"/>
      <c r="BY245" s="45"/>
      <c r="BZ245" s="69"/>
      <c r="CA245" s="69"/>
      <c r="CB245" s="69"/>
      <c r="CC245" s="69"/>
      <c r="CD245" s="69"/>
      <c r="CE245" s="22"/>
      <c r="CF245" s="22"/>
      <c r="CG245" s="22"/>
    </row>
    <row r="246" spans="1:85" ht="15.75" customHeight="1" x14ac:dyDescent="0.45">
      <c r="A246" s="22"/>
      <c r="B246" s="12"/>
      <c r="C246" s="12"/>
      <c r="D246" s="155"/>
      <c r="E246" s="144"/>
      <c r="F246" s="144"/>
      <c r="G246" s="12"/>
      <c r="H246" s="22"/>
      <c r="I246" s="22"/>
      <c r="J246" s="22"/>
      <c r="K246" s="145"/>
      <c r="L246" s="144"/>
      <c r="M246" s="144"/>
      <c r="N246" s="144"/>
      <c r="O246" s="145"/>
      <c r="P246" s="145"/>
      <c r="Q246" s="145"/>
      <c r="R246" s="145"/>
      <c r="S246" s="144"/>
      <c r="T246" s="145"/>
      <c r="U246" s="145"/>
      <c r="V246" s="145"/>
      <c r="W246" s="145"/>
      <c r="X246" s="53"/>
      <c r="Y246" s="74"/>
      <c r="Z246" s="145"/>
      <c r="AA246" s="145"/>
      <c r="AB246" s="145"/>
      <c r="AC246" s="146"/>
      <c r="AD246" s="145"/>
      <c r="AE246" s="145"/>
      <c r="AF246" s="145"/>
      <c r="AG246" s="145"/>
      <c r="AH246" s="146"/>
      <c r="AI246" s="145"/>
      <c r="AJ246" s="145"/>
      <c r="AK246" s="145"/>
      <c r="AL246" s="145"/>
      <c r="AM246" s="145"/>
      <c r="AN246" s="145"/>
      <c r="AO246" s="145"/>
      <c r="AP246" s="74"/>
      <c r="AQ246" s="74"/>
      <c r="AR246" s="74"/>
      <c r="AS246" s="523"/>
      <c r="AT246" s="523"/>
      <c r="AU246" s="523"/>
      <c r="AV246" s="555"/>
      <c r="AW246" s="12"/>
      <c r="AX246" s="12"/>
      <c r="AY246" s="152"/>
      <c r="AZ246" s="22"/>
      <c r="BA246" s="74"/>
      <c r="BB246" s="45"/>
      <c r="BC246" s="22"/>
      <c r="BD246" s="158"/>
      <c r="BE246" s="558"/>
      <c r="BF246" s="45"/>
      <c r="BG246" s="45"/>
      <c r="BH246" s="45"/>
      <c r="BI246" s="45"/>
      <c r="BJ246" s="45"/>
      <c r="BK246" s="45"/>
      <c r="BL246" s="45"/>
      <c r="BM246" s="158"/>
      <c r="BN246" s="558"/>
      <c r="BO246" s="45"/>
      <c r="BP246" s="45"/>
      <c r="BQ246" s="532"/>
      <c r="BR246" s="532"/>
      <c r="BS246" s="532"/>
      <c r="BT246" s="532"/>
      <c r="BU246" s="532"/>
      <c r="BV246" s="559"/>
      <c r="BW246" s="45"/>
      <c r="BX246" s="45"/>
      <c r="BY246" s="45"/>
      <c r="BZ246" s="69"/>
      <c r="CA246" s="69"/>
      <c r="CB246" s="69"/>
      <c r="CC246" s="69"/>
      <c r="CD246" s="69"/>
      <c r="CE246" s="22"/>
      <c r="CF246" s="22"/>
      <c r="CG246" s="22"/>
    </row>
    <row r="247" spans="1:85" ht="15.75" customHeight="1" x14ac:dyDescent="0.45">
      <c r="A247" s="22"/>
      <c r="B247" s="12"/>
      <c r="C247" s="12"/>
      <c r="D247" s="155"/>
      <c r="E247" s="144"/>
      <c r="F247" s="144"/>
      <c r="G247" s="12"/>
      <c r="H247" s="22"/>
      <c r="I247" s="22"/>
      <c r="J247" s="22"/>
      <c r="K247" s="145"/>
      <c r="L247" s="144"/>
      <c r="M247" s="144"/>
      <c r="N247" s="144"/>
      <c r="O247" s="145"/>
      <c r="P247" s="145"/>
      <c r="Q247" s="145"/>
      <c r="R247" s="145"/>
      <c r="S247" s="144"/>
      <c r="T247" s="145"/>
      <c r="U247" s="145"/>
      <c r="V247" s="145"/>
      <c r="W247" s="145"/>
      <c r="X247" s="53"/>
      <c r="Y247" s="74"/>
      <c r="Z247" s="145"/>
      <c r="AA247" s="145"/>
      <c r="AB247" s="145"/>
      <c r="AC247" s="146"/>
      <c r="AD247" s="145"/>
      <c r="AE247" s="145"/>
      <c r="AF247" s="145"/>
      <c r="AG247" s="145"/>
      <c r="AH247" s="146"/>
      <c r="AI247" s="145"/>
      <c r="AJ247" s="145"/>
      <c r="AK247" s="145"/>
      <c r="AL247" s="145"/>
      <c r="AM247" s="145"/>
      <c r="AN247" s="145"/>
      <c r="AO247" s="145"/>
      <c r="AP247" s="74"/>
      <c r="AQ247" s="74"/>
      <c r="AR247" s="74"/>
      <c r="AS247" s="523"/>
      <c r="AT247" s="523"/>
      <c r="AU247" s="523"/>
      <c r="AV247" s="555"/>
      <c r="AW247" s="12"/>
      <c r="AX247" s="12"/>
      <c r="AY247" s="152"/>
      <c r="AZ247" s="22"/>
      <c r="BA247" s="74"/>
      <c r="BB247" s="45"/>
      <c r="BC247" s="22"/>
      <c r="BD247" s="158"/>
      <c r="BE247" s="558"/>
      <c r="BF247" s="45"/>
      <c r="BG247" s="45"/>
      <c r="BH247" s="45"/>
      <c r="BI247" s="45"/>
      <c r="BJ247" s="45"/>
      <c r="BK247" s="45"/>
      <c r="BL247" s="45"/>
      <c r="BM247" s="158"/>
      <c r="BN247" s="558"/>
      <c r="BO247" s="45"/>
      <c r="BP247" s="45"/>
      <c r="BQ247" s="532"/>
      <c r="BR247" s="532"/>
      <c r="BS247" s="532"/>
      <c r="BT247" s="532"/>
      <c r="BU247" s="532"/>
      <c r="BV247" s="559"/>
      <c r="BW247" s="45"/>
      <c r="BX247" s="45"/>
      <c r="BY247" s="45"/>
      <c r="BZ247" s="69"/>
      <c r="CA247" s="69"/>
      <c r="CB247" s="69"/>
      <c r="CC247" s="69"/>
      <c r="CD247" s="69"/>
      <c r="CE247" s="22"/>
      <c r="CF247" s="22"/>
      <c r="CG247" s="22"/>
    </row>
    <row r="248" spans="1:85" ht="15.75" customHeight="1" x14ac:dyDescent="0.45">
      <c r="A248" s="22"/>
      <c r="B248" s="12"/>
      <c r="C248" s="12"/>
      <c r="D248" s="155"/>
      <c r="E248" s="144"/>
      <c r="F248" s="144"/>
      <c r="G248" s="12"/>
      <c r="H248" s="22"/>
      <c r="I248" s="22"/>
      <c r="J248" s="22"/>
      <c r="K248" s="145"/>
      <c r="L248" s="144"/>
      <c r="M248" s="144"/>
      <c r="N248" s="144"/>
      <c r="O248" s="145"/>
      <c r="P248" s="145"/>
      <c r="Q248" s="145"/>
      <c r="R248" s="145"/>
      <c r="S248" s="144"/>
      <c r="T248" s="145"/>
      <c r="U248" s="145"/>
      <c r="V248" s="145"/>
      <c r="W248" s="145"/>
      <c r="X248" s="53"/>
      <c r="Y248" s="74"/>
      <c r="Z248" s="145"/>
      <c r="AA248" s="145"/>
      <c r="AB248" s="145"/>
      <c r="AC248" s="146"/>
      <c r="AD248" s="145"/>
      <c r="AE248" s="145"/>
      <c r="AF248" s="145"/>
      <c r="AG248" s="145"/>
      <c r="AH248" s="146"/>
      <c r="AI248" s="145"/>
      <c r="AJ248" s="145"/>
      <c r="AK248" s="145"/>
      <c r="AL248" s="145"/>
      <c r="AM248" s="145"/>
      <c r="AN248" s="145"/>
      <c r="AO248" s="145"/>
      <c r="AP248" s="74"/>
      <c r="AQ248" s="74"/>
      <c r="AR248" s="74"/>
      <c r="AS248" s="523"/>
      <c r="AT248" s="523"/>
      <c r="AU248" s="523"/>
      <c r="AV248" s="555"/>
      <c r="AW248" s="12"/>
      <c r="AX248" s="12"/>
      <c r="AY248" s="152"/>
      <c r="AZ248" s="22"/>
      <c r="BA248" s="74"/>
      <c r="BB248" s="45"/>
      <c r="BC248" s="22"/>
      <c r="BD248" s="158"/>
      <c r="BE248" s="558"/>
      <c r="BF248" s="45"/>
      <c r="BG248" s="45"/>
      <c r="BH248" s="45"/>
      <c r="BI248" s="45"/>
      <c r="BJ248" s="45"/>
      <c r="BK248" s="45"/>
      <c r="BL248" s="45"/>
      <c r="BM248" s="158"/>
      <c r="BN248" s="558"/>
      <c r="BO248" s="45"/>
      <c r="BP248" s="45"/>
      <c r="BQ248" s="149"/>
      <c r="BR248" s="149"/>
      <c r="BS248" s="149"/>
      <c r="BT248" s="149"/>
      <c r="BU248" s="149"/>
      <c r="BV248" s="559"/>
      <c r="BW248" s="45"/>
      <c r="BX248" s="45"/>
      <c r="BY248" s="45"/>
      <c r="BZ248" s="69"/>
      <c r="CA248" s="69"/>
      <c r="CB248" s="69"/>
      <c r="CC248" s="69"/>
      <c r="CD248" s="69"/>
      <c r="CE248" s="22"/>
      <c r="CF248" s="22"/>
      <c r="CG248" s="22"/>
    </row>
    <row r="249" spans="1:85" ht="15.75" customHeight="1" x14ac:dyDescent="0.45">
      <c r="A249" s="22"/>
      <c r="B249" s="12"/>
      <c r="C249" s="12"/>
      <c r="D249" s="155"/>
      <c r="E249" s="144"/>
      <c r="F249" s="144"/>
      <c r="G249" s="12"/>
      <c r="H249" s="22"/>
      <c r="I249" s="22"/>
      <c r="J249" s="22"/>
      <c r="K249" s="145"/>
      <c r="L249" s="144"/>
      <c r="M249" s="144"/>
      <c r="N249" s="144"/>
      <c r="O249" s="145"/>
      <c r="P249" s="145"/>
      <c r="Q249" s="145"/>
      <c r="R249" s="145"/>
      <c r="S249" s="144"/>
      <c r="T249" s="145"/>
      <c r="U249" s="145"/>
      <c r="V249" s="145"/>
      <c r="W249" s="145"/>
      <c r="X249" s="53"/>
      <c r="Y249" s="74"/>
      <c r="Z249" s="145"/>
      <c r="AA249" s="145"/>
      <c r="AB249" s="145"/>
      <c r="AC249" s="146"/>
      <c r="AD249" s="145"/>
      <c r="AE249" s="145"/>
      <c r="AF249" s="145"/>
      <c r="AG249" s="145"/>
      <c r="AH249" s="146"/>
      <c r="AI249" s="145"/>
      <c r="AJ249" s="145"/>
      <c r="AK249" s="145"/>
      <c r="AL249" s="145"/>
      <c r="AM249" s="145"/>
      <c r="AN249" s="145"/>
      <c r="AO249" s="145"/>
      <c r="AP249" s="74"/>
      <c r="AQ249" s="74"/>
      <c r="AR249" s="74"/>
      <c r="AS249" s="523"/>
      <c r="AT249" s="523"/>
      <c r="AU249" s="523"/>
      <c r="AV249" s="555"/>
      <c r="AW249" s="12"/>
      <c r="AX249" s="12"/>
      <c r="AY249" s="152"/>
      <c r="AZ249" s="22"/>
      <c r="BA249" s="74"/>
      <c r="BB249" s="45"/>
      <c r="BC249" s="22"/>
      <c r="BD249" s="158"/>
      <c r="BE249" s="558"/>
      <c r="BF249" s="45"/>
      <c r="BG249" s="45"/>
      <c r="BH249" s="45"/>
      <c r="BI249" s="45"/>
      <c r="BJ249" s="45"/>
      <c r="BK249" s="45"/>
      <c r="BL249" s="45"/>
      <c r="BM249" s="158"/>
      <c r="BN249" s="558"/>
      <c r="BO249" s="45"/>
      <c r="BP249" s="45"/>
      <c r="BQ249" s="149"/>
      <c r="BR249" s="149"/>
      <c r="BS249" s="149"/>
      <c r="BT249" s="149"/>
      <c r="BU249" s="149"/>
      <c r="BV249" s="559"/>
      <c r="BW249" s="45"/>
      <c r="BX249" s="45"/>
      <c r="BY249" s="45"/>
      <c r="BZ249" s="69"/>
      <c r="CA249" s="69"/>
      <c r="CB249" s="69"/>
      <c r="CC249" s="69"/>
      <c r="CD249" s="69"/>
      <c r="CE249" s="22"/>
      <c r="CF249" s="22"/>
      <c r="CG249" s="22"/>
    </row>
    <row r="250" spans="1:85" ht="15.75" customHeight="1" x14ac:dyDescent="0.45">
      <c r="A250" s="22"/>
      <c r="B250" s="12"/>
      <c r="C250" s="12"/>
      <c r="D250" s="155"/>
      <c r="E250" s="144"/>
      <c r="F250" s="144"/>
      <c r="G250" s="12"/>
      <c r="H250" s="22"/>
      <c r="I250" s="22"/>
      <c r="J250" s="22"/>
      <c r="K250" s="145"/>
      <c r="L250" s="144"/>
      <c r="M250" s="144"/>
      <c r="N250" s="144"/>
      <c r="O250" s="145"/>
      <c r="P250" s="145"/>
      <c r="Q250" s="145"/>
      <c r="R250" s="145"/>
      <c r="S250" s="144"/>
      <c r="T250" s="145"/>
      <c r="U250" s="145"/>
      <c r="V250" s="145"/>
      <c r="W250" s="145"/>
      <c r="X250" s="53"/>
      <c r="Y250" s="74"/>
      <c r="Z250" s="145"/>
      <c r="AA250" s="145"/>
      <c r="AB250" s="145"/>
      <c r="AC250" s="146"/>
      <c r="AD250" s="145"/>
      <c r="AE250" s="145"/>
      <c r="AF250" s="145"/>
      <c r="AG250" s="145"/>
      <c r="AH250" s="146"/>
      <c r="AI250" s="145"/>
      <c r="AJ250" s="145"/>
      <c r="AK250" s="145"/>
      <c r="AL250" s="145"/>
      <c r="AM250" s="145"/>
      <c r="AN250" s="145"/>
      <c r="AO250" s="145"/>
      <c r="AP250" s="74"/>
      <c r="AQ250" s="74"/>
      <c r="AR250" s="74"/>
      <c r="AS250" s="523"/>
      <c r="AT250" s="523"/>
      <c r="AU250" s="523"/>
      <c r="AV250" s="555"/>
      <c r="AW250" s="12"/>
      <c r="AX250" s="12"/>
      <c r="AY250" s="152"/>
      <c r="AZ250" s="22"/>
      <c r="BA250" s="74"/>
      <c r="BB250" s="45"/>
      <c r="BC250" s="22"/>
      <c r="BD250" s="158"/>
      <c r="BE250" s="558"/>
      <c r="BF250" s="45"/>
      <c r="BG250" s="45"/>
      <c r="BH250" s="45"/>
      <c r="BI250" s="45"/>
      <c r="BJ250" s="45"/>
      <c r="BK250" s="45"/>
      <c r="BL250" s="45"/>
      <c r="BM250" s="158"/>
      <c r="BN250" s="558"/>
      <c r="BO250" s="45"/>
      <c r="BP250" s="45"/>
      <c r="BQ250" s="149"/>
      <c r="BR250" s="149"/>
      <c r="BS250" s="149"/>
      <c r="BT250" s="149"/>
      <c r="BU250" s="149"/>
      <c r="BV250" s="559"/>
      <c r="BW250" s="45"/>
      <c r="BX250" s="45"/>
      <c r="BY250" s="45"/>
      <c r="BZ250" s="69"/>
      <c r="CA250" s="69"/>
      <c r="CB250" s="69"/>
      <c r="CC250" s="69"/>
      <c r="CD250" s="69"/>
      <c r="CE250" s="22"/>
      <c r="CF250" s="22"/>
      <c r="CG250" s="22"/>
    </row>
    <row r="251" spans="1:85" ht="15.75" customHeight="1" x14ac:dyDescent="0.45">
      <c r="A251" s="22"/>
      <c r="B251" s="12"/>
      <c r="C251" s="12"/>
      <c r="D251" s="155"/>
      <c r="E251" s="144"/>
      <c r="F251" s="144"/>
      <c r="G251" s="12"/>
      <c r="H251" s="22"/>
      <c r="I251" s="22"/>
      <c r="J251" s="22"/>
      <c r="K251" s="145"/>
      <c r="L251" s="144"/>
      <c r="M251" s="144"/>
      <c r="N251" s="144"/>
      <c r="O251" s="145"/>
      <c r="P251" s="145"/>
      <c r="Q251" s="145"/>
      <c r="R251" s="145"/>
      <c r="S251" s="144"/>
      <c r="T251" s="145"/>
      <c r="U251" s="145"/>
      <c r="V251" s="145"/>
      <c r="W251" s="145"/>
      <c r="X251" s="53"/>
      <c r="Y251" s="74"/>
      <c r="Z251" s="145"/>
      <c r="AA251" s="145"/>
      <c r="AB251" s="145"/>
      <c r="AC251" s="146"/>
      <c r="AD251" s="145"/>
      <c r="AE251" s="145"/>
      <c r="AF251" s="145"/>
      <c r="AG251" s="145"/>
      <c r="AH251" s="146"/>
      <c r="AI251" s="145"/>
      <c r="AJ251" s="145"/>
      <c r="AK251" s="145"/>
      <c r="AL251" s="145"/>
      <c r="AM251" s="145"/>
      <c r="AN251" s="145"/>
      <c r="AO251" s="145"/>
      <c r="AP251" s="74"/>
      <c r="AQ251" s="74"/>
      <c r="AR251" s="74"/>
      <c r="AS251" s="523"/>
      <c r="AT251" s="523"/>
      <c r="AU251" s="523"/>
      <c r="AV251" s="555"/>
      <c r="AW251" s="12"/>
      <c r="AX251" s="12"/>
      <c r="AY251" s="152"/>
      <c r="AZ251" s="22"/>
      <c r="BA251" s="74"/>
      <c r="BB251" s="45"/>
      <c r="BC251" s="22"/>
      <c r="BD251" s="158"/>
      <c r="BE251" s="558"/>
      <c r="BF251" s="45"/>
      <c r="BG251" s="45"/>
      <c r="BH251" s="45"/>
      <c r="BI251" s="45"/>
      <c r="BJ251" s="45"/>
      <c r="BK251" s="45"/>
      <c r="BL251" s="45"/>
      <c r="BM251" s="158"/>
      <c r="BN251" s="558"/>
      <c r="BO251" s="45"/>
      <c r="BP251" s="45"/>
      <c r="BQ251" s="149"/>
      <c r="BR251" s="149"/>
      <c r="BS251" s="149"/>
      <c r="BT251" s="149"/>
      <c r="BU251" s="149"/>
      <c r="BV251" s="559"/>
      <c r="BW251" s="45"/>
      <c r="BX251" s="45"/>
      <c r="BY251" s="45"/>
      <c r="BZ251" s="69"/>
      <c r="CA251" s="69"/>
      <c r="CB251" s="69"/>
      <c r="CC251" s="69"/>
      <c r="CD251" s="69"/>
      <c r="CE251" s="22"/>
      <c r="CF251" s="22"/>
      <c r="CG251" s="22"/>
    </row>
    <row r="252" spans="1:85" ht="15.75" customHeight="1" x14ac:dyDescent="0.45">
      <c r="A252" s="22"/>
      <c r="B252" s="12"/>
      <c r="C252" s="12"/>
      <c r="D252" s="155"/>
      <c r="E252" s="144"/>
      <c r="F252" s="144"/>
      <c r="G252" s="12"/>
      <c r="H252" s="22"/>
      <c r="I252" s="22"/>
      <c r="J252" s="22"/>
      <c r="K252" s="145"/>
      <c r="L252" s="144"/>
      <c r="M252" s="144"/>
      <c r="N252" s="144"/>
      <c r="O252" s="145"/>
      <c r="P252" s="145"/>
      <c r="Q252" s="145"/>
      <c r="R252" s="145"/>
      <c r="S252" s="144"/>
      <c r="T252" s="145"/>
      <c r="U252" s="145"/>
      <c r="V252" s="145"/>
      <c r="W252" s="145"/>
      <c r="X252" s="53"/>
      <c r="Y252" s="74"/>
      <c r="Z252" s="145"/>
      <c r="AA252" s="145"/>
      <c r="AB252" s="145"/>
      <c r="AC252" s="146"/>
      <c r="AD252" s="145"/>
      <c r="AE252" s="145"/>
      <c r="AF252" s="145"/>
      <c r="AG252" s="145"/>
      <c r="AH252" s="146"/>
      <c r="AI252" s="145"/>
      <c r="AJ252" s="145"/>
      <c r="AK252" s="145"/>
      <c r="AL252" s="145"/>
      <c r="AM252" s="145"/>
      <c r="AN252" s="145"/>
      <c r="AO252" s="145"/>
      <c r="AP252" s="74"/>
      <c r="AQ252" s="74"/>
      <c r="AR252" s="74"/>
      <c r="AS252" s="523"/>
      <c r="AT252" s="523"/>
      <c r="AU252" s="523"/>
      <c r="AV252" s="555"/>
      <c r="AW252" s="12"/>
      <c r="AX252" s="12"/>
      <c r="AY252" s="152"/>
      <c r="AZ252" s="22"/>
      <c r="BA252" s="74"/>
      <c r="BB252" s="45"/>
      <c r="BC252" s="22"/>
      <c r="BD252" s="158"/>
      <c r="BE252" s="558"/>
      <c r="BF252" s="45"/>
      <c r="BG252" s="45"/>
      <c r="BH252" s="45"/>
      <c r="BI252" s="45"/>
      <c r="BJ252" s="45"/>
      <c r="BK252" s="45"/>
      <c r="BL252" s="45"/>
      <c r="BM252" s="158"/>
      <c r="BN252" s="558"/>
      <c r="BO252" s="45"/>
      <c r="BP252" s="45"/>
      <c r="BQ252" s="149"/>
      <c r="BR252" s="149"/>
      <c r="BS252" s="149"/>
      <c r="BT252" s="149"/>
      <c r="BU252" s="149"/>
      <c r="BV252" s="559"/>
      <c r="BW252" s="45"/>
      <c r="BX252" s="45"/>
      <c r="BY252" s="45"/>
      <c r="BZ252" s="69"/>
      <c r="CA252" s="69"/>
      <c r="CB252" s="69"/>
      <c r="CC252" s="69"/>
      <c r="CD252" s="69"/>
      <c r="CE252" s="22"/>
      <c r="CF252" s="22"/>
      <c r="CG252" s="22"/>
    </row>
    <row r="253" spans="1:85" ht="15.75" customHeight="1" x14ac:dyDescent="0.45">
      <c r="A253" s="22"/>
      <c r="B253" s="12"/>
      <c r="C253" s="12"/>
      <c r="D253" s="155"/>
      <c r="E253" s="144"/>
      <c r="F253" s="144"/>
      <c r="G253" s="12"/>
      <c r="H253" s="22"/>
      <c r="I253" s="22"/>
      <c r="J253" s="22"/>
      <c r="K253" s="145"/>
      <c r="L253" s="144"/>
      <c r="M253" s="144"/>
      <c r="N253" s="144"/>
      <c r="O253" s="145"/>
      <c r="P253" s="145"/>
      <c r="Q253" s="145"/>
      <c r="R253" s="145"/>
      <c r="S253" s="144"/>
      <c r="T253" s="145"/>
      <c r="U253" s="145"/>
      <c r="V253" s="145"/>
      <c r="W253" s="145"/>
      <c r="X253" s="53"/>
      <c r="Y253" s="74"/>
      <c r="Z253" s="145"/>
      <c r="AA253" s="145"/>
      <c r="AB253" s="145"/>
      <c r="AC253" s="146"/>
      <c r="AD253" s="145"/>
      <c r="AE253" s="145"/>
      <c r="AF253" s="145"/>
      <c r="AG253" s="145"/>
      <c r="AH253" s="146"/>
      <c r="AI253" s="145"/>
      <c r="AJ253" s="145"/>
      <c r="AK253" s="145"/>
      <c r="AL253" s="145"/>
      <c r="AM253" s="145"/>
      <c r="AN253" s="145"/>
      <c r="AO253" s="145"/>
      <c r="AP253" s="74"/>
      <c r="AQ253" s="74"/>
      <c r="AR253" s="74"/>
      <c r="AS253" s="523"/>
      <c r="AT253" s="523"/>
      <c r="AU253" s="523"/>
      <c r="AV253" s="555"/>
      <c r="AW253" s="12"/>
      <c r="AX253" s="12"/>
      <c r="AY253" s="152"/>
      <c r="AZ253" s="22"/>
      <c r="BA253" s="74"/>
      <c r="BB253" s="45"/>
      <c r="BC253" s="22"/>
      <c r="BD253" s="158"/>
      <c r="BE253" s="558"/>
      <c r="BF253" s="45"/>
      <c r="BG253" s="45"/>
      <c r="BH253" s="45"/>
      <c r="BI253" s="45"/>
      <c r="BJ253" s="45"/>
      <c r="BK253" s="45"/>
      <c r="BL253" s="45"/>
      <c r="BM253" s="158"/>
      <c r="BN253" s="558"/>
      <c r="BO253" s="45"/>
      <c r="BP253" s="45"/>
      <c r="BQ253" s="532"/>
      <c r="BR253" s="532"/>
      <c r="BS253" s="532"/>
      <c r="BT253" s="532"/>
      <c r="BU253" s="532"/>
      <c r="BV253" s="559"/>
      <c r="BW253" s="45"/>
      <c r="BX253" s="45"/>
      <c r="BY253" s="45"/>
      <c r="BZ253" s="69"/>
      <c r="CA253" s="69"/>
      <c r="CB253" s="69"/>
      <c r="CC253" s="69"/>
      <c r="CD253" s="69"/>
      <c r="CE253" s="22"/>
      <c r="CF253" s="22"/>
      <c r="CG253" s="22"/>
    </row>
    <row r="254" spans="1:85" ht="15.75" customHeight="1" x14ac:dyDescent="0.45">
      <c r="A254" s="22"/>
      <c r="B254" s="12"/>
      <c r="C254" s="12"/>
      <c r="D254" s="155"/>
      <c r="E254" s="144"/>
      <c r="F254" s="144"/>
      <c r="G254" s="12"/>
      <c r="H254" s="22"/>
      <c r="I254" s="22"/>
      <c r="J254" s="22"/>
      <c r="K254" s="145"/>
      <c r="L254" s="144"/>
      <c r="M254" s="144"/>
      <c r="N254" s="144"/>
      <c r="O254" s="145"/>
      <c r="P254" s="145"/>
      <c r="Q254" s="145"/>
      <c r="R254" s="145"/>
      <c r="S254" s="144"/>
      <c r="T254" s="145"/>
      <c r="U254" s="145"/>
      <c r="V254" s="145"/>
      <c r="W254" s="145"/>
      <c r="X254" s="53"/>
      <c r="Y254" s="74"/>
      <c r="Z254" s="145"/>
      <c r="AA254" s="145"/>
      <c r="AB254" s="145"/>
      <c r="AC254" s="146"/>
      <c r="AD254" s="145"/>
      <c r="AE254" s="145"/>
      <c r="AF254" s="145"/>
      <c r="AG254" s="145"/>
      <c r="AH254" s="146"/>
      <c r="AI254" s="145"/>
      <c r="AJ254" s="145"/>
      <c r="AK254" s="145"/>
      <c r="AL254" s="145"/>
      <c r="AM254" s="145"/>
      <c r="AN254" s="145"/>
      <c r="AO254" s="145"/>
      <c r="AP254" s="74"/>
      <c r="AQ254" s="74"/>
      <c r="AR254" s="74"/>
      <c r="AS254" s="523"/>
      <c r="AT254" s="523"/>
      <c r="AU254" s="523"/>
      <c r="AV254" s="555"/>
      <c r="AW254" s="12"/>
      <c r="AX254" s="12"/>
      <c r="AY254" s="152"/>
      <c r="AZ254" s="22"/>
      <c r="BA254" s="74"/>
      <c r="BB254" s="45"/>
      <c r="BC254" s="22"/>
      <c r="BD254" s="158"/>
      <c r="BE254" s="558"/>
      <c r="BF254" s="45"/>
      <c r="BG254" s="45"/>
      <c r="BH254" s="45"/>
      <c r="BI254" s="45"/>
      <c r="BJ254" s="45"/>
      <c r="BK254" s="45"/>
      <c r="BL254" s="45"/>
      <c r="BM254" s="158"/>
      <c r="BN254" s="558"/>
      <c r="BO254" s="45"/>
      <c r="BP254" s="45"/>
      <c r="BQ254" s="532"/>
      <c r="BR254" s="532"/>
      <c r="BS254" s="532"/>
      <c r="BT254" s="532"/>
      <c r="BU254" s="532"/>
      <c r="BV254" s="559"/>
      <c r="BW254" s="45"/>
      <c r="BX254" s="45"/>
      <c r="BY254" s="45"/>
      <c r="BZ254" s="69"/>
      <c r="CA254" s="69"/>
      <c r="CB254" s="69"/>
      <c r="CC254" s="69"/>
      <c r="CD254" s="69"/>
      <c r="CE254" s="22"/>
      <c r="CF254" s="22"/>
      <c r="CG254" s="22"/>
    </row>
    <row r="255" spans="1:85" ht="15.75" customHeight="1" x14ac:dyDescent="0.45">
      <c r="A255" s="22"/>
      <c r="B255" s="12"/>
      <c r="C255" s="12"/>
      <c r="D255" s="155"/>
      <c r="E255" s="144"/>
      <c r="F255" s="144"/>
      <c r="G255" s="12"/>
      <c r="H255" s="22"/>
      <c r="I255" s="22"/>
      <c r="J255" s="22"/>
      <c r="K255" s="145"/>
      <c r="L255" s="144"/>
      <c r="M255" s="144"/>
      <c r="N255" s="144"/>
      <c r="O255" s="145"/>
      <c r="P255" s="145"/>
      <c r="Q255" s="145"/>
      <c r="R255" s="145"/>
      <c r="S255" s="144"/>
      <c r="T255" s="145"/>
      <c r="U255" s="145"/>
      <c r="V255" s="145"/>
      <c r="W255" s="145"/>
      <c r="X255" s="53"/>
      <c r="Y255" s="74"/>
      <c r="Z255" s="145"/>
      <c r="AA255" s="145"/>
      <c r="AB255" s="145"/>
      <c r="AC255" s="146"/>
      <c r="AD255" s="145"/>
      <c r="AE255" s="145"/>
      <c r="AF255" s="145"/>
      <c r="AG255" s="145"/>
      <c r="AH255" s="146"/>
      <c r="AI255" s="145"/>
      <c r="AJ255" s="145"/>
      <c r="AK255" s="145"/>
      <c r="AL255" s="145"/>
      <c r="AM255" s="145"/>
      <c r="AN255" s="145"/>
      <c r="AO255" s="145"/>
      <c r="AP255" s="74"/>
      <c r="AQ255" s="74"/>
      <c r="AR255" s="74"/>
      <c r="AS255" s="523"/>
      <c r="AT255" s="523"/>
      <c r="AU255" s="523"/>
      <c r="AV255" s="555"/>
      <c r="AW255" s="12"/>
      <c r="AX255" s="12"/>
      <c r="AY255" s="152"/>
      <c r="AZ255" s="22"/>
      <c r="BA255" s="74"/>
      <c r="BB255" s="45"/>
      <c r="BC255" s="22"/>
      <c r="BD255" s="158"/>
      <c r="BE255" s="558"/>
      <c r="BF255" s="45"/>
      <c r="BG255" s="45"/>
      <c r="BH255" s="45"/>
      <c r="BI255" s="45"/>
      <c r="BJ255" s="45"/>
      <c r="BK255" s="45"/>
      <c r="BL255" s="45"/>
      <c r="BM255" s="158"/>
      <c r="BN255" s="558"/>
      <c r="BO255" s="45"/>
      <c r="BP255" s="45"/>
      <c r="BQ255" s="532"/>
      <c r="BR255" s="532"/>
      <c r="BS255" s="532"/>
      <c r="BT255" s="532"/>
      <c r="BU255" s="532"/>
      <c r="BV255" s="559"/>
      <c r="BW255" s="45"/>
      <c r="BX255" s="45"/>
      <c r="BY255" s="45"/>
      <c r="BZ255" s="69"/>
      <c r="CA255" s="69"/>
      <c r="CB255" s="69"/>
      <c r="CC255" s="69"/>
      <c r="CD255" s="69"/>
      <c r="CE255" s="22"/>
      <c r="CF255" s="22"/>
      <c r="CG255" s="22"/>
    </row>
    <row r="256" spans="1:85" ht="15.75" customHeight="1" x14ac:dyDescent="0.45">
      <c r="A256" s="22"/>
      <c r="B256" s="12"/>
      <c r="C256" s="12"/>
      <c r="D256" s="155"/>
      <c r="E256" s="144"/>
      <c r="F256" s="144"/>
      <c r="G256" s="12"/>
      <c r="H256" s="22"/>
      <c r="I256" s="22"/>
      <c r="J256" s="22"/>
      <c r="K256" s="145"/>
      <c r="L256" s="144"/>
      <c r="M256" s="144"/>
      <c r="N256" s="144"/>
      <c r="O256" s="145"/>
      <c r="P256" s="145"/>
      <c r="Q256" s="145"/>
      <c r="R256" s="145"/>
      <c r="S256" s="144"/>
      <c r="T256" s="145"/>
      <c r="U256" s="145"/>
      <c r="V256" s="145"/>
      <c r="W256" s="145"/>
      <c r="X256" s="53"/>
      <c r="Y256" s="74"/>
      <c r="Z256" s="145"/>
      <c r="AA256" s="145"/>
      <c r="AB256" s="145"/>
      <c r="AC256" s="146"/>
      <c r="AD256" s="145"/>
      <c r="AE256" s="145"/>
      <c r="AF256" s="145"/>
      <c r="AG256" s="145"/>
      <c r="AH256" s="146"/>
      <c r="AI256" s="145"/>
      <c r="AJ256" s="145"/>
      <c r="AK256" s="145"/>
      <c r="AL256" s="145"/>
      <c r="AM256" s="145"/>
      <c r="AN256" s="145"/>
      <c r="AO256" s="145"/>
      <c r="AP256" s="74"/>
      <c r="AQ256" s="74"/>
      <c r="AR256" s="74"/>
      <c r="AS256" s="523"/>
      <c r="AT256" s="523"/>
      <c r="AU256" s="523"/>
      <c r="AV256" s="555"/>
      <c r="AW256" s="12"/>
      <c r="AX256" s="12"/>
      <c r="AY256" s="152"/>
      <c r="AZ256" s="22"/>
      <c r="BA256" s="74"/>
      <c r="BB256" s="45"/>
      <c r="BC256" s="22"/>
      <c r="BD256" s="158"/>
      <c r="BE256" s="558"/>
      <c r="BF256" s="45"/>
      <c r="BG256" s="45"/>
      <c r="BH256" s="45"/>
      <c r="BI256" s="45"/>
      <c r="BJ256" s="45"/>
      <c r="BK256" s="45"/>
      <c r="BL256" s="45"/>
      <c r="BM256" s="158"/>
      <c r="BN256" s="558"/>
      <c r="BO256" s="45"/>
      <c r="BP256" s="45"/>
      <c r="BQ256" s="532"/>
      <c r="BR256" s="532"/>
      <c r="BS256" s="532"/>
      <c r="BT256" s="532"/>
      <c r="BU256" s="532"/>
      <c r="BV256" s="559"/>
      <c r="BW256" s="45"/>
      <c r="BX256" s="45"/>
      <c r="BY256" s="45"/>
      <c r="BZ256" s="69"/>
      <c r="CA256" s="69"/>
      <c r="CB256" s="69"/>
      <c r="CC256" s="69"/>
      <c r="CD256" s="69"/>
      <c r="CE256" s="22"/>
      <c r="CF256" s="22"/>
      <c r="CG256" s="22"/>
    </row>
    <row r="257" spans="1:85" ht="15.75" customHeight="1" x14ac:dyDescent="0.45">
      <c r="A257" s="22"/>
      <c r="B257" s="12"/>
      <c r="C257" s="12"/>
      <c r="D257" s="155"/>
      <c r="E257" s="144"/>
      <c r="F257" s="144"/>
      <c r="G257" s="12"/>
      <c r="H257" s="22"/>
      <c r="I257" s="22"/>
      <c r="J257" s="22"/>
      <c r="K257" s="145"/>
      <c r="L257" s="144"/>
      <c r="M257" s="144"/>
      <c r="N257" s="144"/>
      <c r="O257" s="145"/>
      <c r="P257" s="145"/>
      <c r="Q257" s="145"/>
      <c r="R257" s="145"/>
      <c r="S257" s="144"/>
      <c r="T257" s="145"/>
      <c r="U257" s="145"/>
      <c r="V257" s="145"/>
      <c r="W257" s="145"/>
      <c r="X257" s="53"/>
      <c r="Y257" s="74"/>
      <c r="Z257" s="145"/>
      <c r="AA257" s="145"/>
      <c r="AB257" s="145"/>
      <c r="AC257" s="146"/>
      <c r="AD257" s="145"/>
      <c r="AE257" s="145"/>
      <c r="AF257" s="145"/>
      <c r="AG257" s="145"/>
      <c r="AH257" s="146"/>
      <c r="AI257" s="145"/>
      <c r="AJ257" s="145"/>
      <c r="AK257" s="145"/>
      <c r="AL257" s="145"/>
      <c r="AM257" s="145"/>
      <c r="AN257" s="145"/>
      <c r="AO257" s="145"/>
      <c r="AP257" s="74"/>
      <c r="AQ257" s="74"/>
      <c r="AR257" s="74"/>
      <c r="AS257" s="523"/>
      <c r="AT257" s="523"/>
      <c r="AU257" s="523"/>
      <c r="AV257" s="555"/>
      <c r="AW257" s="12"/>
      <c r="AX257" s="12"/>
      <c r="AY257" s="152"/>
      <c r="AZ257" s="22"/>
      <c r="BA257" s="74"/>
      <c r="BB257" s="45"/>
      <c r="BC257" s="22"/>
      <c r="BD257" s="158"/>
      <c r="BE257" s="558"/>
      <c r="BF257" s="45"/>
      <c r="BG257" s="45"/>
      <c r="BH257" s="45"/>
      <c r="BI257" s="45"/>
      <c r="BJ257" s="45"/>
      <c r="BK257" s="45"/>
      <c r="BL257" s="45"/>
      <c r="BM257" s="158"/>
      <c r="BN257" s="558"/>
      <c r="BO257" s="45"/>
      <c r="BP257" s="45"/>
      <c r="BQ257" s="149"/>
      <c r="BR257" s="149"/>
      <c r="BS257" s="149"/>
      <c r="BT257" s="149"/>
      <c r="BU257" s="149"/>
      <c r="BV257" s="559"/>
      <c r="BW257" s="45"/>
      <c r="BX257" s="45"/>
      <c r="BY257" s="45"/>
      <c r="BZ257" s="69"/>
      <c r="CA257" s="69"/>
      <c r="CB257" s="69"/>
      <c r="CC257" s="69"/>
      <c r="CD257" s="69"/>
      <c r="CE257" s="22"/>
      <c r="CF257" s="22"/>
      <c r="CG257" s="22"/>
    </row>
    <row r="258" spans="1:85" ht="15.75" customHeight="1" x14ac:dyDescent="0.45">
      <c r="A258" s="22"/>
      <c r="B258" s="12"/>
      <c r="C258" s="12"/>
      <c r="D258" s="155"/>
      <c r="E258" s="144"/>
      <c r="F258" s="144"/>
      <c r="G258" s="12"/>
      <c r="H258" s="22"/>
      <c r="I258" s="22"/>
      <c r="J258" s="22"/>
      <c r="K258" s="145"/>
      <c r="L258" s="144"/>
      <c r="M258" s="144"/>
      <c r="N258" s="144"/>
      <c r="O258" s="145"/>
      <c r="P258" s="145"/>
      <c r="Q258" s="145"/>
      <c r="R258" s="145"/>
      <c r="S258" s="144"/>
      <c r="T258" s="145"/>
      <c r="U258" s="145"/>
      <c r="V258" s="145"/>
      <c r="W258" s="145"/>
      <c r="X258" s="53"/>
      <c r="Y258" s="74"/>
      <c r="Z258" s="145"/>
      <c r="AA258" s="145"/>
      <c r="AB258" s="145"/>
      <c r="AC258" s="146"/>
      <c r="AD258" s="145"/>
      <c r="AE258" s="145"/>
      <c r="AF258" s="145"/>
      <c r="AG258" s="145"/>
      <c r="AH258" s="146"/>
      <c r="AI258" s="145"/>
      <c r="AJ258" s="145"/>
      <c r="AK258" s="145"/>
      <c r="AL258" s="145"/>
      <c r="AM258" s="145"/>
      <c r="AN258" s="145"/>
      <c r="AO258" s="145"/>
      <c r="AP258" s="74"/>
      <c r="AQ258" s="74"/>
      <c r="AR258" s="74"/>
      <c r="AS258" s="523"/>
      <c r="AT258" s="523"/>
      <c r="AU258" s="523"/>
      <c r="AV258" s="555"/>
      <c r="AW258" s="12"/>
      <c r="AX258" s="12"/>
      <c r="AY258" s="152"/>
      <c r="AZ258" s="22"/>
      <c r="BA258" s="74"/>
      <c r="BB258" s="45"/>
      <c r="BC258" s="22"/>
      <c r="BD258" s="158"/>
      <c r="BE258" s="558"/>
      <c r="BF258" s="45"/>
      <c r="BG258" s="45"/>
      <c r="BH258" s="45"/>
      <c r="BI258" s="45"/>
      <c r="BJ258" s="45"/>
      <c r="BK258" s="45"/>
      <c r="BL258" s="45"/>
      <c r="BM258" s="158"/>
      <c r="BN258" s="558"/>
      <c r="BO258" s="45"/>
      <c r="BP258" s="45"/>
      <c r="BQ258" s="149"/>
      <c r="BR258" s="149"/>
      <c r="BS258" s="149"/>
      <c r="BT258" s="149"/>
      <c r="BU258" s="149"/>
      <c r="BV258" s="559"/>
      <c r="BW258" s="45"/>
      <c r="BX258" s="45"/>
      <c r="BY258" s="45"/>
      <c r="BZ258" s="69"/>
      <c r="CA258" s="69"/>
      <c r="CB258" s="69"/>
      <c r="CC258" s="69"/>
      <c r="CD258" s="69"/>
      <c r="CE258" s="22"/>
      <c r="CF258" s="22"/>
      <c r="CG258" s="22"/>
    </row>
    <row r="259" spans="1:85" ht="15.75" customHeight="1" x14ac:dyDescent="0.45">
      <c r="A259" s="22"/>
      <c r="B259" s="12"/>
      <c r="C259" s="12"/>
      <c r="D259" s="155"/>
      <c r="E259" s="144"/>
      <c r="F259" s="144"/>
      <c r="G259" s="12"/>
      <c r="H259" s="22"/>
      <c r="I259" s="22"/>
      <c r="J259" s="22"/>
      <c r="K259" s="145"/>
      <c r="L259" s="144"/>
      <c r="M259" s="144"/>
      <c r="N259" s="144"/>
      <c r="O259" s="145"/>
      <c r="P259" s="145"/>
      <c r="Q259" s="145"/>
      <c r="R259" s="145"/>
      <c r="S259" s="144"/>
      <c r="T259" s="145"/>
      <c r="U259" s="145"/>
      <c r="V259" s="145"/>
      <c r="W259" s="145"/>
      <c r="X259" s="53"/>
      <c r="Y259" s="74"/>
      <c r="Z259" s="145"/>
      <c r="AA259" s="145"/>
      <c r="AB259" s="145"/>
      <c r="AC259" s="146"/>
      <c r="AD259" s="145"/>
      <c r="AE259" s="145"/>
      <c r="AF259" s="145"/>
      <c r="AG259" s="145"/>
      <c r="AH259" s="146"/>
      <c r="AI259" s="145"/>
      <c r="AJ259" s="145"/>
      <c r="AK259" s="145"/>
      <c r="AL259" s="145"/>
      <c r="AM259" s="145"/>
      <c r="AN259" s="145"/>
      <c r="AO259" s="145"/>
      <c r="AP259" s="74"/>
      <c r="AQ259" s="74"/>
      <c r="AR259" s="74"/>
      <c r="AS259" s="523"/>
      <c r="AT259" s="523"/>
      <c r="AU259" s="523"/>
      <c r="AV259" s="555"/>
      <c r="AW259" s="12"/>
      <c r="AX259" s="12"/>
      <c r="AY259" s="152"/>
      <c r="AZ259" s="22"/>
      <c r="BA259" s="74"/>
      <c r="BB259" s="45"/>
      <c r="BC259" s="22"/>
      <c r="BD259" s="158"/>
      <c r="BE259" s="558"/>
      <c r="BF259" s="45"/>
      <c r="BG259" s="45"/>
      <c r="BH259" s="45"/>
      <c r="BI259" s="45"/>
      <c r="BJ259" s="45"/>
      <c r="BK259" s="45"/>
      <c r="BL259" s="45"/>
      <c r="BM259" s="158"/>
      <c r="BN259" s="558"/>
      <c r="BO259" s="45"/>
      <c r="BP259" s="45"/>
      <c r="BQ259" s="532"/>
      <c r="BR259" s="532"/>
      <c r="BS259" s="532"/>
      <c r="BT259" s="532"/>
      <c r="BU259" s="532"/>
      <c r="BV259" s="559"/>
      <c r="BW259" s="45"/>
      <c r="BX259" s="45"/>
      <c r="BY259" s="45"/>
      <c r="BZ259" s="69"/>
      <c r="CA259" s="69"/>
      <c r="CB259" s="69"/>
      <c r="CC259" s="69"/>
      <c r="CD259" s="69"/>
      <c r="CE259" s="22"/>
      <c r="CF259" s="22"/>
      <c r="CG259" s="22"/>
    </row>
    <row r="260" spans="1:85" ht="15.75" customHeight="1" x14ac:dyDescent="0.45">
      <c r="A260" s="22"/>
      <c r="B260" s="12"/>
      <c r="C260" s="12"/>
      <c r="D260" s="155"/>
      <c r="E260" s="144"/>
      <c r="F260" s="144"/>
      <c r="G260" s="12"/>
      <c r="H260" s="22"/>
      <c r="I260" s="22"/>
      <c r="J260" s="22"/>
      <c r="K260" s="145"/>
      <c r="L260" s="144"/>
      <c r="M260" s="144"/>
      <c r="N260" s="144"/>
      <c r="O260" s="145"/>
      <c r="P260" s="145"/>
      <c r="Q260" s="145"/>
      <c r="R260" s="145"/>
      <c r="S260" s="144"/>
      <c r="T260" s="145"/>
      <c r="U260" s="145"/>
      <c r="V260" s="145"/>
      <c r="W260" s="145"/>
      <c r="X260" s="53"/>
      <c r="Y260" s="74"/>
      <c r="Z260" s="145"/>
      <c r="AA260" s="145"/>
      <c r="AB260" s="145"/>
      <c r="AC260" s="146"/>
      <c r="AD260" s="145"/>
      <c r="AE260" s="145"/>
      <c r="AF260" s="145"/>
      <c r="AG260" s="145"/>
      <c r="AH260" s="146"/>
      <c r="AI260" s="145"/>
      <c r="AJ260" s="145"/>
      <c r="AK260" s="145"/>
      <c r="AL260" s="145"/>
      <c r="AM260" s="145"/>
      <c r="AN260" s="145"/>
      <c r="AO260" s="145"/>
      <c r="AP260" s="74"/>
      <c r="AQ260" s="74"/>
      <c r="AR260" s="74"/>
      <c r="AS260" s="523"/>
      <c r="AT260" s="523"/>
      <c r="AU260" s="523"/>
      <c r="AV260" s="555"/>
      <c r="AW260" s="12"/>
      <c r="AX260" s="12"/>
      <c r="AY260" s="152"/>
      <c r="AZ260" s="22"/>
      <c r="BA260" s="74"/>
      <c r="BB260" s="45"/>
      <c r="BC260" s="22"/>
      <c r="BD260" s="158"/>
      <c r="BE260" s="558"/>
      <c r="BF260" s="45"/>
      <c r="BG260" s="45"/>
      <c r="BH260" s="45"/>
      <c r="BI260" s="45"/>
      <c r="BJ260" s="45"/>
      <c r="BK260" s="45"/>
      <c r="BL260" s="45"/>
      <c r="BM260" s="158"/>
      <c r="BN260" s="558"/>
      <c r="BO260" s="45"/>
      <c r="BP260" s="45"/>
      <c r="BQ260" s="532"/>
      <c r="BR260" s="532"/>
      <c r="BS260" s="532"/>
      <c r="BT260" s="532"/>
      <c r="BU260" s="532"/>
      <c r="BV260" s="559"/>
      <c r="BW260" s="45"/>
      <c r="BX260" s="45"/>
      <c r="BY260" s="45"/>
      <c r="BZ260" s="69"/>
      <c r="CA260" s="69"/>
      <c r="CB260" s="69"/>
      <c r="CC260" s="69"/>
      <c r="CD260" s="69"/>
      <c r="CE260" s="22"/>
      <c r="CF260" s="22"/>
      <c r="CG260" s="22"/>
    </row>
    <row r="261" spans="1:85" ht="15.75" customHeight="1" x14ac:dyDescent="0.45">
      <c r="A261" s="22"/>
      <c r="B261" s="12"/>
      <c r="C261" s="12"/>
      <c r="D261" s="155"/>
      <c r="E261" s="144"/>
      <c r="F261" s="144"/>
      <c r="G261" s="12"/>
      <c r="H261" s="22"/>
      <c r="I261" s="22"/>
      <c r="J261" s="22"/>
      <c r="K261" s="145"/>
      <c r="L261" s="144"/>
      <c r="M261" s="144"/>
      <c r="N261" s="144"/>
      <c r="O261" s="145"/>
      <c r="P261" s="145"/>
      <c r="Q261" s="145"/>
      <c r="R261" s="145"/>
      <c r="S261" s="144"/>
      <c r="T261" s="145"/>
      <c r="U261" s="145"/>
      <c r="V261" s="145"/>
      <c r="W261" s="145"/>
      <c r="X261" s="53"/>
      <c r="Y261" s="74"/>
      <c r="Z261" s="145"/>
      <c r="AA261" s="145"/>
      <c r="AB261" s="145"/>
      <c r="AC261" s="146"/>
      <c r="AD261" s="145"/>
      <c r="AE261" s="145"/>
      <c r="AF261" s="145"/>
      <c r="AG261" s="145"/>
      <c r="AH261" s="146"/>
      <c r="AI261" s="145"/>
      <c r="AJ261" s="145"/>
      <c r="AK261" s="145"/>
      <c r="AL261" s="145"/>
      <c r="AM261" s="145"/>
      <c r="AN261" s="145"/>
      <c r="AO261" s="145"/>
      <c r="AP261" s="74"/>
      <c r="AQ261" s="74"/>
      <c r="AR261" s="74"/>
      <c r="AS261" s="523"/>
      <c r="AT261" s="523"/>
      <c r="AU261" s="523"/>
      <c r="AV261" s="555"/>
      <c r="AW261" s="12"/>
      <c r="AX261" s="12"/>
      <c r="AY261" s="152"/>
      <c r="AZ261" s="22"/>
      <c r="BA261" s="74"/>
      <c r="BB261" s="45"/>
      <c r="BC261" s="22"/>
      <c r="BD261" s="158"/>
      <c r="BE261" s="558"/>
      <c r="BF261" s="45"/>
      <c r="BG261" s="45"/>
      <c r="BH261" s="45"/>
      <c r="BI261" s="45"/>
      <c r="BJ261" s="45"/>
      <c r="BK261" s="45"/>
      <c r="BL261" s="45"/>
      <c r="BM261" s="158"/>
      <c r="BN261" s="558"/>
      <c r="BO261" s="45"/>
      <c r="BP261" s="45"/>
      <c r="BQ261" s="532"/>
      <c r="BR261" s="532"/>
      <c r="BS261" s="532"/>
      <c r="BT261" s="532"/>
      <c r="BU261" s="532"/>
      <c r="BV261" s="559"/>
      <c r="BW261" s="45"/>
      <c r="BX261" s="45"/>
      <c r="BY261" s="45"/>
      <c r="BZ261" s="69"/>
      <c r="CA261" s="69"/>
      <c r="CB261" s="69"/>
      <c r="CC261" s="69"/>
      <c r="CD261" s="69"/>
      <c r="CE261" s="22"/>
      <c r="CF261" s="22"/>
      <c r="CG261" s="22"/>
    </row>
    <row r="262" spans="1:85" ht="15.75" customHeight="1" x14ac:dyDescent="0.45">
      <c r="A262" s="22"/>
      <c r="B262" s="12"/>
      <c r="C262" s="12"/>
      <c r="D262" s="155"/>
      <c r="E262" s="144"/>
      <c r="F262" s="144"/>
      <c r="G262" s="12"/>
      <c r="H262" s="22"/>
      <c r="I262" s="22"/>
      <c r="J262" s="22"/>
      <c r="K262" s="145"/>
      <c r="L262" s="144"/>
      <c r="M262" s="144"/>
      <c r="N262" s="144"/>
      <c r="O262" s="145"/>
      <c r="P262" s="145"/>
      <c r="Q262" s="145"/>
      <c r="R262" s="145"/>
      <c r="S262" s="144"/>
      <c r="T262" s="145"/>
      <c r="U262" s="145"/>
      <c r="V262" s="145"/>
      <c r="W262" s="145"/>
      <c r="X262" s="53"/>
      <c r="Y262" s="74"/>
      <c r="Z262" s="145"/>
      <c r="AA262" s="145"/>
      <c r="AB262" s="145"/>
      <c r="AC262" s="146"/>
      <c r="AD262" s="145"/>
      <c r="AE262" s="145"/>
      <c r="AF262" s="145"/>
      <c r="AG262" s="145"/>
      <c r="AH262" s="146"/>
      <c r="AI262" s="145"/>
      <c r="AJ262" s="145"/>
      <c r="AK262" s="145"/>
      <c r="AL262" s="145"/>
      <c r="AM262" s="145"/>
      <c r="AN262" s="145"/>
      <c r="AO262" s="145"/>
      <c r="AP262" s="74"/>
      <c r="AQ262" s="74"/>
      <c r="AR262" s="74"/>
      <c r="AS262" s="523"/>
      <c r="AT262" s="523"/>
      <c r="AU262" s="523"/>
      <c r="AV262" s="555"/>
      <c r="AW262" s="12"/>
      <c r="AX262" s="12"/>
      <c r="AY262" s="152"/>
      <c r="AZ262" s="22"/>
      <c r="BA262" s="74"/>
      <c r="BB262" s="45"/>
      <c r="BC262" s="22"/>
      <c r="BD262" s="158"/>
      <c r="BE262" s="558"/>
      <c r="BF262" s="45"/>
      <c r="BG262" s="45"/>
      <c r="BH262" s="45"/>
      <c r="BI262" s="45"/>
      <c r="BJ262" s="45"/>
      <c r="BK262" s="45"/>
      <c r="BL262" s="45"/>
      <c r="BM262" s="158"/>
      <c r="BN262" s="558"/>
      <c r="BO262" s="45"/>
      <c r="BP262" s="45"/>
      <c r="BQ262" s="149"/>
      <c r="BR262" s="149"/>
      <c r="BS262" s="149"/>
      <c r="BT262" s="149"/>
      <c r="BU262" s="149"/>
      <c r="BV262" s="559"/>
      <c r="BW262" s="45"/>
      <c r="BX262" s="45"/>
      <c r="BY262" s="45"/>
      <c r="BZ262" s="69"/>
      <c r="CA262" s="69"/>
      <c r="CB262" s="69"/>
      <c r="CC262" s="69"/>
      <c r="CD262" s="69"/>
      <c r="CE262" s="22"/>
      <c r="CF262" s="22"/>
      <c r="CG262" s="22"/>
    </row>
    <row r="263" spans="1:85" ht="15.75" customHeight="1" x14ac:dyDescent="0.45">
      <c r="A263" s="22"/>
      <c r="B263" s="12"/>
      <c r="C263" s="12"/>
      <c r="D263" s="155"/>
      <c r="E263" s="144"/>
      <c r="F263" s="144"/>
      <c r="G263" s="12"/>
      <c r="H263" s="22"/>
      <c r="I263" s="22"/>
      <c r="J263" s="22"/>
      <c r="K263" s="145"/>
      <c r="L263" s="144"/>
      <c r="M263" s="144"/>
      <c r="N263" s="144"/>
      <c r="O263" s="145"/>
      <c r="P263" s="145"/>
      <c r="Q263" s="145"/>
      <c r="R263" s="145"/>
      <c r="S263" s="144"/>
      <c r="T263" s="145"/>
      <c r="U263" s="145"/>
      <c r="V263" s="145"/>
      <c r="W263" s="145"/>
      <c r="X263" s="53"/>
      <c r="Y263" s="74"/>
      <c r="Z263" s="145"/>
      <c r="AA263" s="145"/>
      <c r="AB263" s="145"/>
      <c r="AC263" s="146"/>
      <c r="AD263" s="145"/>
      <c r="AE263" s="145"/>
      <c r="AF263" s="145"/>
      <c r="AG263" s="145"/>
      <c r="AH263" s="146"/>
      <c r="AI263" s="145"/>
      <c r="AJ263" s="145"/>
      <c r="AK263" s="145"/>
      <c r="AL263" s="145"/>
      <c r="AM263" s="145"/>
      <c r="AN263" s="145"/>
      <c r="AO263" s="145"/>
      <c r="AP263" s="74"/>
      <c r="AQ263" s="74"/>
      <c r="AR263" s="74"/>
      <c r="AS263" s="523"/>
      <c r="AT263" s="523"/>
      <c r="AU263" s="523"/>
      <c r="AV263" s="555"/>
      <c r="AW263" s="12"/>
      <c r="AX263" s="12"/>
      <c r="AY263" s="152"/>
      <c r="AZ263" s="22"/>
      <c r="BA263" s="74"/>
      <c r="BB263" s="45"/>
      <c r="BC263" s="22"/>
      <c r="BD263" s="158"/>
      <c r="BE263" s="558"/>
      <c r="BF263" s="45"/>
      <c r="BG263" s="45"/>
      <c r="BH263" s="45"/>
      <c r="BI263" s="45"/>
      <c r="BJ263" s="45"/>
      <c r="BK263" s="45"/>
      <c r="BL263" s="45"/>
      <c r="BM263" s="158"/>
      <c r="BN263" s="558"/>
      <c r="BO263" s="45"/>
      <c r="BP263" s="45"/>
      <c r="BQ263" s="149"/>
      <c r="BR263" s="149"/>
      <c r="BS263" s="149"/>
      <c r="BT263" s="149"/>
      <c r="BU263" s="149"/>
      <c r="BV263" s="559"/>
      <c r="BW263" s="45"/>
      <c r="BX263" s="45"/>
      <c r="BY263" s="45"/>
      <c r="BZ263" s="69"/>
      <c r="CA263" s="69"/>
      <c r="CB263" s="69"/>
      <c r="CC263" s="69"/>
      <c r="CD263" s="69"/>
      <c r="CE263" s="22"/>
      <c r="CF263" s="22"/>
      <c r="CG263" s="22"/>
    </row>
    <row r="264" spans="1:85" ht="15.75" customHeight="1" x14ac:dyDescent="0.45">
      <c r="A264" s="22"/>
      <c r="B264" s="12"/>
      <c r="C264" s="12"/>
      <c r="D264" s="155"/>
      <c r="E264" s="144"/>
      <c r="F264" s="144"/>
      <c r="G264" s="12"/>
      <c r="H264" s="22"/>
      <c r="I264" s="22"/>
      <c r="J264" s="22"/>
      <c r="K264" s="145"/>
      <c r="L264" s="144"/>
      <c r="M264" s="144"/>
      <c r="N264" s="144"/>
      <c r="O264" s="145"/>
      <c r="P264" s="145"/>
      <c r="Q264" s="145"/>
      <c r="R264" s="145"/>
      <c r="S264" s="144"/>
      <c r="T264" s="145"/>
      <c r="U264" s="145"/>
      <c r="V264" s="145"/>
      <c r="W264" s="145"/>
      <c r="X264" s="53"/>
      <c r="Y264" s="74"/>
      <c r="Z264" s="145"/>
      <c r="AA264" s="145"/>
      <c r="AB264" s="145"/>
      <c r="AC264" s="146"/>
      <c r="AD264" s="145"/>
      <c r="AE264" s="145"/>
      <c r="AF264" s="145"/>
      <c r="AG264" s="145"/>
      <c r="AH264" s="146"/>
      <c r="AI264" s="145"/>
      <c r="AJ264" s="145"/>
      <c r="AK264" s="145"/>
      <c r="AL264" s="145"/>
      <c r="AM264" s="145"/>
      <c r="AN264" s="145"/>
      <c r="AO264" s="145"/>
      <c r="AP264" s="74"/>
      <c r="AQ264" s="74"/>
      <c r="AR264" s="74"/>
      <c r="AS264" s="523"/>
      <c r="AT264" s="523"/>
      <c r="AU264" s="523"/>
      <c r="AV264" s="555"/>
      <c r="AW264" s="12"/>
      <c r="AX264" s="12"/>
      <c r="AY264" s="152"/>
      <c r="AZ264" s="22"/>
      <c r="BA264" s="74"/>
      <c r="BB264" s="45"/>
      <c r="BC264" s="22"/>
      <c r="BD264" s="158"/>
      <c r="BE264" s="558"/>
      <c r="BF264" s="45"/>
      <c r="BG264" s="45"/>
      <c r="BH264" s="45"/>
      <c r="BI264" s="45"/>
      <c r="BJ264" s="45"/>
      <c r="BK264" s="45"/>
      <c r="BL264" s="45"/>
      <c r="BM264" s="158"/>
      <c r="BN264" s="558"/>
      <c r="BO264" s="45"/>
      <c r="BP264" s="45"/>
      <c r="BQ264" s="149"/>
      <c r="BR264" s="149"/>
      <c r="BS264" s="149"/>
      <c r="BT264" s="149"/>
      <c r="BU264" s="149"/>
      <c r="BV264" s="559"/>
      <c r="BW264" s="45"/>
      <c r="BX264" s="45"/>
      <c r="BY264" s="45"/>
      <c r="BZ264" s="69"/>
      <c r="CA264" s="69"/>
      <c r="CB264" s="69"/>
      <c r="CC264" s="69"/>
      <c r="CD264" s="69"/>
      <c r="CE264" s="22"/>
      <c r="CF264" s="22"/>
      <c r="CG264" s="22"/>
    </row>
    <row r="265" spans="1:85" ht="15.75" customHeight="1" x14ac:dyDescent="0.45">
      <c r="A265" s="22"/>
      <c r="B265" s="12"/>
      <c r="C265" s="12"/>
      <c r="D265" s="155"/>
      <c r="E265" s="144"/>
      <c r="F265" s="144"/>
      <c r="G265" s="12"/>
      <c r="H265" s="22"/>
      <c r="I265" s="22"/>
      <c r="J265" s="22"/>
      <c r="K265" s="145"/>
      <c r="L265" s="144"/>
      <c r="M265" s="144"/>
      <c r="N265" s="144"/>
      <c r="O265" s="145"/>
      <c r="P265" s="145"/>
      <c r="Q265" s="145"/>
      <c r="R265" s="145"/>
      <c r="S265" s="144"/>
      <c r="T265" s="145"/>
      <c r="U265" s="145"/>
      <c r="V265" s="145"/>
      <c r="W265" s="145"/>
      <c r="X265" s="53"/>
      <c r="Y265" s="74"/>
      <c r="Z265" s="145"/>
      <c r="AA265" s="145"/>
      <c r="AB265" s="145"/>
      <c r="AC265" s="146"/>
      <c r="AD265" s="145"/>
      <c r="AE265" s="145"/>
      <c r="AF265" s="145"/>
      <c r="AG265" s="145"/>
      <c r="AH265" s="146"/>
      <c r="AI265" s="145"/>
      <c r="AJ265" s="145"/>
      <c r="AK265" s="145"/>
      <c r="AL265" s="145"/>
      <c r="AM265" s="145"/>
      <c r="AN265" s="145"/>
      <c r="AO265" s="145"/>
      <c r="AP265" s="74"/>
      <c r="AQ265" s="74"/>
      <c r="AR265" s="74"/>
      <c r="AS265" s="523"/>
      <c r="AT265" s="523"/>
      <c r="AU265" s="523"/>
      <c r="AV265" s="555"/>
      <c r="AW265" s="12"/>
      <c r="AX265" s="12"/>
      <c r="AY265" s="152"/>
      <c r="AZ265" s="22"/>
      <c r="BA265" s="74"/>
      <c r="BB265" s="45"/>
      <c r="BC265" s="22"/>
      <c r="BD265" s="158"/>
      <c r="BE265" s="558"/>
      <c r="BF265" s="45"/>
      <c r="BG265" s="45"/>
      <c r="BH265" s="45"/>
      <c r="BI265" s="45"/>
      <c r="BJ265" s="45"/>
      <c r="BK265" s="45"/>
      <c r="BL265" s="45"/>
      <c r="BM265" s="158"/>
      <c r="BN265" s="558"/>
      <c r="BO265" s="45"/>
      <c r="BP265" s="45"/>
      <c r="BQ265" s="149"/>
      <c r="BR265" s="149"/>
      <c r="BS265" s="149"/>
      <c r="BT265" s="149"/>
      <c r="BU265" s="149"/>
      <c r="BV265" s="559"/>
      <c r="BW265" s="45"/>
      <c r="BX265" s="45"/>
      <c r="BY265" s="45"/>
      <c r="BZ265" s="69"/>
      <c r="CA265" s="69"/>
      <c r="CB265" s="69"/>
      <c r="CC265" s="69"/>
      <c r="CD265" s="69"/>
      <c r="CE265" s="22"/>
      <c r="CF265" s="22"/>
      <c r="CG265" s="22"/>
    </row>
    <row r="266" spans="1:85" ht="15.75" customHeight="1" x14ac:dyDescent="0.45">
      <c r="A266" s="22"/>
      <c r="B266" s="12"/>
      <c r="C266" s="12"/>
      <c r="D266" s="155"/>
      <c r="E266" s="144"/>
      <c r="F266" s="144"/>
      <c r="G266" s="12"/>
      <c r="H266" s="22"/>
      <c r="I266" s="22"/>
      <c r="J266" s="22"/>
      <c r="K266" s="145"/>
      <c r="L266" s="144"/>
      <c r="M266" s="144"/>
      <c r="N266" s="144"/>
      <c r="O266" s="145"/>
      <c r="P266" s="145"/>
      <c r="Q266" s="145"/>
      <c r="R266" s="145"/>
      <c r="S266" s="144"/>
      <c r="T266" s="145"/>
      <c r="U266" s="145"/>
      <c r="V266" s="145"/>
      <c r="W266" s="145"/>
      <c r="X266" s="53"/>
      <c r="Y266" s="74"/>
      <c r="Z266" s="145"/>
      <c r="AA266" s="145"/>
      <c r="AB266" s="145"/>
      <c r="AC266" s="146"/>
      <c r="AD266" s="145"/>
      <c r="AE266" s="145"/>
      <c r="AF266" s="145"/>
      <c r="AG266" s="145"/>
      <c r="AH266" s="146"/>
      <c r="AI266" s="145"/>
      <c r="AJ266" s="145"/>
      <c r="AK266" s="145"/>
      <c r="AL266" s="145"/>
      <c r="AM266" s="145"/>
      <c r="AN266" s="145"/>
      <c r="AO266" s="145"/>
      <c r="AP266" s="74"/>
      <c r="AQ266" s="74"/>
      <c r="AR266" s="74"/>
      <c r="AS266" s="523"/>
      <c r="AT266" s="523"/>
      <c r="AU266" s="523"/>
      <c r="AV266" s="555"/>
      <c r="AW266" s="12"/>
      <c r="AX266" s="12"/>
      <c r="AY266" s="152"/>
      <c r="AZ266" s="22"/>
      <c r="BA266" s="74"/>
      <c r="BB266" s="45"/>
      <c r="BC266" s="22"/>
      <c r="BD266" s="158"/>
      <c r="BE266" s="558"/>
      <c r="BF266" s="45"/>
      <c r="BG266" s="45"/>
      <c r="BH266" s="45"/>
      <c r="BI266" s="45"/>
      <c r="BJ266" s="45"/>
      <c r="BK266" s="45"/>
      <c r="BL266" s="45"/>
      <c r="BM266" s="158"/>
      <c r="BN266" s="558"/>
      <c r="BO266" s="45"/>
      <c r="BP266" s="45"/>
      <c r="BQ266" s="532"/>
      <c r="BR266" s="532"/>
      <c r="BS266" s="532"/>
      <c r="BT266" s="532"/>
      <c r="BU266" s="532"/>
      <c r="BV266" s="559"/>
      <c r="BW266" s="45"/>
      <c r="BX266" s="45"/>
      <c r="BY266" s="45"/>
      <c r="BZ266" s="69"/>
      <c r="CA266" s="69"/>
      <c r="CB266" s="69"/>
      <c r="CC266" s="69"/>
      <c r="CD266" s="69"/>
      <c r="CE266" s="22"/>
      <c r="CF266" s="22"/>
      <c r="CG266" s="22"/>
    </row>
    <row r="267" spans="1:85" ht="15.75" customHeight="1" x14ac:dyDescent="0.45">
      <c r="A267" s="22"/>
      <c r="B267" s="12"/>
      <c r="C267" s="12"/>
      <c r="D267" s="155"/>
      <c r="E267" s="144"/>
      <c r="F267" s="144"/>
      <c r="G267" s="12"/>
      <c r="H267" s="22"/>
      <c r="I267" s="22"/>
      <c r="J267" s="22"/>
      <c r="K267" s="145"/>
      <c r="L267" s="144"/>
      <c r="M267" s="144"/>
      <c r="N267" s="144"/>
      <c r="O267" s="145"/>
      <c r="P267" s="145"/>
      <c r="Q267" s="145"/>
      <c r="R267" s="145"/>
      <c r="S267" s="144"/>
      <c r="T267" s="145"/>
      <c r="U267" s="145"/>
      <c r="V267" s="145"/>
      <c r="W267" s="145"/>
      <c r="X267" s="53"/>
      <c r="Y267" s="74"/>
      <c r="Z267" s="145"/>
      <c r="AA267" s="145"/>
      <c r="AB267" s="145"/>
      <c r="AC267" s="146"/>
      <c r="AD267" s="145"/>
      <c r="AE267" s="145"/>
      <c r="AF267" s="145"/>
      <c r="AG267" s="145"/>
      <c r="AH267" s="146"/>
      <c r="AI267" s="145"/>
      <c r="AJ267" s="145"/>
      <c r="AK267" s="145"/>
      <c r="AL267" s="145"/>
      <c r="AM267" s="145"/>
      <c r="AN267" s="145"/>
      <c r="AO267" s="145"/>
      <c r="AP267" s="74"/>
      <c r="AQ267" s="74"/>
      <c r="AR267" s="74"/>
      <c r="AS267" s="523"/>
      <c r="AT267" s="523"/>
      <c r="AU267" s="523"/>
      <c r="AV267" s="555"/>
      <c r="AW267" s="12"/>
      <c r="AX267" s="12"/>
      <c r="AY267" s="152"/>
      <c r="AZ267" s="22"/>
      <c r="BA267" s="74"/>
      <c r="BB267" s="45"/>
      <c r="BC267" s="22"/>
      <c r="BD267" s="158"/>
      <c r="BE267" s="558"/>
      <c r="BF267" s="45"/>
      <c r="BG267" s="45"/>
      <c r="BH267" s="45"/>
      <c r="BI267" s="45"/>
      <c r="BJ267" s="45"/>
      <c r="BK267" s="45"/>
      <c r="BL267" s="45"/>
      <c r="BM267" s="158"/>
      <c r="BN267" s="558"/>
      <c r="BO267" s="45"/>
      <c r="BP267" s="45"/>
      <c r="BQ267" s="532"/>
      <c r="BR267" s="532"/>
      <c r="BS267" s="532"/>
      <c r="BT267" s="532"/>
      <c r="BU267" s="532"/>
      <c r="BV267" s="559"/>
      <c r="BW267" s="45"/>
      <c r="BX267" s="45"/>
      <c r="BY267" s="45"/>
      <c r="BZ267" s="69"/>
      <c r="CA267" s="69"/>
      <c r="CB267" s="69"/>
      <c r="CC267" s="69"/>
      <c r="CD267" s="69"/>
      <c r="CE267" s="22"/>
      <c r="CF267" s="22"/>
      <c r="CG267" s="22"/>
    </row>
    <row r="268" spans="1:85" ht="15.75" customHeight="1" x14ac:dyDescent="0.45">
      <c r="A268" s="22"/>
      <c r="B268" s="12"/>
      <c r="C268" s="12"/>
      <c r="D268" s="155"/>
      <c r="E268" s="144"/>
      <c r="F268" s="144"/>
      <c r="G268" s="12"/>
      <c r="H268" s="22"/>
      <c r="I268" s="22"/>
      <c r="J268" s="22"/>
      <c r="K268" s="145"/>
      <c r="L268" s="144"/>
      <c r="M268" s="144"/>
      <c r="N268" s="144"/>
      <c r="O268" s="145"/>
      <c r="P268" s="145"/>
      <c r="Q268" s="145"/>
      <c r="R268" s="145"/>
      <c r="S268" s="144"/>
      <c r="T268" s="145"/>
      <c r="U268" s="145"/>
      <c r="V268" s="145"/>
      <c r="W268" s="145"/>
      <c r="X268" s="53"/>
      <c r="Y268" s="74"/>
      <c r="Z268" s="145"/>
      <c r="AA268" s="145"/>
      <c r="AB268" s="145"/>
      <c r="AC268" s="146"/>
      <c r="AD268" s="145"/>
      <c r="AE268" s="145"/>
      <c r="AF268" s="145"/>
      <c r="AG268" s="145"/>
      <c r="AH268" s="146"/>
      <c r="AI268" s="145"/>
      <c r="AJ268" s="145"/>
      <c r="AK268" s="145"/>
      <c r="AL268" s="145"/>
      <c r="AM268" s="145"/>
      <c r="AN268" s="145"/>
      <c r="AO268" s="145"/>
      <c r="AP268" s="74"/>
      <c r="AQ268" s="74"/>
      <c r="AR268" s="74"/>
      <c r="AS268" s="523"/>
      <c r="AT268" s="523"/>
      <c r="AU268" s="523"/>
      <c r="AV268" s="555"/>
      <c r="AW268" s="12"/>
      <c r="AX268" s="12"/>
      <c r="AY268" s="152"/>
      <c r="AZ268" s="22"/>
      <c r="BA268" s="74"/>
      <c r="BB268" s="45"/>
      <c r="BC268" s="22"/>
      <c r="BD268" s="158"/>
      <c r="BE268" s="558"/>
      <c r="BF268" s="45"/>
      <c r="BG268" s="45"/>
      <c r="BH268" s="45"/>
      <c r="BI268" s="45"/>
      <c r="BJ268" s="45"/>
      <c r="BK268" s="45"/>
      <c r="BL268" s="45"/>
      <c r="BM268" s="158"/>
      <c r="BN268" s="558"/>
      <c r="BO268" s="45"/>
      <c r="BP268" s="45"/>
      <c r="BQ268" s="149"/>
      <c r="BR268" s="149"/>
      <c r="BS268" s="149"/>
      <c r="BT268" s="149"/>
      <c r="BU268" s="149"/>
      <c r="BV268" s="559"/>
      <c r="BW268" s="45"/>
      <c r="BX268" s="45"/>
      <c r="BY268" s="45"/>
      <c r="BZ268" s="69"/>
      <c r="CA268" s="69"/>
      <c r="CB268" s="69"/>
      <c r="CC268" s="69"/>
      <c r="CD268" s="69"/>
      <c r="CE268" s="22"/>
      <c r="CF268" s="22"/>
      <c r="CG268" s="22"/>
    </row>
    <row r="269" spans="1:85" ht="15.75" customHeight="1" x14ac:dyDescent="0.45">
      <c r="A269" s="22"/>
      <c r="B269" s="12"/>
      <c r="C269" s="12"/>
      <c r="D269" s="155"/>
      <c r="E269" s="144"/>
      <c r="F269" s="144"/>
      <c r="G269" s="12"/>
      <c r="H269" s="22"/>
      <c r="I269" s="22"/>
      <c r="J269" s="22"/>
      <c r="K269" s="145"/>
      <c r="L269" s="144"/>
      <c r="M269" s="144"/>
      <c r="N269" s="144"/>
      <c r="O269" s="145"/>
      <c r="P269" s="145"/>
      <c r="Q269" s="145"/>
      <c r="R269" s="145"/>
      <c r="S269" s="144"/>
      <c r="T269" s="145"/>
      <c r="U269" s="145"/>
      <c r="V269" s="145"/>
      <c r="W269" s="145"/>
      <c r="X269" s="53"/>
      <c r="Y269" s="74"/>
      <c r="Z269" s="145"/>
      <c r="AA269" s="145"/>
      <c r="AB269" s="145"/>
      <c r="AC269" s="146"/>
      <c r="AD269" s="145"/>
      <c r="AE269" s="145"/>
      <c r="AF269" s="145"/>
      <c r="AG269" s="145"/>
      <c r="AH269" s="146"/>
      <c r="AI269" s="145"/>
      <c r="AJ269" s="145"/>
      <c r="AK269" s="145"/>
      <c r="AL269" s="145"/>
      <c r="AM269" s="145"/>
      <c r="AN269" s="145"/>
      <c r="AO269" s="145"/>
      <c r="AP269" s="74"/>
      <c r="AQ269" s="74"/>
      <c r="AR269" s="74"/>
      <c r="AS269" s="523"/>
      <c r="AT269" s="523"/>
      <c r="AU269" s="523"/>
      <c r="AV269" s="555"/>
      <c r="AW269" s="12"/>
      <c r="AX269" s="12"/>
      <c r="AY269" s="152"/>
      <c r="AZ269" s="22"/>
      <c r="BA269" s="74"/>
      <c r="BB269" s="45"/>
      <c r="BC269" s="22"/>
      <c r="BD269" s="158"/>
      <c r="BE269" s="558"/>
      <c r="BF269" s="45"/>
      <c r="BG269" s="45"/>
      <c r="BH269" s="45"/>
      <c r="BI269" s="45"/>
      <c r="BJ269" s="45"/>
      <c r="BK269" s="45"/>
      <c r="BL269" s="45"/>
      <c r="BM269" s="158"/>
      <c r="BN269" s="558"/>
      <c r="BO269" s="45"/>
      <c r="BP269" s="45"/>
      <c r="BQ269" s="149"/>
      <c r="BR269" s="149"/>
      <c r="BS269" s="149"/>
      <c r="BT269" s="149"/>
      <c r="BU269" s="149"/>
      <c r="BV269" s="559"/>
      <c r="BW269" s="45"/>
      <c r="BX269" s="45"/>
      <c r="BY269" s="45"/>
      <c r="BZ269" s="69"/>
      <c r="CA269" s="69"/>
      <c r="CB269" s="69"/>
      <c r="CC269" s="69"/>
      <c r="CD269" s="69"/>
      <c r="CE269" s="22"/>
      <c r="CF269" s="22"/>
      <c r="CG269" s="22"/>
    </row>
    <row r="270" spans="1:85" ht="15.75" customHeight="1" x14ac:dyDescent="0.45">
      <c r="A270" s="22"/>
      <c r="B270" s="12"/>
      <c r="C270" s="12"/>
      <c r="D270" s="155"/>
      <c r="E270" s="22"/>
      <c r="F270" s="22"/>
      <c r="G270" s="12"/>
      <c r="H270" s="22"/>
      <c r="I270" s="22"/>
      <c r="J270" s="22"/>
      <c r="K270" s="22"/>
      <c r="L270" s="22"/>
      <c r="M270" s="22"/>
      <c r="N270" s="22"/>
      <c r="O270" s="145"/>
      <c r="P270" s="145"/>
      <c r="Q270" s="145"/>
      <c r="R270" s="145"/>
      <c r="S270" s="22"/>
      <c r="T270" s="145"/>
      <c r="U270" s="145"/>
      <c r="V270" s="145"/>
      <c r="W270" s="145"/>
      <c r="X270" s="53"/>
      <c r="Y270" s="74"/>
      <c r="Z270" s="145"/>
      <c r="AA270" s="145"/>
      <c r="AB270" s="145"/>
      <c r="AC270" s="146"/>
      <c r="AD270" s="145"/>
      <c r="AE270" s="145"/>
      <c r="AF270" s="145"/>
      <c r="AG270" s="145"/>
      <c r="AH270" s="146"/>
      <c r="AI270" s="145"/>
      <c r="AJ270" s="145"/>
      <c r="AK270" s="145"/>
      <c r="AL270" s="145"/>
      <c r="AM270" s="145"/>
      <c r="AN270" s="145"/>
      <c r="AO270" s="145"/>
      <c r="AP270" s="74"/>
      <c r="AQ270" s="74"/>
      <c r="AR270" s="74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ht="15.75" customHeight="1" x14ac:dyDescent="0.45">
      <c r="A271" s="22"/>
      <c r="B271" s="12"/>
      <c r="C271" s="12"/>
      <c r="D271" s="155"/>
      <c r="E271" s="22"/>
      <c r="F271" s="22"/>
      <c r="G271" s="12"/>
      <c r="H271" s="22"/>
      <c r="I271" s="22"/>
      <c r="J271" s="22"/>
      <c r="K271" s="22"/>
      <c r="L271" s="22"/>
      <c r="M271" s="22"/>
      <c r="N271" s="22"/>
      <c r="O271" s="145"/>
      <c r="P271" s="145"/>
      <c r="Q271" s="145"/>
      <c r="R271" s="145"/>
      <c r="S271" s="22"/>
      <c r="T271" s="145"/>
      <c r="U271" s="145"/>
      <c r="V271" s="145"/>
      <c r="W271" s="145"/>
      <c r="X271" s="53"/>
      <c r="Y271" s="74"/>
      <c r="Z271" s="145"/>
      <c r="AA271" s="145"/>
      <c r="AB271" s="145"/>
      <c r="AC271" s="146"/>
      <c r="AD271" s="145"/>
      <c r="AE271" s="145"/>
      <c r="AF271" s="145"/>
      <c r="AG271" s="145"/>
      <c r="AH271" s="146"/>
      <c r="AI271" s="145"/>
      <c r="AJ271" s="145"/>
      <c r="AK271" s="145"/>
      <c r="AL271" s="145"/>
      <c r="AM271" s="145"/>
      <c r="AN271" s="145"/>
      <c r="AO271" s="145"/>
      <c r="AP271" s="74"/>
      <c r="AQ271" s="74"/>
      <c r="AR271" s="74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ht="15.75" customHeight="1" x14ac:dyDescent="0.45">
      <c r="A272" s="22"/>
      <c r="B272" s="12"/>
      <c r="C272" s="12"/>
      <c r="D272" s="155"/>
      <c r="E272" s="22"/>
      <c r="F272" s="22"/>
      <c r="G272" s="12"/>
      <c r="H272" s="22"/>
      <c r="I272" s="22"/>
      <c r="J272" s="22"/>
      <c r="K272" s="22"/>
      <c r="L272" s="22"/>
      <c r="M272" s="22"/>
      <c r="N272" s="22"/>
      <c r="O272" s="145"/>
      <c r="P272" s="145"/>
      <c r="Q272" s="145"/>
      <c r="R272" s="145"/>
      <c r="S272" s="22"/>
      <c r="T272" s="145"/>
      <c r="U272" s="145"/>
      <c r="V272" s="145"/>
      <c r="W272" s="145"/>
      <c r="X272" s="53"/>
      <c r="Y272" s="74"/>
      <c r="Z272" s="145"/>
      <c r="AA272" s="145"/>
      <c r="AB272" s="145"/>
      <c r="AC272" s="146"/>
      <c r="AD272" s="145"/>
      <c r="AE272" s="145"/>
      <c r="AF272" s="145"/>
      <c r="AG272" s="145"/>
      <c r="AH272" s="146"/>
      <c r="AI272" s="145"/>
      <c r="AJ272" s="145"/>
      <c r="AK272" s="145"/>
      <c r="AL272" s="145"/>
      <c r="AM272" s="145"/>
      <c r="AN272" s="145"/>
      <c r="AO272" s="145"/>
      <c r="AP272" s="74"/>
      <c r="AQ272" s="74"/>
      <c r="AR272" s="74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ht="15.75" customHeight="1" x14ac:dyDescent="0.45">
      <c r="A273" s="22"/>
      <c r="B273" s="12"/>
      <c r="C273" s="12"/>
      <c r="D273" s="155"/>
      <c r="E273" s="22"/>
      <c r="F273" s="22"/>
      <c r="G273" s="12"/>
      <c r="H273" s="22"/>
      <c r="I273" s="22"/>
      <c r="J273" s="22"/>
      <c r="K273" s="22"/>
      <c r="L273" s="22"/>
      <c r="M273" s="22"/>
      <c r="N273" s="22"/>
      <c r="O273" s="145"/>
      <c r="P273" s="145"/>
      <c r="Q273" s="145"/>
      <c r="R273" s="145"/>
      <c r="S273" s="22"/>
      <c r="T273" s="145"/>
      <c r="U273" s="145"/>
      <c r="V273" s="145"/>
      <c r="W273" s="145"/>
      <c r="X273" s="53"/>
      <c r="Y273" s="74"/>
      <c r="Z273" s="145"/>
      <c r="AA273" s="145"/>
      <c r="AB273" s="145"/>
      <c r="AC273" s="146"/>
      <c r="AD273" s="145"/>
      <c r="AE273" s="145"/>
      <c r="AF273" s="145"/>
      <c r="AG273" s="145"/>
      <c r="AH273" s="146"/>
      <c r="AI273" s="145"/>
      <c r="AJ273" s="145"/>
      <c r="AK273" s="145"/>
      <c r="AL273" s="145"/>
      <c r="AM273" s="145"/>
      <c r="AN273" s="145"/>
      <c r="AO273" s="145"/>
      <c r="AP273" s="74"/>
      <c r="AQ273" s="74"/>
      <c r="AR273" s="74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ht="15.75" customHeight="1" x14ac:dyDescent="0.45">
      <c r="A274" s="22"/>
      <c r="B274" s="12"/>
      <c r="C274" s="12"/>
      <c r="D274" s="155"/>
      <c r="E274" s="22"/>
      <c r="F274" s="22"/>
      <c r="G274" s="12"/>
      <c r="H274" s="22"/>
      <c r="I274" s="22"/>
      <c r="J274" s="22"/>
      <c r="K274" s="22"/>
      <c r="L274" s="22"/>
      <c r="M274" s="22"/>
      <c r="N274" s="22"/>
      <c r="O274" s="145"/>
      <c r="P274" s="145"/>
      <c r="Q274" s="145"/>
      <c r="R274" s="145"/>
      <c r="S274" s="22"/>
      <c r="T274" s="145"/>
      <c r="U274" s="145"/>
      <c r="V274" s="145"/>
      <c r="W274" s="145"/>
      <c r="X274" s="53"/>
      <c r="Y274" s="74"/>
      <c r="Z274" s="145"/>
      <c r="AA274" s="145"/>
      <c r="AB274" s="145"/>
      <c r="AC274" s="146"/>
      <c r="AD274" s="145"/>
      <c r="AE274" s="145"/>
      <c r="AF274" s="145"/>
      <c r="AG274" s="145"/>
      <c r="AH274" s="146"/>
      <c r="AI274" s="145"/>
      <c r="AJ274" s="145"/>
      <c r="AK274" s="145"/>
      <c r="AL274" s="145"/>
      <c r="AM274" s="145"/>
      <c r="AN274" s="145"/>
      <c r="AO274" s="145"/>
      <c r="AP274" s="74"/>
      <c r="AQ274" s="74"/>
      <c r="AR274" s="74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ht="15.75" customHeight="1" x14ac:dyDescent="0.45">
      <c r="A275" s="22"/>
      <c r="B275" s="12"/>
      <c r="C275" s="12"/>
      <c r="D275" s="155"/>
      <c r="E275" s="22"/>
      <c r="F275" s="22"/>
      <c r="G275" s="12"/>
      <c r="H275" s="22"/>
      <c r="I275" s="22"/>
      <c r="J275" s="22"/>
      <c r="K275" s="22"/>
      <c r="L275" s="22"/>
      <c r="M275" s="22"/>
      <c r="N275" s="22"/>
      <c r="O275" s="145"/>
      <c r="P275" s="145"/>
      <c r="Q275" s="145"/>
      <c r="R275" s="145"/>
      <c r="S275" s="22"/>
      <c r="T275" s="145"/>
      <c r="U275" s="145"/>
      <c r="V275" s="145"/>
      <c r="W275" s="145"/>
      <c r="X275" s="53"/>
      <c r="Y275" s="74"/>
      <c r="Z275" s="145"/>
      <c r="AA275" s="145"/>
      <c r="AB275" s="145"/>
      <c r="AC275" s="146"/>
      <c r="AD275" s="145"/>
      <c r="AE275" s="145"/>
      <c r="AF275" s="145"/>
      <c r="AG275" s="145"/>
      <c r="AH275" s="146"/>
      <c r="AI275" s="145"/>
      <c r="AJ275" s="145"/>
      <c r="AK275" s="145"/>
      <c r="AL275" s="145"/>
      <c r="AM275" s="145"/>
      <c r="AN275" s="145"/>
      <c r="AO275" s="145"/>
      <c r="AP275" s="74"/>
      <c r="AQ275" s="74"/>
      <c r="AR275" s="74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ht="15.75" customHeight="1" x14ac:dyDescent="0.45">
      <c r="A276" s="22"/>
      <c r="B276" s="12"/>
      <c r="C276" s="12"/>
      <c r="D276" s="155"/>
      <c r="E276" s="22"/>
      <c r="F276" s="22"/>
      <c r="G276" s="12"/>
      <c r="H276" s="22"/>
      <c r="I276" s="22"/>
      <c r="J276" s="22"/>
      <c r="K276" s="22"/>
      <c r="L276" s="22"/>
      <c r="M276" s="22"/>
      <c r="N276" s="22"/>
      <c r="O276" s="145"/>
      <c r="P276" s="145"/>
      <c r="Q276" s="145"/>
      <c r="R276" s="145"/>
      <c r="S276" s="22"/>
      <c r="T276" s="145"/>
      <c r="U276" s="145"/>
      <c r="V276" s="145"/>
      <c r="W276" s="145"/>
      <c r="X276" s="53"/>
      <c r="Y276" s="74"/>
      <c r="Z276" s="145"/>
      <c r="AA276" s="145"/>
      <c r="AB276" s="145"/>
      <c r="AC276" s="146"/>
      <c r="AD276" s="145"/>
      <c r="AE276" s="145"/>
      <c r="AF276" s="145"/>
      <c r="AG276" s="145"/>
      <c r="AH276" s="146"/>
      <c r="AI276" s="145"/>
      <c r="AJ276" s="145"/>
      <c r="AK276" s="145"/>
      <c r="AL276" s="145"/>
      <c r="AM276" s="145"/>
      <c r="AN276" s="145"/>
      <c r="AO276" s="145"/>
      <c r="AP276" s="74"/>
      <c r="AQ276" s="74"/>
      <c r="AR276" s="74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ht="15.75" customHeight="1" x14ac:dyDescent="0.45">
      <c r="A277" s="22"/>
      <c r="B277" s="12"/>
      <c r="C277" s="12"/>
      <c r="D277" s="155"/>
      <c r="E277" s="22"/>
      <c r="F277" s="22"/>
      <c r="G277" s="12"/>
      <c r="H277" s="22"/>
      <c r="I277" s="22"/>
      <c r="J277" s="22"/>
      <c r="K277" s="22"/>
      <c r="L277" s="22"/>
      <c r="M277" s="22"/>
      <c r="N277" s="22"/>
      <c r="O277" s="145"/>
      <c r="P277" s="145"/>
      <c r="Q277" s="145"/>
      <c r="R277" s="145"/>
      <c r="S277" s="22"/>
      <c r="T277" s="145"/>
      <c r="U277" s="145"/>
      <c r="V277" s="145"/>
      <c r="W277" s="145"/>
      <c r="X277" s="53"/>
      <c r="Y277" s="74"/>
      <c r="Z277" s="145"/>
      <c r="AA277" s="145"/>
      <c r="AB277" s="145"/>
      <c r="AC277" s="146"/>
      <c r="AD277" s="145"/>
      <c r="AE277" s="145"/>
      <c r="AF277" s="145"/>
      <c r="AG277" s="145"/>
      <c r="AH277" s="146"/>
      <c r="AI277" s="145"/>
      <c r="AJ277" s="145"/>
      <c r="AK277" s="145"/>
      <c r="AL277" s="145"/>
      <c r="AM277" s="145"/>
      <c r="AN277" s="145"/>
      <c r="AO277" s="145"/>
      <c r="AP277" s="74"/>
      <c r="AQ277" s="74"/>
      <c r="AR277" s="74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ht="15.75" customHeight="1" x14ac:dyDescent="0.45">
      <c r="A278" s="22"/>
      <c r="B278" s="12"/>
      <c r="C278" s="12"/>
      <c r="D278" s="155"/>
      <c r="E278" s="22"/>
      <c r="F278" s="22"/>
      <c r="G278" s="12"/>
      <c r="H278" s="22"/>
      <c r="I278" s="22"/>
      <c r="J278" s="22"/>
      <c r="K278" s="22"/>
      <c r="L278" s="22"/>
      <c r="M278" s="22"/>
      <c r="N278" s="22"/>
      <c r="O278" s="145"/>
      <c r="P278" s="145"/>
      <c r="Q278" s="145"/>
      <c r="R278" s="145"/>
      <c r="S278" s="22"/>
      <c r="T278" s="145"/>
      <c r="U278" s="145"/>
      <c r="V278" s="145"/>
      <c r="W278" s="145"/>
      <c r="X278" s="53"/>
      <c r="Y278" s="74"/>
      <c r="Z278" s="145"/>
      <c r="AA278" s="145"/>
      <c r="AB278" s="145"/>
      <c r="AC278" s="146"/>
      <c r="AD278" s="145"/>
      <c r="AE278" s="145"/>
      <c r="AF278" s="145"/>
      <c r="AG278" s="145"/>
      <c r="AH278" s="146"/>
      <c r="AI278" s="145"/>
      <c r="AJ278" s="145"/>
      <c r="AK278" s="145"/>
      <c r="AL278" s="145"/>
      <c r="AM278" s="145"/>
      <c r="AN278" s="145"/>
      <c r="AO278" s="145"/>
      <c r="AP278" s="74"/>
      <c r="AQ278" s="74"/>
      <c r="AR278" s="74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ht="15.75" customHeight="1" x14ac:dyDescent="0.45">
      <c r="A279" s="22"/>
      <c r="B279" s="12"/>
      <c r="C279" s="12"/>
      <c r="D279" s="155"/>
      <c r="E279" s="22"/>
      <c r="F279" s="22"/>
      <c r="G279" s="12"/>
      <c r="H279" s="22"/>
      <c r="I279" s="22"/>
      <c r="J279" s="22"/>
      <c r="K279" s="22"/>
      <c r="L279" s="22"/>
      <c r="M279" s="22"/>
      <c r="N279" s="22"/>
      <c r="O279" s="145"/>
      <c r="P279" s="145"/>
      <c r="Q279" s="145"/>
      <c r="R279" s="145"/>
      <c r="S279" s="22"/>
      <c r="T279" s="145"/>
      <c r="U279" s="145"/>
      <c r="V279" s="145"/>
      <c r="W279" s="145"/>
      <c r="X279" s="53"/>
      <c r="Y279" s="74"/>
      <c r="Z279" s="145"/>
      <c r="AA279" s="145"/>
      <c r="AB279" s="145"/>
      <c r="AC279" s="146"/>
      <c r="AD279" s="145"/>
      <c r="AE279" s="145"/>
      <c r="AF279" s="145"/>
      <c r="AG279" s="145"/>
      <c r="AH279" s="146"/>
      <c r="AI279" s="145"/>
      <c r="AJ279" s="145"/>
      <c r="AK279" s="145"/>
      <c r="AL279" s="145"/>
      <c r="AM279" s="145"/>
      <c r="AN279" s="145"/>
      <c r="AO279" s="145"/>
      <c r="AP279" s="74"/>
      <c r="AQ279" s="74"/>
      <c r="AR279" s="74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ht="15.75" customHeight="1" x14ac:dyDescent="0.45">
      <c r="A280" s="22"/>
      <c r="B280" s="12"/>
      <c r="C280" s="12"/>
      <c r="D280" s="155"/>
      <c r="E280" s="22"/>
      <c r="F280" s="22"/>
      <c r="G280" s="12"/>
      <c r="H280" s="22"/>
      <c r="I280" s="22"/>
      <c r="J280" s="22"/>
      <c r="K280" s="22"/>
      <c r="L280" s="22"/>
      <c r="M280" s="22"/>
      <c r="N280" s="22"/>
      <c r="O280" s="145"/>
      <c r="P280" s="145"/>
      <c r="Q280" s="145"/>
      <c r="R280" s="145"/>
      <c r="S280" s="22"/>
      <c r="T280" s="145"/>
      <c r="U280" s="145"/>
      <c r="V280" s="145"/>
      <c r="W280" s="145"/>
      <c r="X280" s="53"/>
      <c r="Y280" s="74"/>
      <c r="Z280" s="145"/>
      <c r="AA280" s="145"/>
      <c r="AB280" s="145"/>
      <c r="AC280" s="146"/>
      <c r="AD280" s="145"/>
      <c r="AE280" s="145"/>
      <c r="AF280" s="145"/>
      <c r="AG280" s="145"/>
      <c r="AH280" s="146"/>
      <c r="AI280" s="145"/>
      <c r="AJ280" s="145"/>
      <c r="AK280" s="145"/>
      <c r="AL280" s="145"/>
      <c r="AM280" s="145"/>
      <c r="AN280" s="145"/>
      <c r="AO280" s="145"/>
      <c r="AP280" s="74"/>
      <c r="AQ280" s="74"/>
      <c r="AR280" s="74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ht="15.75" customHeight="1" x14ac:dyDescent="0.45">
      <c r="A281" s="22"/>
      <c r="B281" s="12"/>
      <c r="C281" s="12"/>
      <c r="D281" s="155"/>
      <c r="E281" s="22"/>
      <c r="F281" s="22"/>
      <c r="G281" s="12"/>
      <c r="H281" s="22"/>
      <c r="I281" s="22"/>
      <c r="J281" s="22"/>
      <c r="K281" s="22"/>
      <c r="L281" s="22"/>
      <c r="M281" s="22"/>
      <c r="N281" s="22"/>
      <c r="O281" s="145"/>
      <c r="P281" s="145"/>
      <c r="Q281" s="145"/>
      <c r="R281" s="145"/>
      <c r="S281" s="22"/>
      <c r="T281" s="145"/>
      <c r="U281" s="145"/>
      <c r="V281" s="145"/>
      <c r="W281" s="145"/>
      <c r="X281" s="53"/>
      <c r="Y281" s="74"/>
      <c r="Z281" s="145"/>
      <c r="AA281" s="145"/>
      <c r="AB281" s="145"/>
      <c r="AC281" s="146"/>
      <c r="AD281" s="145"/>
      <c r="AE281" s="145"/>
      <c r="AF281" s="145"/>
      <c r="AG281" s="145"/>
      <c r="AH281" s="146"/>
      <c r="AI281" s="145"/>
      <c r="AJ281" s="145"/>
      <c r="AK281" s="145"/>
      <c r="AL281" s="145"/>
      <c r="AM281" s="145"/>
      <c r="AN281" s="145"/>
      <c r="AO281" s="145"/>
      <c r="AP281" s="74"/>
      <c r="AQ281" s="74"/>
      <c r="AR281" s="74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ht="15.75" customHeight="1" x14ac:dyDescent="0.45">
      <c r="A282" s="22"/>
      <c r="B282" s="12"/>
      <c r="C282" s="12"/>
      <c r="D282" s="155"/>
      <c r="E282" s="22"/>
      <c r="F282" s="22"/>
      <c r="G282" s="12"/>
      <c r="H282" s="22"/>
      <c r="I282" s="22"/>
      <c r="J282" s="22"/>
      <c r="K282" s="22"/>
      <c r="L282" s="22"/>
      <c r="M282" s="22"/>
      <c r="N282" s="22"/>
      <c r="O282" s="145"/>
      <c r="P282" s="145"/>
      <c r="Q282" s="145"/>
      <c r="R282" s="145"/>
      <c r="S282" s="22"/>
      <c r="T282" s="145"/>
      <c r="U282" s="145"/>
      <c r="V282" s="145"/>
      <c r="W282" s="145"/>
      <c r="X282" s="53"/>
      <c r="Y282" s="74"/>
      <c r="Z282" s="145"/>
      <c r="AA282" s="145"/>
      <c r="AB282" s="145"/>
      <c r="AC282" s="146"/>
      <c r="AD282" s="145"/>
      <c r="AE282" s="145"/>
      <c r="AF282" s="145"/>
      <c r="AG282" s="145"/>
      <c r="AH282" s="146"/>
      <c r="AI282" s="145"/>
      <c r="AJ282" s="145"/>
      <c r="AK282" s="145"/>
      <c r="AL282" s="145"/>
      <c r="AM282" s="145"/>
      <c r="AN282" s="145"/>
      <c r="AO282" s="145"/>
      <c r="AP282" s="74"/>
      <c r="AQ282" s="74"/>
      <c r="AR282" s="74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ht="15.75" customHeight="1" x14ac:dyDescent="0.45">
      <c r="A283" s="22"/>
      <c r="B283" s="12"/>
      <c r="C283" s="12"/>
      <c r="D283" s="155"/>
      <c r="E283" s="22"/>
      <c r="F283" s="22"/>
      <c r="G283" s="12"/>
      <c r="H283" s="22"/>
      <c r="I283" s="22"/>
      <c r="J283" s="22"/>
      <c r="K283" s="22"/>
      <c r="L283" s="22"/>
      <c r="M283" s="22"/>
      <c r="N283" s="22"/>
      <c r="O283" s="145"/>
      <c r="P283" s="145"/>
      <c r="Q283" s="145"/>
      <c r="R283" s="145"/>
      <c r="S283" s="22"/>
      <c r="T283" s="145"/>
      <c r="U283" s="145"/>
      <c r="V283" s="145"/>
      <c r="W283" s="145"/>
      <c r="X283" s="53"/>
      <c r="Y283" s="74"/>
      <c r="Z283" s="145"/>
      <c r="AA283" s="145"/>
      <c r="AB283" s="145"/>
      <c r="AC283" s="146"/>
      <c r="AD283" s="145"/>
      <c r="AE283" s="145"/>
      <c r="AF283" s="145"/>
      <c r="AG283" s="145"/>
      <c r="AH283" s="146"/>
      <c r="AI283" s="145"/>
      <c r="AJ283" s="145"/>
      <c r="AK283" s="145"/>
      <c r="AL283" s="145"/>
      <c r="AM283" s="145"/>
      <c r="AN283" s="145"/>
      <c r="AO283" s="145"/>
      <c r="AP283" s="74"/>
      <c r="AQ283" s="74"/>
      <c r="AR283" s="74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ht="15.75" customHeight="1" x14ac:dyDescent="0.45">
      <c r="A284" s="22"/>
      <c r="B284" s="12"/>
      <c r="C284" s="12"/>
      <c r="D284" s="155"/>
      <c r="E284" s="22"/>
      <c r="F284" s="22"/>
      <c r="G284" s="12"/>
      <c r="H284" s="22"/>
      <c r="I284" s="22"/>
      <c r="J284" s="22"/>
      <c r="K284" s="22"/>
      <c r="L284" s="22"/>
      <c r="M284" s="22"/>
      <c r="N284" s="22"/>
      <c r="O284" s="145"/>
      <c r="P284" s="145"/>
      <c r="Q284" s="145"/>
      <c r="R284" s="145"/>
      <c r="S284" s="22"/>
      <c r="T284" s="145"/>
      <c r="U284" s="145"/>
      <c r="V284" s="145"/>
      <c r="W284" s="145"/>
      <c r="X284" s="53"/>
      <c r="Y284" s="74"/>
      <c r="Z284" s="145"/>
      <c r="AA284" s="145"/>
      <c r="AB284" s="145"/>
      <c r="AC284" s="146"/>
      <c r="AD284" s="145"/>
      <c r="AE284" s="145"/>
      <c r="AF284" s="145"/>
      <c r="AG284" s="145"/>
      <c r="AH284" s="146"/>
      <c r="AI284" s="145"/>
      <c r="AJ284" s="145"/>
      <c r="AK284" s="145"/>
      <c r="AL284" s="145"/>
      <c r="AM284" s="145"/>
      <c r="AN284" s="145"/>
      <c r="AO284" s="145"/>
      <c r="AP284" s="74"/>
      <c r="AQ284" s="74"/>
      <c r="AR284" s="74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ht="15.75" customHeight="1" x14ac:dyDescent="0.45">
      <c r="A285" s="22"/>
      <c r="B285" s="12"/>
      <c r="C285" s="12"/>
      <c r="D285" s="155"/>
      <c r="E285" s="22"/>
      <c r="F285" s="22"/>
      <c r="G285" s="12"/>
      <c r="H285" s="22"/>
      <c r="I285" s="22"/>
      <c r="J285" s="22"/>
      <c r="K285" s="22"/>
      <c r="L285" s="22"/>
      <c r="M285" s="22"/>
      <c r="N285" s="22"/>
      <c r="O285" s="145"/>
      <c r="P285" s="145"/>
      <c r="Q285" s="145"/>
      <c r="R285" s="145"/>
      <c r="S285" s="22"/>
      <c r="T285" s="145"/>
      <c r="U285" s="145"/>
      <c r="V285" s="145"/>
      <c r="W285" s="145"/>
      <c r="X285" s="53"/>
      <c r="Y285" s="74"/>
      <c r="Z285" s="145"/>
      <c r="AA285" s="145"/>
      <c r="AB285" s="145"/>
      <c r="AC285" s="146"/>
      <c r="AD285" s="145"/>
      <c r="AE285" s="145"/>
      <c r="AF285" s="145"/>
      <c r="AG285" s="145"/>
      <c r="AH285" s="146"/>
      <c r="AI285" s="145"/>
      <c r="AJ285" s="145"/>
      <c r="AK285" s="145"/>
      <c r="AL285" s="145"/>
      <c r="AM285" s="145"/>
      <c r="AN285" s="145"/>
      <c r="AO285" s="145"/>
      <c r="AP285" s="74"/>
      <c r="AQ285" s="74"/>
      <c r="AR285" s="74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ht="15.75" customHeight="1" x14ac:dyDescent="0.45">
      <c r="A286" s="22"/>
      <c r="B286" s="12"/>
      <c r="C286" s="12"/>
      <c r="D286" s="155"/>
      <c r="E286" s="22"/>
      <c r="F286" s="22"/>
      <c r="G286" s="12"/>
      <c r="H286" s="22"/>
      <c r="I286" s="22"/>
      <c r="J286" s="22"/>
      <c r="K286" s="22"/>
      <c r="L286" s="22"/>
      <c r="M286" s="22"/>
      <c r="N286" s="22"/>
      <c r="O286" s="145"/>
      <c r="P286" s="145"/>
      <c r="Q286" s="145"/>
      <c r="R286" s="145"/>
      <c r="S286" s="22"/>
      <c r="T286" s="145"/>
      <c r="U286" s="145"/>
      <c r="V286" s="145"/>
      <c r="W286" s="145"/>
      <c r="X286" s="53"/>
      <c r="Y286" s="74"/>
      <c r="Z286" s="145"/>
      <c r="AA286" s="145"/>
      <c r="AB286" s="145"/>
      <c r="AC286" s="146"/>
      <c r="AD286" s="145"/>
      <c r="AE286" s="145"/>
      <c r="AF286" s="145"/>
      <c r="AG286" s="145"/>
      <c r="AH286" s="146"/>
      <c r="AI286" s="145"/>
      <c r="AJ286" s="145"/>
      <c r="AK286" s="145"/>
      <c r="AL286" s="145"/>
      <c r="AM286" s="145"/>
      <c r="AN286" s="145"/>
      <c r="AO286" s="145"/>
      <c r="AP286" s="74"/>
      <c r="AQ286" s="74"/>
      <c r="AR286" s="74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ht="15.75" customHeight="1" x14ac:dyDescent="0.45">
      <c r="A287" s="22"/>
      <c r="B287" s="12"/>
      <c r="C287" s="12"/>
      <c r="D287" s="155"/>
      <c r="E287" s="22"/>
      <c r="F287" s="22"/>
      <c r="G287" s="12"/>
      <c r="H287" s="22"/>
      <c r="I287" s="22"/>
      <c r="J287" s="22"/>
      <c r="K287" s="22"/>
      <c r="L287" s="22"/>
      <c r="M287" s="22"/>
      <c r="N287" s="22"/>
      <c r="O287" s="145"/>
      <c r="P287" s="145"/>
      <c r="Q287" s="145"/>
      <c r="R287" s="145"/>
      <c r="S287" s="22"/>
      <c r="T287" s="145"/>
      <c r="U287" s="145"/>
      <c r="V287" s="145"/>
      <c r="W287" s="145"/>
      <c r="X287" s="53"/>
      <c r="Y287" s="74"/>
      <c r="Z287" s="145"/>
      <c r="AA287" s="145"/>
      <c r="AB287" s="145"/>
      <c r="AC287" s="146"/>
      <c r="AD287" s="145"/>
      <c r="AE287" s="145"/>
      <c r="AF287" s="145"/>
      <c r="AG287" s="145"/>
      <c r="AH287" s="146"/>
      <c r="AI287" s="145"/>
      <c r="AJ287" s="145"/>
      <c r="AK287" s="145"/>
      <c r="AL287" s="145"/>
      <c r="AM287" s="145"/>
      <c r="AN287" s="145"/>
      <c r="AO287" s="145"/>
      <c r="AP287" s="74"/>
      <c r="AQ287" s="74"/>
      <c r="AR287" s="74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ht="15.75" customHeight="1" x14ac:dyDescent="0.45">
      <c r="A288" s="22"/>
      <c r="B288" s="12"/>
      <c r="C288" s="12"/>
      <c r="D288" s="155"/>
      <c r="E288" s="22"/>
      <c r="F288" s="22"/>
      <c r="G288" s="12"/>
      <c r="H288" s="22"/>
      <c r="I288" s="22"/>
      <c r="J288" s="22"/>
      <c r="K288" s="22"/>
      <c r="L288" s="22"/>
      <c r="M288" s="22"/>
      <c r="N288" s="22"/>
      <c r="O288" s="145"/>
      <c r="P288" s="145"/>
      <c r="Q288" s="145"/>
      <c r="R288" s="145"/>
      <c r="S288" s="22"/>
      <c r="T288" s="145"/>
      <c r="U288" s="145"/>
      <c r="V288" s="145"/>
      <c r="W288" s="145"/>
      <c r="X288" s="53"/>
      <c r="Y288" s="74"/>
      <c r="Z288" s="145"/>
      <c r="AA288" s="145"/>
      <c r="AB288" s="145"/>
      <c r="AC288" s="146"/>
      <c r="AD288" s="145"/>
      <c r="AE288" s="145"/>
      <c r="AF288" s="145"/>
      <c r="AG288" s="145"/>
      <c r="AH288" s="146"/>
      <c r="AI288" s="145"/>
      <c r="AJ288" s="145"/>
      <c r="AK288" s="145"/>
      <c r="AL288" s="145"/>
      <c r="AM288" s="145"/>
      <c r="AN288" s="145"/>
      <c r="AO288" s="145"/>
      <c r="AP288" s="74"/>
      <c r="AQ288" s="74"/>
      <c r="AR288" s="74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ht="15.75" customHeight="1" x14ac:dyDescent="0.45">
      <c r="A289" s="22"/>
      <c r="B289" s="12"/>
      <c r="C289" s="12"/>
      <c r="D289" s="155"/>
      <c r="E289" s="22"/>
      <c r="F289" s="22"/>
      <c r="G289" s="12"/>
      <c r="H289" s="22"/>
      <c r="I289" s="22"/>
      <c r="J289" s="22"/>
      <c r="K289" s="22"/>
      <c r="L289" s="22"/>
      <c r="M289" s="22"/>
      <c r="N289" s="22"/>
      <c r="O289" s="145"/>
      <c r="P289" s="145"/>
      <c r="Q289" s="145"/>
      <c r="R289" s="145"/>
      <c r="S289" s="22"/>
      <c r="T289" s="145"/>
      <c r="U289" s="145"/>
      <c r="V289" s="145"/>
      <c r="W289" s="145"/>
      <c r="X289" s="53"/>
      <c r="Y289" s="74"/>
      <c r="Z289" s="145"/>
      <c r="AA289" s="145"/>
      <c r="AB289" s="145"/>
      <c r="AC289" s="146"/>
      <c r="AD289" s="145"/>
      <c r="AE289" s="145"/>
      <c r="AF289" s="145"/>
      <c r="AG289" s="145"/>
      <c r="AH289" s="146"/>
      <c r="AI289" s="145"/>
      <c r="AJ289" s="145"/>
      <c r="AK289" s="145"/>
      <c r="AL289" s="145"/>
      <c r="AM289" s="145"/>
      <c r="AN289" s="145"/>
      <c r="AO289" s="145"/>
      <c r="AP289" s="74"/>
      <c r="AQ289" s="74"/>
      <c r="AR289" s="74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ht="15.75" customHeight="1" x14ac:dyDescent="0.45">
      <c r="A290" s="22"/>
      <c r="B290" s="12"/>
      <c r="C290" s="12"/>
      <c r="D290" s="155"/>
      <c r="E290" s="22"/>
      <c r="F290" s="22"/>
      <c r="G290" s="12"/>
      <c r="H290" s="22"/>
      <c r="I290" s="22"/>
      <c r="J290" s="22"/>
      <c r="K290" s="22"/>
      <c r="L290" s="22"/>
      <c r="M290" s="22"/>
      <c r="N290" s="22"/>
      <c r="O290" s="145"/>
      <c r="P290" s="145"/>
      <c r="Q290" s="145"/>
      <c r="R290" s="145"/>
      <c r="S290" s="22"/>
      <c r="T290" s="145"/>
      <c r="U290" s="145"/>
      <c r="V290" s="145"/>
      <c r="W290" s="145"/>
      <c r="X290" s="53"/>
      <c r="Y290" s="74"/>
      <c r="Z290" s="145"/>
      <c r="AA290" s="145"/>
      <c r="AB290" s="145"/>
      <c r="AC290" s="146"/>
      <c r="AD290" s="145"/>
      <c r="AE290" s="145"/>
      <c r="AF290" s="145"/>
      <c r="AG290" s="145"/>
      <c r="AH290" s="146"/>
      <c r="AI290" s="145"/>
      <c r="AJ290" s="145"/>
      <c r="AK290" s="145"/>
      <c r="AL290" s="145"/>
      <c r="AM290" s="145"/>
      <c r="AN290" s="145"/>
      <c r="AO290" s="145"/>
      <c r="AP290" s="74"/>
      <c r="AQ290" s="74"/>
      <c r="AR290" s="74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ht="15.75" customHeight="1" x14ac:dyDescent="0.45">
      <c r="A291" s="22"/>
      <c r="B291" s="12"/>
      <c r="C291" s="12"/>
      <c r="D291" s="155"/>
      <c r="E291" s="22"/>
      <c r="F291" s="22"/>
      <c r="G291" s="12"/>
      <c r="H291" s="22"/>
      <c r="I291" s="22"/>
      <c r="J291" s="22"/>
      <c r="K291" s="22"/>
      <c r="L291" s="22"/>
      <c r="M291" s="22"/>
      <c r="N291" s="22"/>
      <c r="O291" s="145"/>
      <c r="P291" s="145"/>
      <c r="Q291" s="145"/>
      <c r="R291" s="145"/>
      <c r="S291" s="22"/>
      <c r="T291" s="145"/>
      <c r="U291" s="145"/>
      <c r="V291" s="145"/>
      <c r="W291" s="145"/>
      <c r="X291" s="53"/>
      <c r="Y291" s="74"/>
      <c r="Z291" s="145"/>
      <c r="AA291" s="145"/>
      <c r="AB291" s="145"/>
      <c r="AC291" s="146"/>
      <c r="AD291" s="145"/>
      <c r="AE291" s="145"/>
      <c r="AF291" s="145"/>
      <c r="AG291" s="145"/>
      <c r="AH291" s="146"/>
      <c r="AI291" s="145"/>
      <c r="AJ291" s="145"/>
      <c r="AK291" s="145"/>
      <c r="AL291" s="145"/>
      <c r="AM291" s="145"/>
      <c r="AN291" s="145"/>
      <c r="AO291" s="145"/>
      <c r="AP291" s="74"/>
      <c r="AQ291" s="74"/>
      <c r="AR291" s="74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ht="15.75" customHeight="1" x14ac:dyDescent="0.45">
      <c r="A292" s="22"/>
      <c r="B292" s="12"/>
      <c r="C292" s="12"/>
      <c r="D292" s="155"/>
      <c r="E292" s="22"/>
      <c r="F292" s="22"/>
      <c r="G292" s="12"/>
      <c r="H292" s="22"/>
      <c r="I292" s="22"/>
      <c r="J292" s="22"/>
      <c r="K292" s="22"/>
      <c r="L292" s="22"/>
      <c r="M292" s="22"/>
      <c r="N292" s="22"/>
      <c r="O292" s="145"/>
      <c r="P292" s="145"/>
      <c r="Q292" s="145"/>
      <c r="R292" s="145"/>
      <c r="S292" s="22"/>
      <c r="T292" s="145"/>
      <c r="U292" s="145"/>
      <c r="V292" s="145"/>
      <c r="W292" s="145"/>
      <c r="X292" s="53"/>
      <c r="Y292" s="74"/>
      <c r="Z292" s="145"/>
      <c r="AA292" s="145"/>
      <c r="AB292" s="145"/>
      <c r="AC292" s="146"/>
      <c r="AD292" s="145"/>
      <c r="AE292" s="145"/>
      <c r="AF292" s="145"/>
      <c r="AG292" s="145"/>
      <c r="AH292" s="146"/>
      <c r="AI292" s="145"/>
      <c r="AJ292" s="145"/>
      <c r="AK292" s="145"/>
      <c r="AL292" s="145"/>
      <c r="AM292" s="145"/>
      <c r="AN292" s="145"/>
      <c r="AO292" s="145"/>
      <c r="AP292" s="74"/>
      <c r="AQ292" s="74"/>
      <c r="AR292" s="74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ht="15.75" customHeight="1" x14ac:dyDescent="0.45">
      <c r="A293" s="22"/>
      <c r="B293" s="12"/>
      <c r="C293" s="12"/>
      <c r="D293" s="155"/>
      <c r="E293" s="22"/>
      <c r="F293" s="22"/>
      <c r="G293" s="12"/>
      <c r="H293" s="22"/>
      <c r="I293" s="22"/>
      <c r="J293" s="22"/>
      <c r="K293" s="22"/>
      <c r="L293" s="22"/>
      <c r="M293" s="22"/>
      <c r="N293" s="22"/>
      <c r="O293" s="145"/>
      <c r="P293" s="145"/>
      <c r="Q293" s="145"/>
      <c r="R293" s="145"/>
      <c r="S293" s="22"/>
      <c r="T293" s="145"/>
      <c r="U293" s="145"/>
      <c r="V293" s="145"/>
      <c r="W293" s="145"/>
      <c r="X293" s="53"/>
      <c r="Y293" s="74"/>
      <c r="Z293" s="145"/>
      <c r="AA293" s="145"/>
      <c r="AB293" s="145"/>
      <c r="AC293" s="146"/>
      <c r="AD293" s="145"/>
      <c r="AE293" s="145"/>
      <c r="AF293" s="145"/>
      <c r="AG293" s="145"/>
      <c r="AH293" s="146"/>
      <c r="AI293" s="145"/>
      <c r="AJ293" s="145"/>
      <c r="AK293" s="145"/>
      <c r="AL293" s="145"/>
      <c r="AM293" s="145"/>
      <c r="AN293" s="145"/>
      <c r="AO293" s="145"/>
      <c r="AP293" s="74"/>
      <c r="AQ293" s="74"/>
      <c r="AR293" s="74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ht="15.75" customHeight="1" x14ac:dyDescent="0.45">
      <c r="A294" s="22"/>
      <c r="B294" s="12"/>
      <c r="C294" s="12"/>
      <c r="D294" s="155"/>
      <c r="E294" s="22"/>
      <c r="F294" s="22"/>
      <c r="G294" s="12"/>
      <c r="H294" s="22"/>
      <c r="I294" s="22"/>
      <c r="J294" s="22"/>
      <c r="K294" s="22"/>
      <c r="L294" s="22"/>
      <c r="M294" s="22"/>
      <c r="N294" s="22"/>
      <c r="O294" s="145"/>
      <c r="P294" s="145"/>
      <c r="Q294" s="145"/>
      <c r="R294" s="145"/>
      <c r="S294" s="22"/>
      <c r="T294" s="145"/>
      <c r="U294" s="145"/>
      <c r="V294" s="145"/>
      <c r="W294" s="145"/>
      <c r="X294" s="53"/>
      <c r="Y294" s="74"/>
      <c r="Z294" s="145"/>
      <c r="AA294" s="145"/>
      <c r="AB294" s="145"/>
      <c r="AC294" s="146"/>
      <c r="AD294" s="145"/>
      <c r="AE294" s="145"/>
      <c r="AF294" s="145"/>
      <c r="AG294" s="145"/>
      <c r="AH294" s="146"/>
      <c r="AI294" s="145"/>
      <c r="AJ294" s="145"/>
      <c r="AK294" s="145"/>
      <c r="AL294" s="145"/>
      <c r="AM294" s="145"/>
      <c r="AN294" s="145"/>
      <c r="AO294" s="145"/>
      <c r="AP294" s="74"/>
      <c r="AQ294" s="74"/>
      <c r="AR294" s="74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ht="15.75" customHeight="1" x14ac:dyDescent="0.45">
      <c r="A295" s="22"/>
      <c r="B295" s="12"/>
      <c r="C295" s="12"/>
      <c r="D295" s="155"/>
      <c r="E295" s="22"/>
      <c r="F295" s="22"/>
      <c r="G295" s="12"/>
      <c r="H295" s="22"/>
      <c r="I295" s="22"/>
      <c r="J295" s="22"/>
      <c r="K295" s="22"/>
      <c r="L295" s="22"/>
      <c r="M295" s="22"/>
      <c r="N295" s="22"/>
      <c r="O295" s="145"/>
      <c r="P295" s="145"/>
      <c r="Q295" s="145"/>
      <c r="R295" s="145"/>
      <c r="S295" s="22"/>
      <c r="T295" s="145"/>
      <c r="U295" s="145"/>
      <c r="V295" s="145"/>
      <c r="W295" s="145"/>
      <c r="X295" s="53"/>
      <c r="Y295" s="74"/>
      <c r="Z295" s="145"/>
      <c r="AA295" s="145"/>
      <c r="AB295" s="145"/>
      <c r="AC295" s="146"/>
      <c r="AD295" s="145"/>
      <c r="AE295" s="145"/>
      <c r="AF295" s="145"/>
      <c r="AG295" s="145"/>
      <c r="AH295" s="146"/>
      <c r="AI295" s="145"/>
      <c r="AJ295" s="145"/>
      <c r="AK295" s="145"/>
      <c r="AL295" s="145"/>
      <c r="AM295" s="145"/>
      <c r="AN295" s="145"/>
      <c r="AO295" s="145"/>
      <c r="AP295" s="74"/>
      <c r="AQ295" s="74"/>
      <c r="AR295" s="74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ht="15.75" customHeight="1" x14ac:dyDescent="0.45">
      <c r="A296" s="22"/>
      <c r="B296" s="12"/>
      <c r="C296" s="12"/>
      <c r="D296" s="155"/>
      <c r="E296" s="22"/>
      <c r="F296" s="22"/>
      <c r="G296" s="12"/>
      <c r="H296" s="22"/>
      <c r="I296" s="22"/>
      <c r="J296" s="22"/>
      <c r="K296" s="22"/>
      <c r="L296" s="22"/>
      <c r="M296" s="22"/>
      <c r="N296" s="22"/>
      <c r="O296" s="145"/>
      <c r="P296" s="145"/>
      <c r="Q296" s="145"/>
      <c r="R296" s="145"/>
      <c r="S296" s="22"/>
      <c r="T296" s="145"/>
      <c r="U296" s="145"/>
      <c r="V296" s="145"/>
      <c r="W296" s="145"/>
      <c r="X296" s="53"/>
      <c r="Y296" s="74"/>
      <c r="Z296" s="145"/>
      <c r="AA296" s="145"/>
      <c r="AB296" s="145"/>
      <c r="AC296" s="146"/>
      <c r="AD296" s="145"/>
      <c r="AE296" s="145"/>
      <c r="AF296" s="145"/>
      <c r="AG296" s="145"/>
      <c r="AH296" s="146"/>
      <c r="AI296" s="145"/>
      <c r="AJ296" s="145"/>
      <c r="AK296" s="145"/>
      <c r="AL296" s="145"/>
      <c r="AM296" s="145"/>
      <c r="AN296" s="145"/>
      <c r="AO296" s="145"/>
      <c r="AP296" s="74"/>
      <c r="AQ296" s="74"/>
      <c r="AR296" s="74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ht="15.75" customHeight="1" x14ac:dyDescent="0.45">
      <c r="A297" s="22"/>
      <c r="B297" s="12"/>
      <c r="C297" s="12"/>
      <c r="D297" s="155"/>
      <c r="E297" s="22"/>
      <c r="F297" s="22"/>
      <c r="G297" s="12"/>
      <c r="H297" s="22"/>
      <c r="I297" s="22"/>
      <c r="J297" s="22"/>
      <c r="K297" s="22"/>
      <c r="L297" s="22"/>
      <c r="M297" s="22"/>
      <c r="N297" s="22"/>
      <c r="O297" s="145"/>
      <c r="P297" s="145"/>
      <c r="Q297" s="145"/>
      <c r="R297" s="145"/>
      <c r="S297" s="22"/>
      <c r="T297" s="145"/>
      <c r="U297" s="145"/>
      <c r="V297" s="145"/>
      <c r="W297" s="145"/>
      <c r="X297" s="53"/>
      <c r="Y297" s="74"/>
      <c r="Z297" s="145"/>
      <c r="AA297" s="145"/>
      <c r="AB297" s="145"/>
      <c r="AC297" s="146"/>
      <c r="AD297" s="145"/>
      <c r="AE297" s="145"/>
      <c r="AF297" s="145"/>
      <c r="AG297" s="145"/>
      <c r="AH297" s="146"/>
      <c r="AI297" s="145"/>
      <c r="AJ297" s="145"/>
      <c r="AK297" s="145"/>
      <c r="AL297" s="145"/>
      <c r="AM297" s="145"/>
      <c r="AN297" s="145"/>
      <c r="AO297" s="145"/>
      <c r="AP297" s="74"/>
      <c r="AQ297" s="74"/>
      <c r="AR297" s="74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ht="15.75" customHeight="1" x14ac:dyDescent="0.45">
      <c r="A298" s="22"/>
      <c r="B298" s="12"/>
      <c r="C298" s="12"/>
      <c r="D298" s="155"/>
      <c r="E298" s="22"/>
      <c r="F298" s="22"/>
      <c r="G298" s="12"/>
      <c r="H298" s="22"/>
      <c r="I298" s="22"/>
      <c r="J298" s="22"/>
      <c r="K298" s="22"/>
      <c r="L298" s="22"/>
      <c r="M298" s="22"/>
      <c r="N298" s="22"/>
      <c r="O298" s="145"/>
      <c r="P298" s="145"/>
      <c r="Q298" s="145"/>
      <c r="R298" s="145"/>
      <c r="S298" s="22"/>
      <c r="T298" s="145"/>
      <c r="U298" s="145"/>
      <c r="V298" s="145"/>
      <c r="W298" s="145"/>
      <c r="X298" s="53"/>
      <c r="Y298" s="74"/>
      <c r="Z298" s="145"/>
      <c r="AA298" s="145"/>
      <c r="AB298" s="145"/>
      <c r="AC298" s="146"/>
      <c r="AD298" s="145"/>
      <c r="AE298" s="145"/>
      <c r="AF298" s="145"/>
      <c r="AG298" s="145"/>
      <c r="AH298" s="146"/>
      <c r="AI298" s="145"/>
      <c r="AJ298" s="145"/>
      <c r="AK298" s="145"/>
      <c r="AL298" s="145"/>
      <c r="AM298" s="145"/>
      <c r="AN298" s="145"/>
      <c r="AO298" s="145"/>
      <c r="AP298" s="74"/>
      <c r="AQ298" s="74"/>
      <c r="AR298" s="74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ht="15.75" customHeight="1" x14ac:dyDescent="0.45">
      <c r="A299" s="22"/>
      <c r="B299" s="12"/>
      <c r="C299" s="12"/>
      <c r="D299" s="155"/>
      <c r="E299" s="22"/>
      <c r="F299" s="22"/>
      <c r="G299" s="12"/>
      <c r="H299" s="22"/>
      <c r="I299" s="22"/>
      <c r="J299" s="22"/>
      <c r="K299" s="22"/>
      <c r="L299" s="22"/>
      <c r="M299" s="22"/>
      <c r="N299" s="22"/>
      <c r="O299" s="145"/>
      <c r="P299" s="145"/>
      <c r="Q299" s="145"/>
      <c r="R299" s="145"/>
      <c r="S299" s="22"/>
      <c r="T299" s="145"/>
      <c r="U299" s="145"/>
      <c r="V299" s="145"/>
      <c r="W299" s="145"/>
      <c r="X299" s="53"/>
      <c r="Y299" s="74"/>
      <c r="Z299" s="145"/>
      <c r="AA299" s="145"/>
      <c r="AB299" s="145"/>
      <c r="AC299" s="146"/>
      <c r="AD299" s="145"/>
      <c r="AE299" s="145"/>
      <c r="AF299" s="145"/>
      <c r="AG299" s="145"/>
      <c r="AH299" s="146"/>
      <c r="AI299" s="145"/>
      <c r="AJ299" s="145"/>
      <c r="AK299" s="145"/>
      <c r="AL299" s="145"/>
      <c r="AM299" s="145"/>
      <c r="AN299" s="145"/>
      <c r="AO299" s="145"/>
      <c r="AP299" s="74"/>
      <c r="AQ299" s="74"/>
      <c r="AR299" s="74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ht="15.75" customHeight="1" x14ac:dyDescent="0.45">
      <c r="A300" s="22"/>
      <c r="B300" s="12"/>
      <c r="C300" s="12"/>
      <c r="D300" s="155"/>
      <c r="E300" s="22"/>
      <c r="F300" s="22"/>
      <c r="G300" s="12"/>
      <c r="H300" s="22"/>
      <c r="I300" s="22"/>
      <c r="J300" s="22"/>
      <c r="K300" s="22"/>
      <c r="L300" s="22"/>
      <c r="M300" s="22"/>
      <c r="N300" s="22"/>
      <c r="O300" s="145"/>
      <c r="P300" s="145"/>
      <c r="Q300" s="145"/>
      <c r="R300" s="145"/>
      <c r="S300" s="22"/>
      <c r="T300" s="145"/>
      <c r="U300" s="145"/>
      <c r="V300" s="145"/>
      <c r="W300" s="145"/>
      <c r="X300" s="53"/>
      <c r="Y300" s="74"/>
      <c r="Z300" s="145"/>
      <c r="AA300" s="145"/>
      <c r="AB300" s="145"/>
      <c r="AC300" s="146"/>
      <c r="AD300" s="145"/>
      <c r="AE300" s="145"/>
      <c r="AF300" s="145"/>
      <c r="AG300" s="145"/>
      <c r="AH300" s="146"/>
      <c r="AI300" s="145"/>
      <c r="AJ300" s="145"/>
      <c r="AK300" s="145"/>
      <c r="AL300" s="145"/>
      <c r="AM300" s="145"/>
      <c r="AN300" s="145"/>
      <c r="AO300" s="145"/>
      <c r="AP300" s="74"/>
      <c r="AQ300" s="74"/>
      <c r="AR300" s="74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ht="15.75" customHeight="1" x14ac:dyDescent="0.45">
      <c r="A301" s="22"/>
      <c r="B301" s="12"/>
      <c r="C301" s="12"/>
      <c r="D301" s="155"/>
      <c r="E301" s="22"/>
      <c r="F301" s="22"/>
      <c r="G301" s="12"/>
      <c r="H301" s="22"/>
      <c r="I301" s="22"/>
      <c r="J301" s="22"/>
      <c r="K301" s="22"/>
      <c r="L301" s="22"/>
      <c r="M301" s="22"/>
      <c r="N301" s="22"/>
      <c r="O301" s="145"/>
      <c r="P301" s="145"/>
      <c r="Q301" s="145"/>
      <c r="R301" s="145"/>
      <c r="S301" s="22"/>
      <c r="T301" s="145"/>
      <c r="U301" s="145"/>
      <c r="V301" s="145"/>
      <c r="W301" s="145"/>
      <c r="X301" s="53"/>
      <c r="Y301" s="74"/>
      <c r="Z301" s="145"/>
      <c r="AA301" s="145"/>
      <c r="AB301" s="145"/>
      <c r="AC301" s="146"/>
      <c r="AD301" s="145"/>
      <c r="AE301" s="145"/>
      <c r="AF301" s="145"/>
      <c r="AG301" s="145"/>
      <c r="AH301" s="146"/>
      <c r="AI301" s="145"/>
      <c r="AJ301" s="145"/>
      <c r="AK301" s="145"/>
      <c r="AL301" s="145"/>
      <c r="AM301" s="145"/>
      <c r="AN301" s="145"/>
      <c r="AO301" s="145"/>
      <c r="AP301" s="74"/>
      <c r="AQ301" s="74"/>
      <c r="AR301" s="74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ht="15.75" customHeight="1" x14ac:dyDescent="0.45">
      <c r="A302" s="22"/>
      <c r="B302" s="12"/>
      <c r="C302" s="12"/>
      <c r="D302" s="155"/>
      <c r="E302" s="22"/>
      <c r="F302" s="22"/>
      <c r="G302" s="12"/>
      <c r="H302" s="22"/>
      <c r="I302" s="22"/>
      <c r="J302" s="22"/>
      <c r="K302" s="22"/>
      <c r="L302" s="22"/>
      <c r="M302" s="22"/>
      <c r="N302" s="22"/>
      <c r="O302" s="145"/>
      <c r="P302" s="145"/>
      <c r="Q302" s="145"/>
      <c r="R302" s="145"/>
      <c r="S302" s="22"/>
      <c r="T302" s="145"/>
      <c r="U302" s="145"/>
      <c r="V302" s="145"/>
      <c r="W302" s="145"/>
      <c r="X302" s="53"/>
      <c r="Y302" s="74"/>
      <c r="Z302" s="145"/>
      <c r="AA302" s="145"/>
      <c r="AB302" s="145"/>
      <c r="AC302" s="146"/>
      <c r="AD302" s="145"/>
      <c r="AE302" s="145"/>
      <c r="AF302" s="145"/>
      <c r="AG302" s="145"/>
      <c r="AH302" s="146"/>
      <c r="AI302" s="145"/>
      <c r="AJ302" s="145"/>
      <c r="AK302" s="145"/>
      <c r="AL302" s="145"/>
      <c r="AM302" s="145"/>
      <c r="AN302" s="145"/>
      <c r="AO302" s="145"/>
      <c r="AP302" s="74"/>
      <c r="AQ302" s="74"/>
      <c r="AR302" s="74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ht="15.75" customHeight="1" x14ac:dyDescent="0.45">
      <c r="A303" s="22"/>
      <c r="B303" s="12"/>
      <c r="C303" s="12"/>
      <c r="D303" s="155"/>
      <c r="E303" s="22"/>
      <c r="F303" s="22"/>
      <c r="G303" s="12"/>
      <c r="H303" s="22"/>
      <c r="I303" s="22"/>
      <c r="J303" s="22"/>
      <c r="K303" s="22"/>
      <c r="L303" s="22"/>
      <c r="M303" s="22"/>
      <c r="N303" s="22"/>
      <c r="O303" s="145"/>
      <c r="P303" s="145"/>
      <c r="Q303" s="145"/>
      <c r="R303" s="145"/>
      <c r="S303" s="22"/>
      <c r="T303" s="145"/>
      <c r="U303" s="145"/>
      <c r="V303" s="145"/>
      <c r="W303" s="145"/>
      <c r="X303" s="53"/>
      <c r="Y303" s="74"/>
      <c r="Z303" s="145"/>
      <c r="AA303" s="145"/>
      <c r="AB303" s="145"/>
      <c r="AC303" s="146"/>
      <c r="AD303" s="145"/>
      <c r="AE303" s="145"/>
      <c r="AF303" s="145"/>
      <c r="AG303" s="145"/>
      <c r="AH303" s="146"/>
      <c r="AI303" s="145"/>
      <c r="AJ303" s="145"/>
      <c r="AK303" s="145"/>
      <c r="AL303" s="145"/>
      <c r="AM303" s="145"/>
      <c r="AN303" s="145"/>
      <c r="AO303" s="145"/>
      <c r="AP303" s="74"/>
      <c r="AQ303" s="74"/>
      <c r="AR303" s="74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ht="15.75" customHeight="1" x14ac:dyDescent="0.45">
      <c r="A304" s="22"/>
      <c r="B304" s="12"/>
      <c r="C304" s="12"/>
      <c r="D304" s="155"/>
      <c r="E304" s="22"/>
      <c r="F304" s="22"/>
      <c r="G304" s="12"/>
      <c r="H304" s="22"/>
      <c r="I304" s="22"/>
      <c r="J304" s="22"/>
      <c r="K304" s="22"/>
      <c r="L304" s="22"/>
      <c r="M304" s="22"/>
      <c r="N304" s="22"/>
      <c r="O304" s="145"/>
      <c r="P304" s="145"/>
      <c r="Q304" s="145"/>
      <c r="R304" s="145"/>
      <c r="S304" s="22"/>
      <c r="T304" s="145"/>
      <c r="U304" s="145"/>
      <c r="V304" s="145"/>
      <c r="W304" s="145"/>
      <c r="X304" s="53"/>
      <c r="Y304" s="74"/>
      <c r="Z304" s="145"/>
      <c r="AA304" s="145"/>
      <c r="AB304" s="145"/>
      <c r="AC304" s="146"/>
      <c r="AD304" s="145"/>
      <c r="AE304" s="145"/>
      <c r="AF304" s="145"/>
      <c r="AG304" s="145"/>
      <c r="AH304" s="146"/>
      <c r="AI304" s="145"/>
      <c r="AJ304" s="145"/>
      <c r="AK304" s="145"/>
      <c r="AL304" s="145"/>
      <c r="AM304" s="145"/>
      <c r="AN304" s="145"/>
      <c r="AO304" s="145"/>
      <c r="AP304" s="74"/>
      <c r="AQ304" s="74"/>
      <c r="AR304" s="74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ht="15.75" customHeight="1" x14ac:dyDescent="0.45">
      <c r="A305" s="22"/>
      <c r="B305" s="12"/>
      <c r="C305" s="12"/>
      <c r="D305" s="155"/>
      <c r="E305" s="22"/>
      <c r="F305" s="22"/>
      <c r="G305" s="12"/>
      <c r="H305" s="22"/>
      <c r="I305" s="22"/>
      <c r="J305" s="22"/>
      <c r="K305" s="22"/>
      <c r="L305" s="22"/>
      <c r="M305" s="22"/>
      <c r="N305" s="22"/>
      <c r="O305" s="145"/>
      <c r="P305" s="145"/>
      <c r="Q305" s="145"/>
      <c r="R305" s="145"/>
      <c r="S305" s="22"/>
      <c r="T305" s="145"/>
      <c r="U305" s="145"/>
      <c r="V305" s="145"/>
      <c r="W305" s="145"/>
      <c r="X305" s="53"/>
      <c r="Y305" s="74"/>
      <c r="Z305" s="145"/>
      <c r="AA305" s="145"/>
      <c r="AB305" s="145"/>
      <c r="AC305" s="146"/>
      <c r="AD305" s="145"/>
      <c r="AE305" s="145"/>
      <c r="AF305" s="145"/>
      <c r="AG305" s="145"/>
      <c r="AH305" s="146"/>
      <c r="AI305" s="145"/>
      <c r="AJ305" s="145"/>
      <c r="AK305" s="145"/>
      <c r="AL305" s="145"/>
      <c r="AM305" s="145"/>
      <c r="AN305" s="145"/>
      <c r="AO305" s="145"/>
      <c r="AP305" s="74"/>
      <c r="AQ305" s="74"/>
      <c r="AR305" s="74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ht="15.75" customHeight="1" x14ac:dyDescent="0.45">
      <c r="A306" s="22"/>
      <c r="B306" s="12"/>
      <c r="C306" s="12"/>
      <c r="D306" s="155"/>
      <c r="E306" s="22"/>
      <c r="F306" s="22"/>
      <c r="G306" s="12"/>
      <c r="H306" s="22"/>
      <c r="I306" s="22"/>
      <c r="J306" s="22"/>
      <c r="K306" s="22"/>
      <c r="L306" s="22"/>
      <c r="M306" s="22"/>
      <c r="N306" s="22"/>
      <c r="O306" s="145"/>
      <c r="P306" s="145"/>
      <c r="Q306" s="145"/>
      <c r="R306" s="145"/>
      <c r="S306" s="22"/>
      <c r="T306" s="145"/>
      <c r="U306" s="145"/>
      <c r="V306" s="145"/>
      <c r="W306" s="145"/>
      <c r="X306" s="53"/>
      <c r="Y306" s="74"/>
      <c r="Z306" s="145"/>
      <c r="AA306" s="145"/>
      <c r="AB306" s="145"/>
      <c r="AC306" s="146"/>
      <c r="AD306" s="145"/>
      <c r="AE306" s="145"/>
      <c r="AF306" s="145"/>
      <c r="AG306" s="145"/>
      <c r="AH306" s="146"/>
      <c r="AI306" s="145"/>
      <c r="AJ306" s="145"/>
      <c r="AK306" s="145"/>
      <c r="AL306" s="145"/>
      <c r="AM306" s="145"/>
      <c r="AN306" s="145"/>
      <c r="AO306" s="145"/>
      <c r="AP306" s="74"/>
      <c r="AQ306" s="74"/>
      <c r="AR306" s="74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ht="15.75" customHeight="1" x14ac:dyDescent="0.45">
      <c r="A307" s="22"/>
      <c r="B307" s="12"/>
      <c r="C307" s="12"/>
      <c r="D307" s="155"/>
      <c r="E307" s="22"/>
      <c r="F307" s="22"/>
      <c r="G307" s="12"/>
      <c r="H307" s="22"/>
      <c r="I307" s="22"/>
      <c r="J307" s="22"/>
      <c r="K307" s="22"/>
      <c r="L307" s="22"/>
      <c r="M307" s="22"/>
      <c r="N307" s="22"/>
      <c r="O307" s="145"/>
      <c r="P307" s="145"/>
      <c r="Q307" s="145"/>
      <c r="R307" s="145"/>
      <c r="S307" s="22"/>
      <c r="T307" s="145"/>
      <c r="U307" s="145"/>
      <c r="V307" s="145"/>
      <c r="W307" s="145"/>
      <c r="X307" s="53"/>
      <c r="Y307" s="74"/>
      <c r="Z307" s="145"/>
      <c r="AA307" s="145"/>
      <c r="AB307" s="145"/>
      <c r="AC307" s="146"/>
      <c r="AD307" s="145"/>
      <c r="AE307" s="145"/>
      <c r="AF307" s="145"/>
      <c r="AG307" s="145"/>
      <c r="AH307" s="146"/>
      <c r="AI307" s="145"/>
      <c r="AJ307" s="145"/>
      <c r="AK307" s="145"/>
      <c r="AL307" s="145"/>
      <c r="AM307" s="145"/>
      <c r="AN307" s="145"/>
      <c r="AO307" s="145"/>
      <c r="AP307" s="74"/>
      <c r="AQ307" s="74"/>
      <c r="AR307" s="74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  <row r="308" spans="1:85" ht="15.75" customHeight="1" x14ac:dyDescent="0.45">
      <c r="A308" s="22"/>
      <c r="B308" s="12"/>
      <c r="C308" s="12"/>
      <c r="D308" s="155"/>
      <c r="E308" s="22"/>
      <c r="F308" s="22"/>
      <c r="G308" s="12"/>
      <c r="H308" s="22"/>
      <c r="I308" s="22"/>
      <c r="J308" s="22"/>
      <c r="K308" s="22"/>
      <c r="L308" s="22"/>
      <c r="M308" s="22"/>
      <c r="N308" s="22"/>
      <c r="O308" s="145"/>
      <c r="P308" s="145"/>
      <c r="Q308" s="145"/>
      <c r="R308" s="145"/>
      <c r="S308" s="22"/>
      <c r="T308" s="145"/>
      <c r="U308" s="145"/>
      <c r="V308" s="145"/>
      <c r="W308" s="145"/>
      <c r="X308" s="53"/>
      <c r="Y308" s="74"/>
      <c r="Z308" s="145"/>
      <c r="AA308" s="145"/>
      <c r="AB308" s="145"/>
      <c r="AC308" s="146"/>
      <c r="AD308" s="145"/>
      <c r="AE308" s="145"/>
      <c r="AF308" s="145"/>
      <c r="AG308" s="145"/>
      <c r="AH308" s="146"/>
      <c r="AI308" s="145"/>
      <c r="AJ308" s="145"/>
      <c r="AK308" s="145"/>
      <c r="AL308" s="145"/>
      <c r="AM308" s="145"/>
      <c r="AN308" s="145"/>
      <c r="AO308" s="145"/>
      <c r="AP308" s="74"/>
      <c r="AQ308" s="74"/>
      <c r="AR308" s="74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</row>
    <row r="309" spans="1:85" ht="15.75" customHeight="1" x14ac:dyDescent="0.45">
      <c r="A309" s="22"/>
      <c r="B309" s="12"/>
      <c r="C309" s="12"/>
      <c r="D309" s="155"/>
      <c r="E309" s="22"/>
      <c r="F309" s="22"/>
      <c r="G309" s="12"/>
      <c r="H309" s="22"/>
      <c r="I309" s="22"/>
      <c r="J309" s="22"/>
      <c r="K309" s="22"/>
      <c r="L309" s="22"/>
      <c r="M309" s="22"/>
      <c r="N309" s="22"/>
      <c r="O309" s="145"/>
      <c r="P309" s="145"/>
      <c r="Q309" s="145"/>
      <c r="R309" s="145"/>
      <c r="S309" s="22"/>
      <c r="T309" s="145"/>
      <c r="U309" s="145"/>
      <c r="V309" s="145"/>
      <c r="W309" s="145"/>
      <c r="X309" s="53"/>
      <c r="Y309" s="74"/>
      <c r="Z309" s="145"/>
      <c r="AA309" s="145"/>
      <c r="AB309" s="145"/>
      <c r="AC309" s="146"/>
      <c r="AD309" s="145"/>
      <c r="AE309" s="145"/>
      <c r="AF309" s="145"/>
      <c r="AG309" s="145"/>
      <c r="AH309" s="146"/>
      <c r="AI309" s="145"/>
      <c r="AJ309" s="145"/>
      <c r="AK309" s="145"/>
      <c r="AL309" s="145"/>
      <c r="AM309" s="145"/>
      <c r="AN309" s="145"/>
      <c r="AO309" s="145"/>
      <c r="AP309" s="74"/>
      <c r="AQ309" s="74"/>
      <c r="AR309" s="74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</row>
    <row r="310" spans="1:85" ht="15.75" customHeight="1" x14ac:dyDescent="0.45">
      <c r="A310" s="22"/>
      <c r="B310" s="12"/>
      <c r="C310" s="12"/>
      <c r="D310" s="155"/>
      <c r="E310" s="22"/>
      <c r="F310" s="22"/>
      <c r="G310" s="12"/>
      <c r="H310" s="22"/>
      <c r="I310" s="22"/>
      <c r="J310" s="22"/>
      <c r="K310" s="22"/>
      <c r="L310" s="22"/>
      <c r="M310" s="22"/>
      <c r="N310" s="22"/>
      <c r="O310" s="145"/>
      <c r="P310" s="145"/>
      <c r="Q310" s="145"/>
      <c r="R310" s="145"/>
      <c r="S310" s="22"/>
      <c r="T310" s="145"/>
      <c r="U310" s="145"/>
      <c r="V310" s="145"/>
      <c r="W310" s="145"/>
      <c r="X310" s="53"/>
      <c r="Y310" s="74"/>
      <c r="Z310" s="145"/>
      <c r="AA310" s="145"/>
      <c r="AB310" s="145"/>
      <c r="AC310" s="146"/>
      <c r="AD310" s="145"/>
      <c r="AE310" s="145"/>
      <c r="AF310" s="145"/>
      <c r="AG310" s="145"/>
      <c r="AH310" s="146"/>
      <c r="AI310" s="145"/>
      <c r="AJ310" s="145"/>
      <c r="AK310" s="145"/>
      <c r="AL310" s="145"/>
      <c r="AM310" s="145"/>
      <c r="AN310" s="145"/>
      <c r="AO310" s="145"/>
      <c r="AP310" s="74"/>
      <c r="AQ310" s="74"/>
      <c r="AR310" s="74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</row>
    <row r="311" spans="1:85" ht="15.75" customHeight="1" x14ac:dyDescent="0.45">
      <c r="A311" s="22"/>
      <c r="B311" s="12"/>
      <c r="C311" s="12"/>
      <c r="D311" s="155"/>
      <c r="E311" s="22"/>
      <c r="F311" s="22"/>
      <c r="G311" s="12"/>
      <c r="H311" s="22"/>
      <c r="I311" s="22"/>
      <c r="J311" s="22"/>
      <c r="K311" s="22"/>
      <c r="L311" s="22"/>
      <c r="M311" s="22"/>
      <c r="N311" s="22"/>
      <c r="O311" s="145"/>
      <c r="P311" s="145"/>
      <c r="Q311" s="145"/>
      <c r="R311" s="145"/>
      <c r="S311" s="22"/>
      <c r="T311" s="145"/>
      <c r="U311" s="145"/>
      <c r="V311" s="145"/>
      <c r="W311" s="145"/>
      <c r="X311" s="53"/>
      <c r="Y311" s="74"/>
      <c r="Z311" s="145"/>
      <c r="AA311" s="145"/>
      <c r="AB311" s="145"/>
      <c r="AC311" s="146"/>
      <c r="AD311" s="145"/>
      <c r="AE311" s="145"/>
      <c r="AF311" s="145"/>
      <c r="AG311" s="145"/>
      <c r="AH311" s="146"/>
      <c r="AI311" s="145"/>
      <c r="AJ311" s="145"/>
      <c r="AK311" s="145"/>
      <c r="AL311" s="145"/>
      <c r="AM311" s="145"/>
      <c r="AN311" s="145"/>
      <c r="AO311" s="145"/>
      <c r="AP311" s="74"/>
      <c r="AQ311" s="74"/>
      <c r="AR311" s="74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</row>
    <row r="312" spans="1:85" ht="15.75" customHeight="1" x14ac:dyDescent="0.45">
      <c r="A312" s="22"/>
      <c r="B312" s="12"/>
      <c r="C312" s="12"/>
      <c r="D312" s="155"/>
      <c r="E312" s="22"/>
      <c r="F312" s="22"/>
      <c r="G312" s="12"/>
      <c r="H312" s="22"/>
      <c r="I312" s="22"/>
      <c r="J312" s="22"/>
      <c r="K312" s="22"/>
      <c r="L312" s="22"/>
      <c r="M312" s="22"/>
      <c r="N312" s="22"/>
      <c r="O312" s="145"/>
      <c r="P312" s="145"/>
      <c r="Q312" s="145"/>
      <c r="R312" s="145"/>
      <c r="S312" s="22"/>
      <c r="T312" s="145"/>
      <c r="U312" s="145"/>
      <c r="V312" s="145"/>
      <c r="W312" s="145"/>
      <c r="X312" s="53"/>
      <c r="Y312" s="74"/>
      <c r="Z312" s="145"/>
      <c r="AA312" s="145"/>
      <c r="AB312" s="145"/>
      <c r="AC312" s="146"/>
      <c r="AD312" s="145"/>
      <c r="AE312" s="145"/>
      <c r="AF312" s="145"/>
      <c r="AG312" s="145"/>
      <c r="AH312" s="146"/>
      <c r="AI312" s="145"/>
      <c r="AJ312" s="145"/>
      <c r="AK312" s="145"/>
      <c r="AL312" s="145"/>
      <c r="AM312" s="145"/>
      <c r="AN312" s="145"/>
      <c r="AO312" s="145"/>
      <c r="AP312" s="74"/>
      <c r="AQ312" s="74"/>
      <c r="AR312" s="74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</row>
    <row r="313" spans="1:85" ht="15.75" customHeight="1" x14ac:dyDescent="0.45">
      <c r="A313" s="22"/>
      <c r="B313" s="12"/>
      <c r="C313" s="12"/>
      <c r="D313" s="155"/>
      <c r="E313" s="22"/>
      <c r="F313" s="22"/>
      <c r="G313" s="12"/>
      <c r="H313" s="22"/>
      <c r="I313" s="22"/>
      <c r="J313" s="22"/>
      <c r="K313" s="22"/>
      <c r="L313" s="22"/>
      <c r="M313" s="22"/>
      <c r="N313" s="22"/>
      <c r="O313" s="145"/>
      <c r="P313" s="145"/>
      <c r="Q313" s="145"/>
      <c r="R313" s="145"/>
      <c r="S313" s="22"/>
      <c r="T313" s="145"/>
      <c r="U313" s="145"/>
      <c r="V313" s="145"/>
      <c r="W313" s="145"/>
      <c r="X313" s="53"/>
      <c r="Y313" s="74"/>
      <c r="Z313" s="145"/>
      <c r="AA313" s="145"/>
      <c r="AB313" s="145"/>
      <c r="AC313" s="146"/>
      <c r="AD313" s="145"/>
      <c r="AE313" s="145"/>
      <c r="AF313" s="145"/>
      <c r="AG313" s="145"/>
      <c r="AH313" s="146"/>
      <c r="AI313" s="145"/>
      <c r="AJ313" s="145"/>
      <c r="AK313" s="145"/>
      <c r="AL313" s="145"/>
      <c r="AM313" s="145"/>
      <c r="AN313" s="145"/>
      <c r="AO313" s="145"/>
      <c r="AP313" s="74"/>
      <c r="AQ313" s="74"/>
      <c r="AR313" s="74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</row>
    <row r="314" spans="1:85" ht="15.75" customHeight="1" x14ac:dyDescent="0.45">
      <c r="A314" s="22"/>
      <c r="B314" s="12"/>
      <c r="C314" s="12"/>
      <c r="D314" s="155"/>
      <c r="E314" s="22"/>
      <c r="F314" s="22"/>
      <c r="G314" s="12"/>
      <c r="H314" s="22"/>
      <c r="I314" s="22"/>
      <c r="J314" s="22"/>
      <c r="K314" s="22"/>
      <c r="L314" s="22"/>
      <c r="M314" s="22"/>
      <c r="N314" s="22"/>
      <c r="O314" s="145"/>
      <c r="P314" s="145"/>
      <c r="Q314" s="145"/>
      <c r="R314" s="145"/>
      <c r="S314" s="22"/>
      <c r="T314" s="145"/>
      <c r="U314" s="145"/>
      <c r="V314" s="145"/>
      <c r="W314" s="145"/>
      <c r="X314" s="53"/>
      <c r="Y314" s="74"/>
      <c r="Z314" s="145"/>
      <c r="AA314" s="145"/>
      <c r="AB314" s="145"/>
      <c r="AC314" s="146"/>
      <c r="AD314" s="145"/>
      <c r="AE314" s="145"/>
      <c r="AF314" s="145"/>
      <c r="AG314" s="145"/>
      <c r="AH314" s="146"/>
      <c r="AI314" s="145"/>
      <c r="AJ314" s="145"/>
      <c r="AK314" s="145"/>
      <c r="AL314" s="145"/>
      <c r="AM314" s="145"/>
      <c r="AN314" s="145"/>
      <c r="AO314" s="145"/>
      <c r="AP314" s="74"/>
      <c r="AQ314" s="74"/>
      <c r="AR314" s="74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</row>
    <row r="315" spans="1:85" ht="15.75" customHeight="1" x14ac:dyDescent="0.45">
      <c r="A315" s="22"/>
      <c r="B315" s="12"/>
      <c r="C315" s="12"/>
      <c r="D315" s="155"/>
      <c r="E315" s="22"/>
      <c r="F315" s="22"/>
      <c r="G315" s="12"/>
      <c r="H315" s="22"/>
      <c r="I315" s="22"/>
      <c r="J315" s="22"/>
      <c r="K315" s="22"/>
      <c r="L315" s="22"/>
      <c r="M315" s="22"/>
      <c r="N315" s="22"/>
      <c r="O315" s="145"/>
      <c r="P315" s="145"/>
      <c r="Q315" s="145"/>
      <c r="R315" s="145"/>
      <c r="S315" s="22"/>
      <c r="T315" s="145"/>
      <c r="U315" s="145"/>
      <c r="V315" s="145"/>
      <c r="W315" s="145"/>
      <c r="X315" s="53"/>
      <c r="Y315" s="74"/>
      <c r="Z315" s="145"/>
      <c r="AA315" s="145"/>
      <c r="AB315" s="145"/>
      <c r="AC315" s="146"/>
      <c r="AD315" s="145"/>
      <c r="AE315" s="145"/>
      <c r="AF315" s="145"/>
      <c r="AG315" s="145"/>
      <c r="AH315" s="146"/>
      <c r="AI315" s="145"/>
      <c r="AJ315" s="145"/>
      <c r="AK315" s="145"/>
      <c r="AL315" s="145"/>
      <c r="AM315" s="145"/>
      <c r="AN315" s="145"/>
      <c r="AO315" s="145"/>
      <c r="AP315" s="74"/>
      <c r="AQ315" s="74"/>
      <c r="AR315" s="74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</row>
    <row r="316" spans="1:85" ht="15.75" customHeight="1" x14ac:dyDescent="0.45">
      <c r="A316" s="22"/>
      <c r="B316" s="12"/>
      <c r="C316" s="12"/>
      <c r="D316" s="155"/>
      <c r="E316" s="22"/>
      <c r="F316" s="22"/>
      <c r="G316" s="12"/>
      <c r="H316" s="22"/>
      <c r="I316" s="22"/>
      <c r="J316" s="22"/>
      <c r="K316" s="22"/>
      <c r="L316" s="22"/>
      <c r="M316" s="22"/>
      <c r="N316" s="22"/>
      <c r="O316" s="145"/>
      <c r="P316" s="145"/>
      <c r="Q316" s="145"/>
      <c r="R316" s="145"/>
      <c r="S316" s="22"/>
      <c r="T316" s="145"/>
      <c r="U316" s="145"/>
      <c r="V316" s="145"/>
      <c r="W316" s="145"/>
      <c r="X316" s="53"/>
      <c r="Y316" s="74"/>
      <c r="Z316" s="145"/>
      <c r="AA316" s="145"/>
      <c r="AB316" s="145"/>
      <c r="AC316" s="146"/>
      <c r="AD316" s="145"/>
      <c r="AE316" s="145"/>
      <c r="AF316" s="145"/>
      <c r="AG316" s="145"/>
      <c r="AH316" s="146"/>
      <c r="AI316" s="145"/>
      <c r="AJ316" s="145"/>
      <c r="AK316" s="145"/>
      <c r="AL316" s="145"/>
      <c r="AM316" s="145"/>
      <c r="AN316" s="145"/>
      <c r="AO316" s="145"/>
      <c r="AP316" s="74"/>
      <c r="AQ316" s="74"/>
      <c r="AR316" s="74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</row>
    <row r="317" spans="1:85" ht="15.75" customHeight="1" x14ac:dyDescent="0.45">
      <c r="A317" s="22"/>
      <c r="B317" s="12"/>
      <c r="C317" s="12"/>
      <c r="D317" s="155"/>
      <c r="E317" s="22"/>
      <c r="F317" s="22"/>
      <c r="G317" s="12"/>
      <c r="H317" s="22"/>
      <c r="I317" s="22"/>
      <c r="J317" s="22"/>
      <c r="K317" s="22"/>
      <c r="L317" s="22"/>
      <c r="M317" s="22"/>
      <c r="N317" s="22"/>
      <c r="O317" s="145"/>
      <c r="P317" s="145"/>
      <c r="Q317" s="145"/>
      <c r="R317" s="145"/>
      <c r="S317" s="22"/>
      <c r="T317" s="145"/>
      <c r="U317" s="145"/>
      <c r="V317" s="145"/>
      <c r="W317" s="145"/>
      <c r="X317" s="53"/>
      <c r="Y317" s="74"/>
      <c r="Z317" s="145"/>
      <c r="AA317" s="145"/>
      <c r="AB317" s="145"/>
      <c r="AC317" s="146"/>
      <c r="AD317" s="145"/>
      <c r="AE317" s="145"/>
      <c r="AF317" s="145"/>
      <c r="AG317" s="145"/>
      <c r="AH317" s="146"/>
      <c r="AI317" s="145"/>
      <c r="AJ317" s="145"/>
      <c r="AK317" s="145"/>
      <c r="AL317" s="145"/>
      <c r="AM317" s="145"/>
      <c r="AN317" s="145"/>
      <c r="AO317" s="145"/>
      <c r="AP317" s="74"/>
      <c r="AQ317" s="74"/>
      <c r="AR317" s="74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</row>
    <row r="318" spans="1:85" ht="15.75" customHeight="1" x14ac:dyDescent="0.45">
      <c r="A318" s="22"/>
      <c r="B318" s="12"/>
      <c r="C318" s="12"/>
      <c r="D318" s="155"/>
      <c r="E318" s="22"/>
      <c r="F318" s="22"/>
      <c r="G318" s="12"/>
      <c r="H318" s="22"/>
      <c r="I318" s="22"/>
      <c r="J318" s="22"/>
      <c r="K318" s="22"/>
      <c r="L318" s="22"/>
      <c r="M318" s="22"/>
      <c r="N318" s="22"/>
      <c r="O318" s="145"/>
      <c r="P318" s="145"/>
      <c r="Q318" s="145"/>
      <c r="R318" s="145"/>
      <c r="S318" s="22"/>
      <c r="T318" s="145"/>
      <c r="U318" s="145"/>
      <c r="V318" s="145"/>
      <c r="W318" s="145"/>
      <c r="X318" s="53"/>
      <c r="Y318" s="74"/>
      <c r="Z318" s="145"/>
      <c r="AA318" s="145"/>
      <c r="AB318" s="145"/>
      <c r="AC318" s="146"/>
      <c r="AD318" s="145"/>
      <c r="AE318" s="145"/>
      <c r="AF318" s="145"/>
      <c r="AG318" s="145"/>
      <c r="AH318" s="146"/>
      <c r="AI318" s="145"/>
      <c r="AJ318" s="145"/>
      <c r="AK318" s="145"/>
      <c r="AL318" s="145"/>
      <c r="AM318" s="145"/>
      <c r="AN318" s="145"/>
      <c r="AO318" s="145"/>
      <c r="AP318" s="74"/>
      <c r="AQ318" s="74"/>
      <c r="AR318" s="74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</row>
    <row r="319" spans="1:85" ht="15.75" customHeight="1" x14ac:dyDescent="0.45">
      <c r="A319" s="22"/>
      <c r="B319" s="12"/>
      <c r="C319" s="12"/>
      <c r="D319" s="155"/>
      <c r="E319" s="22"/>
      <c r="F319" s="22"/>
      <c r="G319" s="12"/>
      <c r="H319" s="22"/>
      <c r="I319" s="22"/>
      <c r="J319" s="22"/>
      <c r="K319" s="22"/>
      <c r="L319" s="22"/>
      <c r="M319" s="22"/>
      <c r="N319" s="22"/>
      <c r="O319" s="145"/>
      <c r="P319" s="145"/>
      <c r="Q319" s="145"/>
      <c r="R319" s="145"/>
      <c r="S319" s="22"/>
      <c r="T319" s="145"/>
      <c r="U319" s="145"/>
      <c r="V319" s="145"/>
      <c r="W319" s="145"/>
      <c r="X319" s="53"/>
      <c r="Y319" s="74"/>
      <c r="Z319" s="145"/>
      <c r="AA319" s="145"/>
      <c r="AB319" s="145"/>
      <c r="AC319" s="146"/>
      <c r="AD319" s="145"/>
      <c r="AE319" s="145"/>
      <c r="AF319" s="145"/>
      <c r="AG319" s="145"/>
      <c r="AH319" s="146"/>
      <c r="AI319" s="145"/>
      <c r="AJ319" s="145"/>
      <c r="AK319" s="145"/>
      <c r="AL319" s="145"/>
      <c r="AM319" s="145"/>
      <c r="AN319" s="145"/>
      <c r="AO319" s="145"/>
      <c r="AP319" s="74"/>
      <c r="AQ319" s="74"/>
      <c r="AR319" s="74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</row>
    <row r="320" spans="1:85" ht="15.75" customHeight="1" x14ac:dyDescent="0.45">
      <c r="A320" s="22"/>
      <c r="B320" s="12"/>
      <c r="C320" s="12"/>
      <c r="D320" s="155"/>
      <c r="E320" s="22"/>
      <c r="F320" s="22"/>
      <c r="G320" s="12"/>
      <c r="H320" s="22"/>
      <c r="I320" s="22"/>
      <c r="J320" s="22"/>
      <c r="K320" s="22"/>
      <c r="L320" s="22"/>
      <c r="M320" s="22"/>
      <c r="N320" s="22"/>
      <c r="O320" s="145"/>
      <c r="P320" s="145"/>
      <c r="Q320" s="145"/>
      <c r="R320" s="145"/>
      <c r="S320" s="22"/>
      <c r="T320" s="145"/>
      <c r="U320" s="145"/>
      <c r="V320" s="145"/>
      <c r="W320" s="145"/>
      <c r="X320" s="53"/>
      <c r="Y320" s="74"/>
      <c r="Z320" s="145"/>
      <c r="AA320" s="145"/>
      <c r="AB320" s="145"/>
      <c r="AC320" s="146"/>
      <c r="AD320" s="145"/>
      <c r="AE320" s="145"/>
      <c r="AF320" s="145"/>
      <c r="AG320" s="145"/>
      <c r="AH320" s="146"/>
      <c r="AI320" s="145"/>
      <c r="AJ320" s="145"/>
      <c r="AK320" s="145"/>
      <c r="AL320" s="145"/>
      <c r="AM320" s="145"/>
      <c r="AN320" s="145"/>
      <c r="AO320" s="145"/>
      <c r="AP320" s="74"/>
      <c r="AQ320" s="74"/>
      <c r="AR320" s="74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</row>
    <row r="321" spans="1:85" ht="15.75" customHeight="1" x14ac:dyDescent="0.45">
      <c r="A321" s="22"/>
      <c r="B321" s="12"/>
      <c r="C321" s="12"/>
      <c r="D321" s="155"/>
      <c r="E321" s="22"/>
      <c r="F321" s="22"/>
      <c r="G321" s="12"/>
      <c r="H321" s="22"/>
      <c r="I321" s="22"/>
      <c r="J321" s="22"/>
      <c r="K321" s="22"/>
      <c r="L321" s="22"/>
      <c r="M321" s="22"/>
      <c r="N321" s="22"/>
      <c r="O321" s="145"/>
      <c r="P321" s="145"/>
      <c r="Q321" s="145"/>
      <c r="R321" s="145"/>
      <c r="S321" s="22"/>
      <c r="T321" s="145"/>
      <c r="U321" s="145"/>
      <c r="V321" s="145"/>
      <c r="W321" s="145"/>
      <c r="X321" s="53"/>
      <c r="Y321" s="74"/>
      <c r="Z321" s="145"/>
      <c r="AA321" s="145"/>
      <c r="AB321" s="145"/>
      <c r="AC321" s="146"/>
      <c r="AD321" s="145"/>
      <c r="AE321" s="145"/>
      <c r="AF321" s="145"/>
      <c r="AG321" s="145"/>
      <c r="AH321" s="146"/>
      <c r="AI321" s="145"/>
      <c r="AJ321" s="145"/>
      <c r="AK321" s="145"/>
      <c r="AL321" s="145"/>
      <c r="AM321" s="145"/>
      <c r="AN321" s="145"/>
      <c r="AO321" s="145"/>
      <c r="AP321" s="74"/>
      <c r="AQ321" s="74"/>
      <c r="AR321" s="74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</row>
    <row r="322" spans="1:85" ht="15.75" customHeight="1" x14ac:dyDescent="0.45">
      <c r="A322" s="22"/>
      <c r="B322" s="12"/>
      <c r="C322" s="12"/>
      <c r="D322" s="155"/>
      <c r="E322" s="22"/>
      <c r="F322" s="22"/>
      <c r="G322" s="12"/>
      <c r="H322" s="22"/>
      <c r="I322" s="22"/>
      <c r="J322" s="22"/>
      <c r="K322" s="22"/>
      <c r="L322" s="22"/>
      <c r="M322" s="22"/>
      <c r="N322" s="22"/>
      <c r="O322" s="145"/>
      <c r="P322" s="145"/>
      <c r="Q322" s="145"/>
      <c r="R322" s="145"/>
      <c r="S322" s="22"/>
      <c r="T322" s="145"/>
      <c r="U322" s="145"/>
      <c r="V322" s="145"/>
      <c r="W322" s="145"/>
      <c r="X322" s="53"/>
      <c r="Y322" s="74"/>
      <c r="Z322" s="145"/>
      <c r="AA322" s="145"/>
      <c r="AB322" s="145"/>
      <c r="AC322" s="146"/>
      <c r="AD322" s="145"/>
      <c r="AE322" s="145"/>
      <c r="AF322" s="145"/>
      <c r="AG322" s="145"/>
      <c r="AH322" s="146"/>
      <c r="AI322" s="145"/>
      <c r="AJ322" s="145"/>
      <c r="AK322" s="145"/>
      <c r="AL322" s="145"/>
      <c r="AM322" s="145"/>
      <c r="AN322" s="145"/>
      <c r="AO322" s="145"/>
      <c r="AP322" s="74"/>
      <c r="AQ322" s="74"/>
      <c r="AR322" s="74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</row>
    <row r="323" spans="1:85" ht="15.75" customHeight="1" x14ac:dyDescent="0.45">
      <c r="A323" s="22"/>
      <c r="B323" s="12"/>
      <c r="C323" s="12"/>
      <c r="D323" s="155"/>
      <c r="E323" s="22"/>
      <c r="F323" s="22"/>
      <c r="G323" s="12"/>
      <c r="H323" s="22"/>
      <c r="I323" s="22"/>
      <c r="J323" s="22"/>
      <c r="K323" s="22"/>
      <c r="L323" s="22"/>
      <c r="M323" s="22"/>
      <c r="N323" s="22"/>
      <c r="O323" s="145"/>
      <c r="P323" s="145"/>
      <c r="Q323" s="145"/>
      <c r="R323" s="145"/>
      <c r="S323" s="22"/>
      <c r="T323" s="145"/>
      <c r="U323" s="145"/>
      <c r="V323" s="145"/>
      <c r="W323" s="145"/>
      <c r="X323" s="53"/>
      <c r="Y323" s="74"/>
      <c r="Z323" s="145"/>
      <c r="AA323" s="145"/>
      <c r="AB323" s="145"/>
      <c r="AC323" s="146"/>
      <c r="AD323" s="145"/>
      <c r="AE323" s="145"/>
      <c r="AF323" s="145"/>
      <c r="AG323" s="145"/>
      <c r="AH323" s="146"/>
      <c r="AI323" s="145"/>
      <c r="AJ323" s="145"/>
      <c r="AK323" s="145"/>
      <c r="AL323" s="145"/>
      <c r="AM323" s="145"/>
      <c r="AN323" s="145"/>
      <c r="AO323" s="145"/>
      <c r="AP323" s="74"/>
      <c r="AQ323" s="74"/>
      <c r="AR323" s="74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</row>
    <row r="324" spans="1:85" ht="15.75" customHeight="1" x14ac:dyDescent="0.45">
      <c r="A324" s="22"/>
      <c r="B324" s="12"/>
      <c r="C324" s="12"/>
      <c r="D324" s="155"/>
      <c r="E324" s="22"/>
      <c r="F324" s="22"/>
      <c r="G324" s="12"/>
      <c r="H324" s="22"/>
      <c r="I324" s="22"/>
      <c r="J324" s="22"/>
      <c r="K324" s="22"/>
      <c r="L324" s="22"/>
      <c r="M324" s="22"/>
      <c r="N324" s="22"/>
      <c r="O324" s="145"/>
      <c r="P324" s="145"/>
      <c r="Q324" s="145"/>
      <c r="R324" s="145"/>
      <c r="S324" s="22"/>
      <c r="T324" s="145"/>
      <c r="U324" s="145"/>
      <c r="V324" s="145"/>
      <c r="W324" s="145"/>
      <c r="X324" s="53"/>
      <c r="Y324" s="74"/>
      <c r="Z324" s="145"/>
      <c r="AA324" s="145"/>
      <c r="AB324" s="145"/>
      <c r="AC324" s="146"/>
      <c r="AD324" s="145"/>
      <c r="AE324" s="145"/>
      <c r="AF324" s="145"/>
      <c r="AG324" s="145"/>
      <c r="AH324" s="146"/>
      <c r="AI324" s="145"/>
      <c r="AJ324" s="145"/>
      <c r="AK324" s="145"/>
      <c r="AL324" s="145"/>
      <c r="AM324" s="145"/>
      <c r="AN324" s="145"/>
      <c r="AO324" s="145"/>
      <c r="AP324" s="74"/>
      <c r="AQ324" s="74"/>
      <c r="AR324" s="74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</row>
    <row r="325" spans="1:85" ht="15.75" customHeight="1" x14ac:dyDescent="0.45">
      <c r="A325" s="22"/>
      <c r="B325" s="12"/>
      <c r="C325" s="12"/>
      <c r="D325" s="155"/>
      <c r="E325" s="22"/>
      <c r="F325" s="22"/>
      <c r="G325" s="12"/>
      <c r="H325" s="22"/>
      <c r="I325" s="22"/>
      <c r="J325" s="22"/>
      <c r="K325" s="22"/>
      <c r="L325" s="22"/>
      <c r="M325" s="22"/>
      <c r="N325" s="22"/>
      <c r="O325" s="145"/>
      <c r="P325" s="145"/>
      <c r="Q325" s="145"/>
      <c r="R325" s="145"/>
      <c r="S325" s="22"/>
      <c r="T325" s="145"/>
      <c r="U325" s="145"/>
      <c r="V325" s="145"/>
      <c r="W325" s="145"/>
      <c r="X325" s="53"/>
      <c r="Y325" s="74"/>
      <c r="Z325" s="145"/>
      <c r="AA325" s="145"/>
      <c r="AB325" s="145"/>
      <c r="AC325" s="146"/>
      <c r="AD325" s="145"/>
      <c r="AE325" s="145"/>
      <c r="AF325" s="145"/>
      <c r="AG325" s="145"/>
      <c r="AH325" s="146"/>
      <c r="AI325" s="145"/>
      <c r="AJ325" s="145"/>
      <c r="AK325" s="145"/>
      <c r="AL325" s="145"/>
      <c r="AM325" s="145"/>
      <c r="AN325" s="145"/>
      <c r="AO325" s="145"/>
      <c r="AP325" s="74"/>
      <c r="AQ325" s="74"/>
      <c r="AR325" s="74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</row>
    <row r="326" spans="1:85" ht="15.75" customHeight="1" x14ac:dyDescent="0.45">
      <c r="A326" s="22"/>
      <c r="B326" s="12"/>
      <c r="C326" s="12"/>
      <c r="D326" s="155"/>
      <c r="E326" s="22"/>
      <c r="F326" s="22"/>
      <c r="G326" s="12"/>
      <c r="H326" s="22"/>
      <c r="I326" s="22"/>
      <c r="J326" s="22"/>
      <c r="K326" s="22"/>
      <c r="L326" s="22"/>
      <c r="M326" s="22"/>
      <c r="N326" s="22"/>
      <c r="O326" s="145"/>
      <c r="P326" s="145"/>
      <c r="Q326" s="145"/>
      <c r="R326" s="145"/>
      <c r="S326" s="22"/>
      <c r="T326" s="145"/>
      <c r="U326" s="145"/>
      <c r="V326" s="145"/>
      <c r="W326" s="145"/>
      <c r="X326" s="53"/>
      <c r="Y326" s="74"/>
      <c r="Z326" s="145"/>
      <c r="AA326" s="145"/>
      <c r="AB326" s="145"/>
      <c r="AC326" s="146"/>
      <c r="AD326" s="145"/>
      <c r="AE326" s="145"/>
      <c r="AF326" s="145"/>
      <c r="AG326" s="145"/>
      <c r="AH326" s="146"/>
      <c r="AI326" s="145"/>
      <c r="AJ326" s="145"/>
      <c r="AK326" s="145"/>
      <c r="AL326" s="145"/>
      <c r="AM326" s="145"/>
      <c r="AN326" s="145"/>
      <c r="AO326" s="145"/>
      <c r="AP326" s="74"/>
      <c r="AQ326" s="74"/>
      <c r="AR326" s="74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</row>
    <row r="327" spans="1:85" ht="15.75" customHeight="1" x14ac:dyDescent="0.45">
      <c r="A327" s="22"/>
      <c r="B327" s="12"/>
      <c r="C327" s="12"/>
      <c r="D327" s="155"/>
      <c r="E327" s="22"/>
      <c r="F327" s="22"/>
      <c r="G327" s="12"/>
      <c r="H327" s="22"/>
      <c r="I327" s="22"/>
      <c r="J327" s="22"/>
      <c r="K327" s="22"/>
      <c r="L327" s="22"/>
      <c r="M327" s="22"/>
      <c r="N327" s="22"/>
      <c r="O327" s="145"/>
      <c r="P327" s="145"/>
      <c r="Q327" s="145"/>
      <c r="R327" s="145"/>
      <c r="S327" s="22"/>
      <c r="T327" s="145"/>
      <c r="U327" s="145"/>
      <c r="V327" s="145"/>
      <c r="W327" s="145"/>
      <c r="X327" s="53"/>
      <c r="Y327" s="74"/>
      <c r="Z327" s="145"/>
      <c r="AA327" s="145"/>
      <c r="AB327" s="145"/>
      <c r="AC327" s="146"/>
      <c r="AD327" s="145"/>
      <c r="AE327" s="145"/>
      <c r="AF327" s="145"/>
      <c r="AG327" s="145"/>
      <c r="AH327" s="146"/>
      <c r="AI327" s="145"/>
      <c r="AJ327" s="145"/>
      <c r="AK327" s="145"/>
      <c r="AL327" s="145"/>
      <c r="AM327" s="145"/>
      <c r="AN327" s="145"/>
      <c r="AO327" s="145"/>
      <c r="AP327" s="74"/>
      <c r="AQ327" s="74"/>
      <c r="AR327" s="74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</row>
    <row r="328" spans="1:85" ht="15.75" customHeight="1" x14ac:dyDescent="0.45">
      <c r="A328" s="22"/>
      <c r="B328" s="12"/>
      <c r="C328" s="12"/>
      <c r="D328" s="155"/>
      <c r="E328" s="22"/>
      <c r="F328" s="22"/>
      <c r="G328" s="12"/>
      <c r="H328" s="22"/>
      <c r="I328" s="22"/>
      <c r="J328" s="22"/>
      <c r="K328" s="22"/>
      <c r="L328" s="22"/>
      <c r="M328" s="22"/>
      <c r="N328" s="22"/>
      <c r="O328" s="145"/>
      <c r="P328" s="145"/>
      <c r="Q328" s="145"/>
      <c r="R328" s="145"/>
      <c r="S328" s="22"/>
      <c r="T328" s="145"/>
      <c r="U328" s="145"/>
      <c r="V328" s="145"/>
      <c r="W328" s="145"/>
      <c r="X328" s="53"/>
      <c r="Y328" s="74"/>
      <c r="Z328" s="145"/>
      <c r="AA328" s="145"/>
      <c r="AB328" s="145"/>
      <c r="AC328" s="146"/>
      <c r="AD328" s="145"/>
      <c r="AE328" s="145"/>
      <c r="AF328" s="145"/>
      <c r="AG328" s="145"/>
      <c r="AH328" s="146"/>
      <c r="AI328" s="145"/>
      <c r="AJ328" s="145"/>
      <c r="AK328" s="145"/>
      <c r="AL328" s="145"/>
      <c r="AM328" s="145"/>
      <c r="AN328" s="145"/>
      <c r="AO328" s="145"/>
      <c r="AP328" s="74"/>
      <c r="AQ328" s="74"/>
      <c r="AR328" s="74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</row>
    <row r="329" spans="1:85" ht="15.75" customHeight="1" x14ac:dyDescent="0.45">
      <c r="A329" s="22"/>
      <c r="B329" s="12"/>
      <c r="C329" s="12"/>
      <c r="D329" s="155"/>
      <c r="E329" s="22"/>
      <c r="F329" s="22"/>
      <c r="G329" s="12"/>
      <c r="H329" s="22"/>
      <c r="I329" s="22"/>
      <c r="J329" s="22"/>
      <c r="K329" s="22"/>
      <c r="L329" s="22"/>
      <c r="M329" s="22"/>
      <c r="N329" s="22"/>
      <c r="O329" s="145"/>
      <c r="P329" s="145"/>
      <c r="Q329" s="145"/>
      <c r="R329" s="145"/>
      <c r="S329" s="22"/>
      <c r="T329" s="145"/>
      <c r="U329" s="145"/>
      <c r="V329" s="145"/>
      <c r="W329" s="145"/>
      <c r="X329" s="53"/>
      <c r="Y329" s="74"/>
      <c r="Z329" s="145"/>
      <c r="AA329" s="145"/>
      <c r="AB329" s="145"/>
      <c r="AC329" s="146"/>
      <c r="AD329" s="145"/>
      <c r="AE329" s="145"/>
      <c r="AF329" s="145"/>
      <c r="AG329" s="145"/>
      <c r="AH329" s="146"/>
      <c r="AI329" s="145"/>
      <c r="AJ329" s="145"/>
      <c r="AK329" s="145"/>
      <c r="AL329" s="145"/>
      <c r="AM329" s="145"/>
      <c r="AN329" s="145"/>
      <c r="AO329" s="145"/>
      <c r="AP329" s="74"/>
      <c r="AQ329" s="74"/>
      <c r="AR329" s="74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</row>
    <row r="330" spans="1:85" ht="15.75" customHeight="1" x14ac:dyDescent="0.45">
      <c r="A330" s="22"/>
      <c r="B330" s="12"/>
      <c r="C330" s="12"/>
      <c r="D330" s="155"/>
      <c r="E330" s="22"/>
      <c r="F330" s="22"/>
      <c r="G330" s="12"/>
      <c r="H330" s="22"/>
      <c r="I330" s="22"/>
      <c r="J330" s="22"/>
      <c r="K330" s="22"/>
      <c r="L330" s="22"/>
      <c r="M330" s="22"/>
      <c r="N330" s="22"/>
      <c r="O330" s="145"/>
      <c r="P330" s="145"/>
      <c r="Q330" s="145"/>
      <c r="R330" s="145"/>
      <c r="S330" s="22"/>
      <c r="T330" s="145"/>
      <c r="U330" s="145"/>
      <c r="V330" s="145"/>
      <c r="W330" s="145"/>
      <c r="X330" s="53"/>
      <c r="Y330" s="74"/>
      <c r="Z330" s="145"/>
      <c r="AA330" s="145"/>
      <c r="AB330" s="145"/>
      <c r="AC330" s="146"/>
      <c r="AD330" s="145"/>
      <c r="AE330" s="145"/>
      <c r="AF330" s="145"/>
      <c r="AG330" s="145"/>
      <c r="AH330" s="146"/>
      <c r="AI330" s="145"/>
      <c r="AJ330" s="145"/>
      <c r="AK330" s="145"/>
      <c r="AL330" s="145"/>
      <c r="AM330" s="145"/>
      <c r="AN330" s="145"/>
      <c r="AO330" s="145"/>
      <c r="AP330" s="74"/>
      <c r="AQ330" s="74"/>
      <c r="AR330" s="74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</row>
    <row r="331" spans="1:85" ht="15.75" customHeight="1" x14ac:dyDescent="0.45">
      <c r="A331" s="22"/>
      <c r="B331" s="12"/>
      <c r="C331" s="12"/>
      <c r="D331" s="155"/>
      <c r="E331" s="22"/>
      <c r="F331" s="22"/>
      <c r="G331" s="12"/>
      <c r="H331" s="22"/>
      <c r="I331" s="22"/>
      <c r="J331" s="22"/>
      <c r="K331" s="22"/>
      <c r="L331" s="22"/>
      <c r="M331" s="22"/>
      <c r="N331" s="22"/>
      <c r="O331" s="145"/>
      <c r="P331" s="145"/>
      <c r="Q331" s="145"/>
      <c r="R331" s="145"/>
      <c r="S331" s="22"/>
      <c r="T331" s="145"/>
      <c r="U331" s="145"/>
      <c r="V331" s="145"/>
      <c r="W331" s="145"/>
      <c r="X331" s="53"/>
      <c r="Y331" s="74"/>
      <c r="Z331" s="145"/>
      <c r="AA331" s="145"/>
      <c r="AB331" s="145"/>
      <c r="AC331" s="146"/>
      <c r="AD331" s="145"/>
      <c r="AE331" s="145"/>
      <c r="AF331" s="145"/>
      <c r="AG331" s="145"/>
      <c r="AH331" s="146"/>
      <c r="AI331" s="145"/>
      <c r="AJ331" s="145"/>
      <c r="AK331" s="145"/>
      <c r="AL331" s="145"/>
      <c r="AM331" s="145"/>
      <c r="AN331" s="145"/>
      <c r="AO331" s="145"/>
      <c r="AP331" s="74"/>
      <c r="AQ331" s="74"/>
      <c r="AR331" s="74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</row>
    <row r="332" spans="1:85" ht="15.75" customHeight="1" x14ac:dyDescent="0.45">
      <c r="A332" s="22"/>
      <c r="B332" s="12"/>
      <c r="C332" s="12"/>
      <c r="D332" s="155"/>
      <c r="E332" s="22"/>
      <c r="F332" s="22"/>
      <c r="G332" s="12"/>
      <c r="H332" s="22"/>
      <c r="I332" s="22"/>
      <c r="J332" s="22"/>
      <c r="K332" s="22"/>
      <c r="L332" s="22"/>
      <c r="M332" s="22"/>
      <c r="N332" s="22"/>
      <c r="O332" s="145"/>
      <c r="P332" s="145"/>
      <c r="Q332" s="145"/>
      <c r="R332" s="145"/>
      <c r="S332" s="22"/>
      <c r="T332" s="145"/>
      <c r="U332" s="145"/>
      <c r="V332" s="145"/>
      <c r="W332" s="145"/>
      <c r="X332" s="53"/>
      <c r="Y332" s="74"/>
      <c r="Z332" s="145"/>
      <c r="AA332" s="145"/>
      <c r="AB332" s="145"/>
      <c r="AC332" s="146"/>
      <c r="AD332" s="145"/>
      <c r="AE332" s="145"/>
      <c r="AF332" s="145"/>
      <c r="AG332" s="145"/>
      <c r="AH332" s="146"/>
      <c r="AI332" s="145"/>
      <c r="AJ332" s="145"/>
      <c r="AK332" s="145"/>
      <c r="AL332" s="145"/>
      <c r="AM332" s="145"/>
      <c r="AN332" s="145"/>
      <c r="AO332" s="145"/>
      <c r="AP332" s="74"/>
      <c r="AQ332" s="74"/>
      <c r="AR332" s="74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</row>
    <row r="333" spans="1:85" ht="15.75" customHeight="1" x14ac:dyDescent="0.45">
      <c r="A333" s="22"/>
      <c r="B333" s="12"/>
      <c r="C333" s="12"/>
      <c r="D333" s="155"/>
      <c r="E333" s="22"/>
      <c r="F333" s="22"/>
      <c r="G333" s="12"/>
      <c r="H333" s="22"/>
      <c r="I333" s="22"/>
      <c r="J333" s="22"/>
      <c r="K333" s="22"/>
      <c r="L333" s="22"/>
      <c r="M333" s="22"/>
      <c r="N333" s="22"/>
      <c r="O333" s="145"/>
      <c r="P333" s="145"/>
      <c r="Q333" s="145"/>
      <c r="R333" s="145"/>
      <c r="S333" s="22"/>
      <c r="T333" s="145"/>
      <c r="U333" s="145"/>
      <c r="V333" s="145"/>
      <c r="W333" s="145"/>
      <c r="X333" s="53"/>
      <c r="Y333" s="74"/>
      <c r="Z333" s="145"/>
      <c r="AA333" s="145"/>
      <c r="AB333" s="145"/>
      <c r="AC333" s="146"/>
      <c r="AD333" s="145"/>
      <c r="AE333" s="145"/>
      <c r="AF333" s="145"/>
      <c r="AG333" s="145"/>
      <c r="AH333" s="146"/>
      <c r="AI333" s="145"/>
      <c r="AJ333" s="145"/>
      <c r="AK333" s="145"/>
      <c r="AL333" s="145"/>
      <c r="AM333" s="145"/>
      <c r="AN333" s="145"/>
      <c r="AO333" s="145"/>
      <c r="AP333" s="74"/>
      <c r="AQ333" s="74"/>
      <c r="AR333" s="74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</row>
    <row r="334" spans="1:85" ht="15.75" customHeight="1" x14ac:dyDescent="0.45">
      <c r="A334" s="22"/>
      <c r="B334" s="12"/>
      <c r="C334" s="12"/>
      <c r="D334" s="155"/>
      <c r="E334" s="22"/>
      <c r="F334" s="22"/>
      <c r="G334" s="12"/>
      <c r="H334" s="22"/>
      <c r="I334" s="22"/>
      <c r="J334" s="22"/>
      <c r="K334" s="22"/>
      <c r="L334" s="22"/>
      <c r="M334" s="22"/>
      <c r="N334" s="22"/>
      <c r="O334" s="145"/>
      <c r="P334" s="145"/>
      <c r="Q334" s="145"/>
      <c r="R334" s="145"/>
      <c r="S334" s="22"/>
      <c r="T334" s="145"/>
      <c r="U334" s="145"/>
      <c r="V334" s="145"/>
      <c r="W334" s="145"/>
      <c r="X334" s="53"/>
      <c r="Y334" s="74"/>
      <c r="Z334" s="145"/>
      <c r="AA334" s="145"/>
      <c r="AB334" s="145"/>
      <c r="AC334" s="146"/>
      <c r="AD334" s="145"/>
      <c r="AE334" s="145"/>
      <c r="AF334" s="145"/>
      <c r="AG334" s="145"/>
      <c r="AH334" s="146"/>
      <c r="AI334" s="145"/>
      <c r="AJ334" s="145"/>
      <c r="AK334" s="145"/>
      <c r="AL334" s="145"/>
      <c r="AM334" s="145"/>
      <c r="AN334" s="145"/>
      <c r="AO334" s="145"/>
      <c r="AP334" s="74"/>
      <c r="AQ334" s="74"/>
      <c r="AR334" s="74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</row>
    <row r="335" spans="1:85" ht="15.75" customHeight="1" x14ac:dyDescent="0.45">
      <c r="A335" s="22"/>
      <c r="B335" s="12"/>
      <c r="C335" s="12"/>
      <c r="D335" s="155"/>
      <c r="E335" s="22"/>
      <c r="F335" s="22"/>
      <c r="G335" s="12"/>
      <c r="H335" s="22"/>
      <c r="I335" s="22"/>
      <c r="J335" s="22"/>
      <c r="K335" s="22"/>
      <c r="L335" s="22"/>
      <c r="M335" s="22"/>
      <c r="N335" s="22"/>
      <c r="O335" s="145"/>
      <c r="P335" s="145"/>
      <c r="Q335" s="145"/>
      <c r="R335" s="145"/>
      <c r="S335" s="22"/>
      <c r="T335" s="145"/>
      <c r="U335" s="145"/>
      <c r="V335" s="145"/>
      <c r="W335" s="145"/>
      <c r="X335" s="53"/>
      <c r="Y335" s="74"/>
      <c r="Z335" s="145"/>
      <c r="AA335" s="145"/>
      <c r="AB335" s="145"/>
      <c r="AC335" s="146"/>
      <c r="AD335" s="145"/>
      <c r="AE335" s="145"/>
      <c r="AF335" s="145"/>
      <c r="AG335" s="145"/>
      <c r="AH335" s="146"/>
      <c r="AI335" s="145"/>
      <c r="AJ335" s="145"/>
      <c r="AK335" s="145"/>
      <c r="AL335" s="145"/>
      <c r="AM335" s="145"/>
      <c r="AN335" s="145"/>
      <c r="AO335" s="145"/>
      <c r="AP335" s="74"/>
      <c r="AQ335" s="74"/>
      <c r="AR335" s="74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</row>
    <row r="336" spans="1:85" ht="15.75" customHeight="1" x14ac:dyDescent="0.45">
      <c r="A336" s="22"/>
      <c r="B336" s="12"/>
      <c r="C336" s="12"/>
      <c r="D336" s="155"/>
      <c r="E336" s="22"/>
      <c r="F336" s="22"/>
      <c r="G336" s="12"/>
      <c r="H336" s="22"/>
      <c r="I336" s="22"/>
      <c r="J336" s="22"/>
      <c r="K336" s="22"/>
      <c r="L336" s="22"/>
      <c r="M336" s="22"/>
      <c r="N336" s="22"/>
      <c r="O336" s="145"/>
      <c r="P336" s="145"/>
      <c r="Q336" s="145"/>
      <c r="R336" s="145"/>
      <c r="S336" s="22"/>
      <c r="T336" s="145"/>
      <c r="U336" s="145"/>
      <c r="V336" s="145"/>
      <c r="W336" s="145"/>
      <c r="X336" s="53"/>
      <c r="Y336" s="74"/>
      <c r="Z336" s="145"/>
      <c r="AA336" s="145"/>
      <c r="AB336" s="145"/>
      <c r="AC336" s="146"/>
      <c r="AD336" s="145"/>
      <c r="AE336" s="145"/>
      <c r="AF336" s="145"/>
      <c r="AG336" s="145"/>
      <c r="AH336" s="146"/>
      <c r="AI336" s="145"/>
      <c r="AJ336" s="145"/>
      <c r="AK336" s="145"/>
      <c r="AL336" s="145"/>
      <c r="AM336" s="145"/>
      <c r="AN336" s="145"/>
      <c r="AO336" s="145"/>
      <c r="AP336" s="74"/>
      <c r="AQ336" s="74"/>
      <c r="AR336" s="74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</row>
    <row r="337" spans="1:85" ht="15.75" customHeight="1" x14ac:dyDescent="0.45">
      <c r="A337" s="22"/>
      <c r="B337" s="12"/>
      <c r="C337" s="12"/>
      <c r="D337" s="155"/>
      <c r="E337" s="22"/>
      <c r="F337" s="22"/>
      <c r="G337" s="12"/>
      <c r="H337" s="22"/>
      <c r="I337" s="22"/>
      <c r="J337" s="22"/>
      <c r="K337" s="22"/>
      <c r="L337" s="22"/>
      <c r="M337" s="22"/>
      <c r="N337" s="22"/>
      <c r="O337" s="145"/>
      <c r="P337" s="145"/>
      <c r="Q337" s="145"/>
      <c r="R337" s="145"/>
      <c r="S337" s="22"/>
      <c r="T337" s="145"/>
      <c r="U337" s="145"/>
      <c r="V337" s="145"/>
      <c r="W337" s="145"/>
      <c r="X337" s="53"/>
      <c r="Y337" s="74"/>
      <c r="Z337" s="145"/>
      <c r="AA337" s="145"/>
      <c r="AB337" s="145"/>
      <c r="AC337" s="146"/>
      <c r="AD337" s="145"/>
      <c r="AE337" s="145"/>
      <c r="AF337" s="145"/>
      <c r="AG337" s="145"/>
      <c r="AH337" s="146"/>
      <c r="AI337" s="145"/>
      <c r="AJ337" s="145"/>
      <c r="AK337" s="145"/>
      <c r="AL337" s="145"/>
      <c r="AM337" s="145"/>
      <c r="AN337" s="145"/>
      <c r="AO337" s="145"/>
      <c r="AP337" s="74"/>
      <c r="AQ337" s="74"/>
      <c r="AR337" s="74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</row>
    <row r="338" spans="1:85" ht="15.75" customHeight="1" x14ac:dyDescent="0.45">
      <c r="A338" s="22"/>
      <c r="B338" s="12"/>
      <c r="C338" s="12"/>
      <c r="D338" s="155"/>
      <c r="E338" s="22"/>
      <c r="F338" s="22"/>
      <c r="G338" s="12"/>
      <c r="H338" s="22"/>
      <c r="I338" s="22"/>
      <c r="J338" s="22"/>
      <c r="K338" s="22"/>
      <c r="L338" s="22"/>
      <c r="M338" s="22"/>
      <c r="N338" s="22"/>
      <c r="O338" s="145"/>
      <c r="P338" s="145"/>
      <c r="Q338" s="145"/>
      <c r="R338" s="145"/>
      <c r="S338" s="22"/>
      <c r="T338" s="145"/>
      <c r="U338" s="145"/>
      <c r="V338" s="145"/>
      <c r="W338" s="145"/>
      <c r="X338" s="53"/>
      <c r="Y338" s="74"/>
      <c r="Z338" s="145"/>
      <c r="AA338" s="145"/>
      <c r="AB338" s="145"/>
      <c r="AC338" s="146"/>
      <c r="AD338" s="145"/>
      <c r="AE338" s="145"/>
      <c r="AF338" s="145"/>
      <c r="AG338" s="145"/>
      <c r="AH338" s="146"/>
      <c r="AI338" s="145"/>
      <c r="AJ338" s="145"/>
      <c r="AK338" s="145"/>
      <c r="AL338" s="145"/>
      <c r="AM338" s="145"/>
      <c r="AN338" s="145"/>
      <c r="AO338" s="145"/>
      <c r="AP338" s="74"/>
      <c r="AQ338" s="74"/>
      <c r="AR338" s="74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</row>
    <row r="339" spans="1:85" ht="15.75" customHeight="1" x14ac:dyDescent="0.45">
      <c r="A339" s="22"/>
      <c r="B339" s="12"/>
      <c r="C339" s="12"/>
      <c r="D339" s="155"/>
      <c r="E339" s="22"/>
      <c r="F339" s="22"/>
      <c r="G339" s="12"/>
      <c r="H339" s="22"/>
      <c r="I339" s="22"/>
      <c r="J339" s="22"/>
      <c r="K339" s="22"/>
      <c r="L339" s="22"/>
      <c r="M339" s="22"/>
      <c r="N339" s="22"/>
      <c r="O339" s="145"/>
      <c r="P339" s="145"/>
      <c r="Q339" s="145"/>
      <c r="R339" s="145"/>
      <c r="S339" s="22"/>
      <c r="T339" s="145"/>
      <c r="U339" s="145"/>
      <c r="V339" s="145"/>
      <c r="W339" s="145"/>
      <c r="X339" s="53"/>
      <c r="Y339" s="74"/>
      <c r="Z339" s="145"/>
      <c r="AA339" s="145"/>
      <c r="AB339" s="145"/>
      <c r="AC339" s="146"/>
      <c r="AD339" s="145"/>
      <c r="AE339" s="145"/>
      <c r="AF339" s="145"/>
      <c r="AG339" s="145"/>
      <c r="AH339" s="146"/>
      <c r="AI339" s="145"/>
      <c r="AJ339" s="145"/>
      <c r="AK339" s="145"/>
      <c r="AL339" s="145"/>
      <c r="AM339" s="145"/>
      <c r="AN339" s="145"/>
      <c r="AO339" s="145"/>
      <c r="AP339" s="74"/>
      <c r="AQ339" s="74"/>
      <c r="AR339" s="74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</row>
    <row r="340" spans="1:85" ht="15.75" customHeight="1" x14ac:dyDescent="0.45">
      <c r="A340" s="22"/>
      <c r="B340" s="12"/>
      <c r="C340" s="12"/>
      <c r="D340" s="155"/>
      <c r="E340" s="22"/>
      <c r="F340" s="22"/>
      <c r="G340" s="12"/>
      <c r="H340" s="22"/>
      <c r="I340" s="22"/>
      <c r="J340" s="22"/>
      <c r="K340" s="22"/>
      <c r="L340" s="22"/>
      <c r="M340" s="22"/>
      <c r="N340" s="22"/>
      <c r="O340" s="145"/>
      <c r="P340" s="145"/>
      <c r="Q340" s="145"/>
      <c r="R340" s="145"/>
      <c r="S340" s="22"/>
      <c r="T340" s="145"/>
      <c r="U340" s="145"/>
      <c r="V340" s="145"/>
      <c r="W340" s="145"/>
      <c r="X340" s="53"/>
      <c r="Y340" s="74"/>
      <c r="Z340" s="145"/>
      <c r="AA340" s="145"/>
      <c r="AB340" s="145"/>
      <c r="AC340" s="146"/>
      <c r="AD340" s="145"/>
      <c r="AE340" s="145"/>
      <c r="AF340" s="145"/>
      <c r="AG340" s="145"/>
      <c r="AH340" s="146"/>
      <c r="AI340" s="145"/>
      <c r="AJ340" s="145"/>
      <c r="AK340" s="145"/>
      <c r="AL340" s="145"/>
      <c r="AM340" s="145"/>
      <c r="AN340" s="145"/>
      <c r="AO340" s="145"/>
      <c r="AP340" s="74"/>
      <c r="AQ340" s="74"/>
      <c r="AR340" s="74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</row>
    <row r="341" spans="1:85" ht="15.75" customHeight="1" x14ac:dyDescent="0.45">
      <c r="A341" s="22"/>
      <c r="B341" s="12"/>
      <c r="C341" s="12"/>
      <c r="D341" s="155"/>
      <c r="E341" s="22"/>
      <c r="F341" s="22"/>
      <c r="G341" s="12"/>
      <c r="H341" s="22"/>
      <c r="I341" s="22"/>
      <c r="J341" s="22"/>
      <c r="K341" s="22"/>
      <c r="L341" s="22"/>
      <c r="M341" s="22"/>
      <c r="N341" s="22"/>
      <c r="O341" s="145"/>
      <c r="P341" s="145"/>
      <c r="Q341" s="145"/>
      <c r="R341" s="145"/>
      <c r="S341" s="22"/>
      <c r="T341" s="145"/>
      <c r="U341" s="145"/>
      <c r="V341" s="145"/>
      <c r="W341" s="145"/>
      <c r="X341" s="53"/>
      <c r="Y341" s="74"/>
      <c r="Z341" s="145"/>
      <c r="AA341" s="145"/>
      <c r="AB341" s="145"/>
      <c r="AC341" s="146"/>
      <c r="AD341" s="145"/>
      <c r="AE341" s="145"/>
      <c r="AF341" s="145"/>
      <c r="AG341" s="145"/>
      <c r="AH341" s="146"/>
      <c r="AI341" s="145"/>
      <c r="AJ341" s="145"/>
      <c r="AK341" s="145"/>
      <c r="AL341" s="145"/>
      <c r="AM341" s="145"/>
      <c r="AN341" s="145"/>
      <c r="AO341" s="145"/>
      <c r="AP341" s="74"/>
      <c r="AQ341" s="74"/>
      <c r="AR341" s="74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</row>
    <row r="342" spans="1:85" ht="15.75" customHeight="1" x14ac:dyDescent="0.45">
      <c r="A342" s="22"/>
      <c r="B342" s="12"/>
      <c r="C342" s="12"/>
      <c r="D342" s="155"/>
      <c r="E342" s="22"/>
      <c r="F342" s="22"/>
      <c r="G342" s="12"/>
      <c r="H342" s="22"/>
      <c r="I342" s="22"/>
      <c r="J342" s="22"/>
      <c r="K342" s="22"/>
      <c r="L342" s="22"/>
      <c r="M342" s="22"/>
      <c r="N342" s="22"/>
      <c r="O342" s="145"/>
      <c r="P342" s="145"/>
      <c r="Q342" s="145"/>
      <c r="R342" s="145"/>
      <c r="S342" s="22"/>
      <c r="T342" s="145"/>
      <c r="U342" s="145"/>
      <c r="V342" s="145"/>
      <c r="W342" s="145"/>
      <c r="X342" s="53"/>
      <c r="Y342" s="74"/>
      <c r="Z342" s="145"/>
      <c r="AA342" s="145"/>
      <c r="AB342" s="145"/>
      <c r="AC342" s="146"/>
      <c r="AD342" s="145"/>
      <c r="AE342" s="145"/>
      <c r="AF342" s="145"/>
      <c r="AG342" s="145"/>
      <c r="AH342" s="146"/>
      <c r="AI342" s="145"/>
      <c r="AJ342" s="145"/>
      <c r="AK342" s="145"/>
      <c r="AL342" s="145"/>
      <c r="AM342" s="145"/>
      <c r="AN342" s="145"/>
      <c r="AO342" s="145"/>
      <c r="AP342" s="74"/>
      <c r="AQ342" s="74"/>
      <c r="AR342" s="74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</row>
    <row r="343" spans="1:85" ht="15.75" customHeight="1" x14ac:dyDescent="0.45">
      <c r="A343" s="22"/>
      <c r="B343" s="12"/>
      <c r="C343" s="12"/>
      <c r="D343" s="155"/>
      <c r="E343" s="22"/>
      <c r="F343" s="22"/>
      <c r="G343" s="12"/>
      <c r="H343" s="22"/>
      <c r="I343" s="22"/>
      <c r="J343" s="22"/>
      <c r="K343" s="22"/>
      <c r="L343" s="22"/>
      <c r="M343" s="22"/>
      <c r="N343" s="22"/>
      <c r="O343" s="145"/>
      <c r="P343" s="145"/>
      <c r="Q343" s="145"/>
      <c r="R343" s="145"/>
      <c r="S343" s="22"/>
      <c r="T343" s="145"/>
      <c r="U343" s="145"/>
      <c r="V343" s="145"/>
      <c r="W343" s="145"/>
      <c r="X343" s="53"/>
      <c r="Y343" s="74"/>
      <c r="Z343" s="145"/>
      <c r="AA343" s="145"/>
      <c r="AB343" s="145"/>
      <c r="AC343" s="146"/>
      <c r="AD343" s="145"/>
      <c r="AE343" s="145"/>
      <c r="AF343" s="145"/>
      <c r="AG343" s="145"/>
      <c r="AH343" s="146"/>
      <c r="AI343" s="145"/>
      <c r="AJ343" s="145"/>
      <c r="AK343" s="145"/>
      <c r="AL343" s="145"/>
      <c r="AM343" s="145"/>
      <c r="AN343" s="145"/>
      <c r="AO343" s="145"/>
      <c r="AP343" s="74"/>
      <c r="AQ343" s="74"/>
      <c r="AR343" s="74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</row>
    <row r="344" spans="1:85" ht="15.75" customHeight="1" x14ac:dyDescent="0.45">
      <c r="A344" s="22"/>
      <c r="B344" s="12"/>
      <c r="C344" s="12"/>
      <c r="D344" s="155"/>
      <c r="E344" s="22"/>
      <c r="F344" s="22"/>
      <c r="G344" s="12"/>
      <c r="H344" s="22"/>
      <c r="I344" s="22"/>
      <c r="J344" s="22"/>
      <c r="K344" s="22"/>
      <c r="L344" s="22"/>
      <c r="M344" s="22"/>
      <c r="N344" s="22"/>
      <c r="O344" s="145"/>
      <c r="P344" s="145"/>
      <c r="Q344" s="145"/>
      <c r="R344" s="145"/>
      <c r="S344" s="22"/>
      <c r="T344" s="145"/>
      <c r="U344" s="145"/>
      <c r="V344" s="145"/>
      <c r="W344" s="145"/>
      <c r="X344" s="53"/>
      <c r="Y344" s="74"/>
      <c r="Z344" s="145"/>
      <c r="AA344" s="145"/>
      <c r="AB344" s="145"/>
      <c r="AC344" s="146"/>
      <c r="AD344" s="145"/>
      <c r="AE344" s="145"/>
      <c r="AF344" s="145"/>
      <c r="AG344" s="145"/>
      <c r="AH344" s="146"/>
      <c r="AI344" s="145"/>
      <c r="AJ344" s="145"/>
      <c r="AK344" s="145"/>
      <c r="AL344" s="145"/>
      <c r="AM344" s="145"/>
      <c r="AN344" s="145"/>
      <c r="AO344" s="145"/>
      <c r="AP344" s="74"/>
      <c r="AQ344" s="74"/>
      <c r="AR344" s="74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</row>
    <row r="345" spans="1:85" ht="15.75" customHeight="1" x14ac:dyDescent="0.45">
      <c r="A345" s="22"/>
      <c r="B345" s="12"/>
      <c r="C345" s="12"/>
      <c r="D345" s="155"/>
      <c r="E345" s="22"/>
      <c r="F345" s="22"/>
      <c r="G345" s="12"/>
      <c r="H345" s="22"/>
      <c r="I345" s="22"/>
      <c r="J345" s="22"/>
      <c r="K345" s="22"/>
      <c r="L345" s="22"/>
      <c r="M345" s="22"/>
      <c r="N345" s="22"/>
      <c r="O345" s="145"/>
      <c r="P345" s="145"/>
      <c r="Q345" s="145"/>
      <c r="R345" s="145"/>
      <c r="S345" s="22"/>
      <c r="T345" s="145"/>
      <c r="U345" s="145"/>
      <c r="V345" s="145"/>
      <c r="W345" s="145"/>
      <c r="X345" s="53"/>
      <c r="Y345" s="74"/>
      <c r="Z345" s="145"/>
      <c r="AA345" s="145"/>
      <c r="AB345" s="145"/>
      <c r="AC345" s="146"/>
      <c r="AD345" s="145"/>
      <c r="AE345" s="145"/>
      <c r="AF345" s="145"/>
      <c r="AG345" s="145"/>
      <c r="AH345" s="146"/>
      <c r="AI345" s="145"/>
      <c r="AJ345" s="145"/>
      <c r="AK345" s="145"/>
      <c r="AL345" s="145"/>
      <c r="AM345" s="145"/>
      <c r="AN345" s="145"/>
      <c r="AO345" s="145"/>
      <c r="AP345" s="74"/>
      <c r="AQ345" s="74"/>
      <c r="AR345" s="74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</row>
    <row r="346" spans="1:85" ht="15.75" customHeight="1" x14ac:dyDescent="0.45">
      <c r="A346" s="22"/>
      <c r="B346" s="12"/>
      <c r="C346" s="12"/>
      <c r="D346" s="155"/>
      <c r="E346" s="22"/>
      <c r="F346" s="22"/>
      <c r="G346" s="12"/>
      <c r="H346" s="22"/>
      <c r="I346" s="22"/>
      <c r="J346" s="22"/>
      <c r="K346" s="22"/>
      <c r="L346" s="22"/>
      <c r="M346" s="22"/>
      <c r="N346" s="22"/>
      <c r="O346" s="145"/>
      <c r="P346" s="145"/>
      <c r="Q346" s="145"/>
      <c r="R346" s="145"/>
      <c r="S346" s="22"/>
      <c r="T346" s="145"/>
      <c r="U346" s="145"/>
      <c r="V346" s="145"/>
      <c r="W346" s="145"/>
      <c r="X346" s="53"/>
      <c r="Y346" s="74"/>
      <c r="Z346" s="145"/>
      <c r="AA346" s="145"/>
      <c r="AB346" s="145"/>
      <c r="AC346" s="146"/>
      <c r="AD346" s="145"/>
      <c r="AE346" s="145"/>
      <c r="AF346" s="145"/>
      <c r="AG346" s="145"/>
      <c r="AH346" s="146"/>
      <c r="AI346" s="145"/>
      <c r="AJ346" s="145"/>
      <c r="AK346" s="145"/>
      <c r="AL346" s="145"/>
      <c r="AM346" s="145"/>
      <c r="AN346" s="145"/>
      <c r="AO346" s="145"/>
      <c r="AP346" s="74"/>
      <c r="AQ346" s="74"/>
      <c r="AR346" s="74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</row>
    <row r="347" spans="1:85" ht="15.75" customHeight="1" x14ac:dyDescent="0.45">
      <c r="A347" s="22"/>
      <c r="B347" s="12"/>
      <c r="C347" s="12"/>
      <c r="D347" s="155"/>
      <c r="E347" s="22"/>
      <c r="F347" s="22"/>
      <c r="G347" s="12"/>
      <c r="H347" s="22"/>
      <c r="I347" s="22"/>
      <c r="J347" s="22"/>
      <c r="K347" s="22"/>
      <c r="L347" s="22"/>
      <c r="M347" s="22"/>
      <c r="N347" s="22"/>
      <c r="O347" s="145"/>
      <c r="P347" s="145"/>
      <c r="Q347" s="145"/>
      <c r="R347" s="145"/>
      <c r="S347" s="22"/>
      <c r="T347" s="145"/>
      <c r="U347" s="145"/>
      <c r="V347" s="145"/>
      <c r="W347" s="145"/>
      <c r="X347" s="53"/>
      <c r="Y347" s="74"/>
      <c r="Z347" s="145"/>
      <c r="AA347" s="145"/>
      <c r="AB347" s="145"/>
      <c r="AC347" s="146"/>
      <c r="AD347" s="145"/>
      <c r="AE347" s="145"/>
      <c r="AF347" s="145"/>
      <c r="AG347" s="145"/>
      <c r="AH347" s="146"/>
      <c r="AI347" s="145"/>
      <c r="AJ347" s="145"/>
      <c r="AK347" s="145"/>
      <c r="AL347" s="145"/>
      <c r="AM347" s="145"/>
      <c r="AN347" s="145"/>
      <c r="AO347" s="145"/>
      <c r="AP347" s="74"/>
      <c r="AQ347" s="74"/>
      <c r="AR347" s="74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</row>
    <row r="348" spans="1:85" ht="15.75" customHeight="1" x14ac:dyDescent="0.45">
      <c r="A348" s="22"/>
      <c r="B348" s="12"/>
      <c r="C348" s="12"/>
      <c r="D348" s="155"/>
      <c r="E348" s="22"/>
      <c r="F348" s="22"/>
      <c r="G348" s="12"/>
      <c r="H348" s="22"/>
      <c r="I348" s="22"/>
      <c r="J348" s="22"/>
      <c r="K348" s="22"/>
      <c r="L348" s="22"/>
      <c r="M348" s="22"/>
      <c r="N348" s="22"/>
      <c r="O348" s="145"/>
      <c r="P348" s="145"/>
      <c r="Q348" s="145"/>
      <c r="R348" s="145"/>
      <c r="S348" s="22"/>
      <c r="T348" s="145"/>
      <c r="U348" s="145"/>
      <c r="V348" s="145"/>
      <c r="W348" s="145"/>
      <c r="X348" s="53"/>
      <c r="Y348" s="74"/>
      <c r="Z348" s="145"/>
      <c r="AA348" s="145"/>
      <c r="AB348" s="145"/>
      <c r="AC348" s="146"/>
      <c r="AD348" s="145"/>
      <c r="AE348" s="145"/>
      <c r="AF348" s="145"/>
      <c r="AG348" s="145"/>
      <c r="AH348" s="146"/>
      <c r="AI348" s="145"/>
      <c r="AJ348" s="145"/>
      <c r="AK348" s="145"/>
      <c r="AL348" s="145"/>
      <c r="AM348" s="145"/>
      <c r="AN348" s="145"/>
      <c r="AO348" s="145"/>
      <c r="AP348" s="74"/>
      <c r="AQ348" s="74"/>
      <c r="AR348" s="74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</row>
    <row r="349" spans="1:85" ht="15.75" customHeight="1" x14ac:dyDescent="0.45">
      <c r="A349" s="22"/>
      <c r="B349" s="12"/>
      <c r="C349" s="12"/>
      <c r="D349" s="155"/>
      <c r="E349" s="22"/>
      <c r="F349" s="22"/>
      <c r="G349" s="12"/>
      <c r="H349" s="22"/>
      <c r="I349" s="22"/>
      <c r="J349" s="22"/>
      <c r="K349" s="22"/>
      <c r="L349" s="22"/>
      <c r="M349" s="22"/>
      <c r="N349" s="22"/>
      <c r="O349" s="145"/>
      <c r="P349" s="145"/>
      <c r="Q349" s="145"/>
      <c r="R349" s="145"/>
      <c r="S349" s="22"/>
      <c r="T349" s="145"/>
      <c r="U349" s="145"/>
      <c r="V349" s="145"/>
      <c r="W349" s="145"/>
      <c r="X349" s="53"/>
      <c r="Y349" s="74"/>
      <c r="Z349" s="145"/>
      <c r="AA349" s="145"/>
      <c r="AB349" s="145"/>
      <c r="AC349" s="146"/>
      <c r="AD349" s="145"/>
      <c r="AE349" s="145"/>
      <c r="AF349" s="145"/>
      <c r="AG349" s="145"/>
      <c r="AH349" s="146"/>
      <c r="AI349" s="145"/>
      <c r="AJ349" s="145"/>
      <c r="AK349" s="145"/>
      <c r="AL349" s="145"/>
      <c r="AM349" s="145"/>
      <c r="AN349" s="145"/>
      <c r="AO349" s="145"/>
      <c r="AP349" s="74"/>
      <c r="AQ349" s="74"/>
      <c r="AR349" s="74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</row>
    <row r="350" spans="1:85" ht="15.75" customHeight="1" x14ac:dyDescent="0.45">
      <c r="A350" s="22"/>
      <c r="B350" s="12"/>
      <c r="C350" s="12"/>
      <c r="D350" s="155"/>
      <c r="E350" s="22"/>
      <c r="F350" s="22"/>
      <c r="G350" s="12"/>
      <c r="H350" s="22"/>
      <c r="I350" s="22"/>
      <c r="J350" s="22"/>
      <c r="K350" s="22"/>
      <c r="L350" s="22"/>
      <c r="M350" s="22"/>
      <c r="N350" s="22"/>
      <c r="O350" s="145"/>
      <c r="P350" s="145"/>
      <c r="Q350" s="145"/>
      <c r="R350" s="145"/>
      <c r="S350" s="22"/>
      <c r="T350" s="145"/>
      <c r="U350" s="145"/>
      <c r="V350" s="145"/>
      <c r="W350" s="145"/>
      <c r="X350" s="53"/>
      <c r="Y350" s="74"/>
      <c r="Z350" s="145"/>
      <c r="AA350" s="145"/>
      <c r="AB350" s="145"/>
      <c r="AC350" s="146"/>
      <c r="AD350" s="145"/>
      <c r="AE350" s="145"/>
      <c r="AF350" s="145"/>
      <c r="AG350" s="145"/>
      <c r="AH350" s="146"/>
      <c r="AI350" s="145"/>
      <c r="AJ350" s="145"/>
      <c r="AK350" s="145"/>
      <c r="AL350" s="145"/>
      <c r="AM350" s="145"/>
      <c r="AN350" s="145"/>
      <c r="AO350" s="145"/>
      <c r="AP350" s="74"/>
      <c r="AQ350" s="74"/>
      <c r="AR350" s="74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</row>
    <row r="351" spans="1:85" ht="15.75" customHeight="1" x14ac:dyDescent="0.45">
      <c r="A351" s="22"/>
      <c r="B351" s="12"/>
      <c r="C351" s="12"/>
      <c r="D351" s="155"/>
      <c r="E351" s="22"/>
      <c r="F351" s="22"/>
      <c r="G351" s="12"/>
      <c r="H351" s="22"/>
      <c r="I351" s="22"/>
      <c r="J351" s="22"/>
      <c r="K351" s="22"/>
      <c r="L351" s="22"/>
      <c r="M351" s="22"/>
      <c r="N351" s="22"/>
      <c r="O351" s="145"/>
      <c r="P351" s="145"/>
      <c r="Q351" s="145"/>
      <c r="R351" s="145"/>
      <c r="S351" s="22"/>
      <c r="T351" s="145"/>
      <c r="U351" s="145"/>
      <c r="V351" s="145"/>
      <c r="W351" s="145"/>
      <c r="X351" s="53"/>
      <c r="Y351" s="74"/>
      <c r="Z351" s="145"/>
      <c r="AA351" s="145"/>
      <c r="AB351" s="145"/>
      <c r="AC351" s="146"/>
      <c r="AD351" s="145"/>
      <c r="AE351" s="145"/>
      <c r="AF351" s="145"/>
      <c r="AG351" s="145"/>
      <c r="AH351" s="146"/>
      <c r="AI351" s="145"/>
      <c r="AJ351" s="145"/>
      <c r="AK351" s="145"/>
      <c r="AL351" s="145"/>
      <c r="AM351" s="145"/>
      <c r="AN351" s="145"/>
      <c r="AO351" s="145"/>
      <c r="AP351" s="74"/>
      <c r="AQ351" s="74"/>
      <c r="AR351" s="74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</row>
    <row r="352" spans="1:85" ht="15.75" customHeight="1" x14ac:dyDescent="0.45">
      <c r="A352" s="22"/>
      <c r="B352" s="12"/>
      <c r="C352" s="12"/>
      <c r="D352" s="155"/>
      <c r="E352" s="22"/>
      <c r="F352" s="22"/>
      <c r="G352" s="12"/>
      <c r="H352" s="22"/>
      <c r="I352" s="22"/>
      <c r="J352" s="22"/>
      <c r="K352" s="22"/>
      <c r="L352" s="22"/>
      <c r="M352" s="22"/>
      <c r="N352" s="22"/>
      <c r="O352" s="145"/>
      <c r="P352" s="145"/>
      <c r="Q352" s="145"/>
      <c r="R352" s="145"/>
      <c r="S352" s="22"/>
      <c r="T352" s="145"/>
      <c r="U352" s="145"/>
      <c r="V352" s="145"/>
      <c r="W352" s="145"/>
      <c r="X352" s="53"/>
      <c r="Y352" s="74"/>
      <c r="Z352" s="145"/>
      <c r="AA352" s="145"/>
      <c r="AB352" s="145"/>
      <c r="AC352" s="146"/>
      <c r="AD352" s="145"/>
      <c r="AE352" s="145"/>
      <c r="AF352" s="145"/>
      <c r="AG352" s="145"/>
      <c r="AH352" s="146"/>
      <c r="AI352" s="145"/>
      <c r="AJ352" s="145"/>
      <c r="AK352" s="145"/>
      <c r="AL352" s="145"/>
      <c r="AM352" s="145"/>
      <c r="AN352" s="145"/>
      <c r="AO352" s="145"/>
      <c r="AP352" s="74"/>
      <c r="AQ352" s="74"/>
      <c r="AR352" s="74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</row>
    <row r="353" spans="1:85" ht="15.75" customHeight="1" x14ac:dyDescent="0.45">
      <c r="A353" s="22"/>
      <c r="B353" s="12"/>
      <c r="C353" s="12"/>
      <c r="D353" s="155"/>
      <c r="E353" s="22"/>
      <c r="F353" s="22"/>
      <c r="G353" s="12"/>
      <c r="H353" s="22"/>
      <c r="I353" s="22"/>
      <c r="J353" s="22"/>
      <c r="K353" s="22"/>
      <c r="L353" s="22"/>
      <c r="M353" s="22"/>
      <c r="N353" s="22"/>
      <c r="O353" s="145"/>
      <c r="P353" s="145"/>
      <c r="Q353" s="145"/>
      <c r="R353" s="145"/>
      <c r="S353" s="22"/>
      <c r="T353" s="145"/>
      <c r="U353" s="145"/>
      <c r="V353" s="145"/>
      <c r="W353" s="145"/>
      <c r="X353" s="53"/>
      <c r="Y353" s="74"/>
      <c r="Z353" s="145"/>
      <c r="AA353" s="145"/>
      <c r="AB353" s="145"/>
      <c r="AC353" s="146"/>
      <c r="AD353" s="145"/>
      <c r="AE353" s="145"/>
      <c r="AF353" s="145"/>
      <c r="AG353" s="145"/>
      <c r="AH353" s="146"/>
      <c r="AI353" s="145"/>
      <c r="AJ353" s="145"/>
      <c r="AK353" s="145"/>
      <c r="AL353" s="145"/>
      <c r="AM353" s="145"/>
      <c r="AN353" s="145"/>
      <c r="AO353" s="145"/>
      <c r="AP353" s="74"/>
      <c r="AQ353" s="74"/>
      <c r="AR353" s="74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</row>
    <row r="354" spans="1:85" ht="15.75" customHeight="1" x14ac:dyDescent="0.45">
      <c r="A354" s="22"/>
      <c r="B354" s="12"/>
      <c r="C354" s="12"/>
      <c r="D354" s="155"/>
      <c r="E354" s="22"/>
      <c r="F354" s="22"/>
      <c r="G354" s="12"/>
      <c r="H354" s="22"/>
      <c r="I354" s="22"/>
      <c r="J354" s="22"/>
      <c r="K354" s="22"/>
      <c r="L354" s="22"/>
      <c r="M354" s="22"/>
      <c r="N354" s="22"/>
      <c r="O354" s="145"/>
      <c r="P354" s="145"/>
      <c r="Q354" s="145"/>
      <c r="R354" s="145"/>
      <c r="S354" s="22"/>
      <c r="T354" s="145"/>
      <c r="U354" s="145"/>
      <c r="V354" s="145"/>
      <c r="W354" s="145"/>
      <c r="X354" s="53"/>
      <c r="Y354" s="74"/>
      <c r="Z354" s="145"/>
      <c r="AA354" s="145"/>
      <c r="AB354" s="145"/>
      <c r="AC354" s="146"/>
      <c r="AD354" s="145"/>
      <c r="AE354" s="145"/>
      <c r="AF354" s="145"/>
      <c r="AG354" s="145"/>
      <c r="AH354" s="146"/>
      <c r="AI354" s="145"/>
      <c r="AJ354" s="145"/>
      <c r="AK354" s="145"/>
      <c r="AL354" s="145"/>
      <c r="AM354" s="145"/>
      <c r="AN354" s="145"/>
      <c r="AO354" s="145"/>
      <c r="AP354" s="74"/>
      <c r="AQ354" s="74"/>
      <c r="AR354" s="74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</row>
    <row r="355" spans="1:85" ht="15.75" customHeight="1" x14ac:dyDescent="0.45">
      <c r="A355" s="22"/>
      <c r="B355" s="12"/>
      <c r="C355" s="12"/>
      <c r="D355" s="155"/>
      <c r="E355" s="22"/>
      <c r="F355" s="22"/>
      <c r="G355" s="12"/>
      <c r="H355" s="22"/>
      <c r="I355" s="22"/>
      <c r="J355" s="22"/>
      <c r="K355" s="22"/>
      <c r="L355" s="22"/>
      <c r="M355" s="22"/>
      <c r="N355" s="22"/>
      <c r="O355" s="145"/>
      <c r="P355" s="145"/>
      <c r="Q355" s="145"/>
      <c r="R355" s="145"/>
      <c r="S355" s="22"/>
      <c r="T355" s="145"/>
      <c r="U355" s="145"/>
      <c r="V355" s="145"/>
      <c r="W355" s="145"/>
      <c r="X355" s="53"/>
      <c r="Y355" s="74"/>
      <c r="Z355" s="145"/>
      <c r="AA355" s="145"/>
      <c r="AB355" s="145"/>
      <c r="AC355" s="146"/>
      <c r="AD355" s="145"/>
      <c r="AE355" s="145"/>
      <c r="AF355" s="145"/>
      <c r="AG355" s="145"/>
      <c r="AH355" s="146"/>
      <c r="AI355" s="145"/>
      <c r="AJ355" s="145"/>
      <c r="AK355" s="145"/>
      <c r="AL355" s="145"/>
      <c r="AM355" s="145"/>
      <c r="AN355" s="145"/>
      <c r="AO355" s="145"/>
      <c r="AP355" s="74"/>
      <c r="AQ355" s="74"/>
      <c r="AR355" s="74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</row>
    <row r="356" spans="1:85" ht="15.75" customHeight="1" x14ac:dyDescent="0.45">
      <c r="A356" s="22"/>
      <c r="B356" s="12"/>
      <c r="C356" s="12"/>
      <c r="D356" s="155"/>
      <c r="E356" s="22"/>
      <c r="F356" s="22"/>
      <c r="G356" s="12"/>
      <c r="H356" s="22"/>
      <c r="I356" s="22"/>
      <c r="J356" s="22"/>
      <c r="K356" s="22"/>
      <c r="L356" s="22"/>
      <c r="M356" s="22"/>
      <c r="N356" s="22"/>
      <c r="O356" s="145"/>
      <c r="P356" s="145"/>
      <c r="Q356" s="145"/>
      <c r="R356" s="145"/>
      <c r="S356" s="22"/>
      <c r="T356" s="145"/>
      <c r="U356" s="145"/>
      <c r="V356" s="145"/>
      <c r="W356" s="145"/>
      <c r="X356" s="53"/>
      <c r="Y356" s="74"/>
      <c r="Z356" s="145"/>
      <c r="AA356" s="145"/>
      <c r="AB356" s="145"/>
      <c r="AC356" s="146"/>
      <c r="AD356" s="145"/>
      <c r="AE356" s="145"/>
      <c r="AF356" s="145"/>
      <c r="AG356" s="145"/>
      <c r="AH356" s="146"/>
      <c r="AI356" s="145"/>
      <c r="AJ356" s="145"/>
      <c r="AK356" s="145"/>
      <c r="AL356" s="145"/>
      <c r="AM356" s="145"/>
      <c r="AN356" s="145"/>
      <c r="AO356" s="145"/>
      <c r="AP356" s="74"/>
      <c r="AQ356" s="74"/>
      <c r="AR356" s="74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</row>
    <row r="357" spans="1:85" ht="15.75" customHeight="1" x14ac:dyDescent="0.45">
      <c r="A357" s="22"/>
      <c r="B357" s="12"/>
      <c r="C357" s="12"/>
      <c r="D357" s="155"/>
      <c r="E357" s="22"/>
      <c r="F357" s="22"/>
      <c r="G357" s="12"/>
      <c r="H357" s="22"/>
      <c r="I357" s="22"/>
      <c r="J357" s="22"/>
      <c r="K357" s="22"/>
      <c r="L357" s="22"/>
      <c r="M357" s="22"/>
      <c r="N357" s="22"/>
      <c r="O357" s="145"/>
      <c r="P357" s="145"/>
      <c r="Q357" s="145"/>
      <c r="R357" s="145"/>
      <c r="S357" s="22"/>
      <c r="T357" s="145"/>
      <c r="U357" s="145"/>
      <c r="V357" s="145"/>
      <c r="W357" s="145"/>
      <c r="X357" s="53"/>
      <c r="Y357" s="74"/>
      <c r="Z357" s="145"/>
      <c r="AA357" s="145"/>
      <c r="AB357" s="145"/>
      <c r="AC357" s="146"/>
      <c r="AD357" s="145"/>
      <c r="AE357" s="145"/>
      <c r="AF357" s="145"/>
      <c r="AG357" s="145"/>
      <c r="AH357" s="146"/>
      <c r="AI357" s="145"/>
      <c r="AJ357" s="145"/>
      <c r="AK357" s="145"/>
      <c r="AL357" s="145"/>
      <c r="AM357" s="145"/>
      <c r="AN357" s="145"/>
      <c r="AO357" s="145"/>
      <c r="AP357" s="74"/>
      <c r="AQ357" s="74"/>
      <c r="AR357" s="74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</row>
    <row r="358" spans="1:85" ht="15.75" customHeight="1" x14ac:dyDescent="0.45">
      <c r="A358" s="22"/>
      <c r="B358" s="12"/>
      <c r="C358" s="12"/>
      <c r="D358" s="155"/>
      <c r="E358" s="22"/>
      <c r="F358" s="22"/>
      <c r="G358" s="12"/>
      <c r="H358" s="22"/>
      <c r="I358" s="22"/>
      <c r="J358" s="22"/>
      <c r="K358" s="22"/>
      <c r="L358" s="22"/>
      <c r="M358" s="22"/>
      <c r="N358" s="22"/>
      <c r="O358" s="145"/>
      <c r="P358" s="145"/>
      <c r="Q358" s="145"/>
      <c r="R358" s="145"/>
      <c r="S358" s="22"/>
      <c r="T358" s="145"/>
      <c r="U358" s="145"/>
      <c r="V358" s="145"/>
      <c r="W358" s="145"/>
      <c r="X358" s="53"/>
      <c r="Y358" s="74"/>
      <c r="Z358" s="145"/>
      <c r="AA358" s="145"/>
      <c r="AB358" s="145"/>
      <c r="AC358" s="146"/>
      <c r="AD358" s="145"/>
      <c r="AE358" s="145"/>
      <c r="AF358" s="145"/>
      <c r="AG358" s="145"/>
      <c r="AH358" s="146"/>
      <c r="AI358" s="145"/>
      <c r="AJ358" s="145"/>
      <c r="AK358" s="145"/>
      <c r="AL358" s="145"/>
      <c r="AM358" s="145"/>
      <c r="AN358" s="145"/>
      <c r="AO358" s="145"/>
      <c r="AP358" s="74"/>
      <c r="AQ358" s="74"/>
      <c r="AR358" s="74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</row>
    <row r="359" spans="1:85" ht="15.75" customHeight="1" x14ac:dyDescent="0.45">
      <c r="A359" s="22"/>
      <c r="B359" s="12"/>
      <c r="C359" s="12"/>
      <c r="D359" s="155"/>
      <c r="E359" s="22"/>
      <c r="F359" s="22"/>
      <c r="G359" s="12"/>
      <c r="H359" s="22"/>
      <c r="I359" s="22"/>
      <c r="J359" s="22"/>
      <c r="K359" s="22"/>
      <c r="L359" s="22"/>
      <c r="M359" s="22"/>
      <c r="N359" s="22"/>
      <c r="O359" s="145"/>
      <c r="P359" s="145"/>
      <c r="Q359" s="145"/>
      <c r="R359" s="145"/>
      <c r="S359" s="22"/>
      <c r="T359" s="145"/>
      <c r="U359" s="145"/>
      <c r="V359" s="145"/>
      <c r="W359" s="145"/>
      <c r="X359" s="53"/>
      <c r="Y359" s="74"/>
      <c r="Z359" s="145"/>
      <c r="AA359" s="145"/>
      <c r="AB359" s="145"/>
      <c r="AC359" s="146"/>
      <c r="AD359" s="145"/>
      <c r="AE359" s="145"/>
      <c r="AF359" s="145"/>
      <c r="AG359" s="145"/>
      <c r="AH359" s="146"/>
      <c r="AI359" s="145"/>
      <c r="AJ359" s="145"/>
      <c r="AK359" s="145"/>
      <c r="AL359" s="145"/>
      <c r="AM359" s="145"/>
      <c r="AN359" s="145"/>
      <c r="AO359" s="145"/>
      <c r="AP359" s="74"/>
      <c r="AQ359" s="74"/>
      <c r="AR359" s="74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</row>
    <row r="360" spans="1:85" ht="15.75" customHeight="1" x14ac:dyDescent="0.45">
      <c r="A360" s="22"/>
      <c r="B360" s="12"/>
      <c r="C360" s="12"/>
      <c r="D360" s="155"/>
      <c r="E360" s="22"/>
      <c r="F360" s="22"/>
      <c r="G360" s="12"/>
      <c r="H360" s="22"/>
      <c r="I360" s="22"/>
      <c r="J360" s="22"/>
      <c r="K360" s="22"/>
      <c r="L360" s="22"/>
      <c r="M360" s="22"/>
      <c r="N360" s="22"/>
      <c r="O360" s="145"/>
      <c r="P360" s="145"/>
      <c r="Q360" s="145"/>
      <c r="R360" s="145"/>
      <c r="S360" s="22"/>
      <c r="T360" s="145"/>
      <c r="U360" s="145"/>
      <c r="V360" s="145"/>
      <c r="W360" s="145"/>
      <c r="X360" s="53"/>
      <c r="Y360" s="74"/>
      <c r="Z360" s="145"/>
      <c r="AA360" s="145"/>
      <c r="AB360" s="145"/>
      <c r="AC360" s="146"/>
      <c r="AD360" s="145"/>
      <c r="AE360" s="145"/>
      <c r="AF360" s="145"/>
      <c r="AG360" s="145"/>
      <c r="AH360" s="146"/>
      <c r="AI360" s="145"/>
      <c r="AJ360" s="145"/>
      <c r="AK360" s="145"/>
      <c r="AL360" s="145"/>
      <c r="AM360" s="145"/>
      <c r="AN360" s="145"/>
      <c r="AO360" s="145"/>
      <c r="AP360" s="74"/>
      <c r="AQ360" s="74"/>
      <c r="AR360" s="74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</row>
    <row r="361" spans="1:85" ht="15.75" customHeight="1" x14ac:dyDescent="0.45">
      <c r="A361" s="22"/>
      <c r="B361" s="12"/>
      <c r="C361" s="12"/>
      <c r="D361" s="155"/>
      <c r="E361" s="22"/>
      <c r="F361" s="22"/>
      <c r="G361" s="12"/>
      <c r="H361" s="22"/>
      <c r="I361" s="22"/>
      <c r="J361" s="22"/>
      <c r="K361" s="22"/>
      <c r="L361" s="22"/>
      <c r="M361" s="22"/>
      <c r="N361" s="22"/>
      <c r="O361" s="145"/>
      <c r="P361" s="145"/>
      <c r="Q361" s="145"/>
      <c r="R361" s="145"/>
      <c r="S361" s="22"/>
      <c r="T361" s="145"/>
      <c r="U361" s="145"/>
      <c r="V361" s="145"/>
      <c r="W361" s="145"/>
      <c r="X361" s="53"/>
      <c r="Y361" s="74"/>
      <c r="Z361" s="145"/>
      <c r="AA361" s="145"/>
      <c r="AB361" s="145"/>
      <c r="AC361" s="146"/>
      <c r="AD361" s="145"/>
      <c r="AE361" s="145"/>
      <c r="AF361" s="145"/>
      <c r="AG361" s="145"/>
      <c r="AH361" s="146"/>
      <c r="AI361" s="145"/>
      <c r="AJ361" s="145"/>
      <c r="AK361" s="145"/>
      <c r="AL361" s="145"/>
      <c r="AM361" s="145"/>
      <c r="AN361" s="145"/>
      <c r="AO361" s="145"/>
      <c r="AP361" s="74"/>
      <c r="AQ361" s="74"/>
      <c r="AR361" s="74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</row>
    <row r="362" spans="1:85" ht="15.75" customHeight="1" x14ac:dyDescent="0.45">
      <c r="A362" s="22"/>
      <c r="B362" s="12"/>
      <c r="C362" s="12"/>
      <c r="D362" s="155"/>
      <c r="E362" s="22"/>
      <c r="F362" s="22"/>
      <c r="G362" s="12"/>
      <c r="H362" s="22"/>
      <c r="I362" s="22"/>
      <c r="J362" s="22"/>
      <c r="K362" s="22"/>
      <c r="L362" s="22"/>
      <c r="M362" s="22"/>
      <c r="N362" s="22"/>
      <c r="O362" s="145"/>
      <c r="P362" s="145"/>
      <c r="Q362" s="145"/>
      <c r="R362" s="145"/>
      <c r="S362" s="22"/>
      <c r="T362" s="145"/>
      <c r="U362" s="145"/>
      <c r="V362" s="145"/>
      <c r="W362" s="145"/>
      <c r="X362" s="53"/>
      <c r="Y362" s="74"/>
      <c r="Z362" s="145"/>
      <c r="AA362" s="145"/>
      <c r="AB362" s="145"/>
      <c r="AC362" s="146"/>
      <c r="AD362" s="145"/>
      <c r="AE362" s="145"/>
      <c r="AF362" s="145"/>
      <c r="AG362" s="145"/>
      <c r="AH362" s="146"/>
      <c r="AI362" s="145"/>
      <c r="AJ362" s="145"/>
      <c r="AK362" s="145"/>
      <c r="AL362" s="145"/>
      <c r="AM362" s="145"/>
      <c r="AN362" s="145"/>
      <c r="AO362" s="145"/>
      <c r="AP362" s="74"/>
      <c r="AQ362" s="74"/>
      <c r="AR362" s="74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</row>
    <row r="363" spans="1:85" ht="15.75" customHeight="1" x14ac:dyDescent="0.45">
      <c r="A363" s="22"/>
      <c r="B363" s="12"/>
      <c r="C363" s="12"/>
      <c r="D363" s="155"/>
      <c r="E363" s="22"/>
      <c r="F363" s="22"/>
      <c r="G363" s="12"/>
      <c r="H363" s="22"/>
      <c r="I363" s="22"/>
      <c r="J363" s="22"/>
      <c r="K363" s="22"/>
      <c r="L363" s="22"/>
      <c r="M363" s="22"/>
      <c r="N363" s="22"/>
      <c r="O363" s="145"/>
      <c r="P363" s="145"/>
      <c r="Q363" s="145"/>
      <c r="R363" s="145"/>
      <c r="S363" s="22"/>
      <c r="T363" s="145"/>
      <c r="U363" s="145"/>
      <c r="V363" s="145"/>
      <c r="W363" s="145"/>
      <c r="X363" s="53"/>
      <c r="Y363" s="74"/>
      <c r="Z363" s="145"/>
      <c r="AA363" s="145"/>
      <c r="AB363" s="145"/>
      <c r="AC363" s="146"/>
      <c r="AD363" s="145"/>
      <c r="AE363" s="145"/>
      <c r="AF363" s="145"/>
      <c r="AG363" s="145"/>
      <c r="AH363" s="146"/>
      <c r="AI363" s="145"/>
      <c r="AJ363" s="145"/>
      <c r="AK363" s="145"/>
      <c r="AL363" s="145"/>
      <c r="AM363" s="145"/>
      <c r="AN363" s="145"/>
      <c r="AO363" s="145"/>
      <c r="AP363" s="74"/>
      <c r="AQ363" s="74"/>
      <c r="AR363" s="74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</row>
    <row r="364" spans="1:85" ht="15.75" customHeight="1" x14ac:dyDescent="0.45">
      <c r="A364" s="22"/>
      <c r="B364" s="12"/>
      <c r="C364" s="12"/>
      <c r="D364" s="155"/>
      <c r="E364" s="22"/>
      <c r="F364" s="22"/>
      <c r="G364" s="12"/>
      <c r="H364" s="22"/>
      <c r="I364" s="22"/>
      <c r="J364" s="22"/>
      <c r="K364" s="22"/>
      <c r="L364" s="22"/>
      <c r="M364" s="22"/>
      <c r="N364" s="22"/>
      <c r="O364" s="145"/>
      <c r="P364" s="145"/>
      <c r="Q364" s="145"/>
      <c r="R364" s="145"/>
      <c r="S364" s="22"/>
      <c r="T364" s="145"/>
      <c r="U364" s="145"/>
      <c r="V364" s="145"/>
      <c r="W364" s="145"/>
      <c r="X364" s="53"/>
      <c r="Y364" s="74"/>
      <c r="Z364" s="145"/>
      <c r="AA364" s="145"/>
      <c r="AB364" s="145"/>
      <c r="AC364" s="146"/>
      <c r="AD364" s="145"/>
      <c r="AE364" s="145"/>
      <c r="AF364" s="145"/>
      <c r="AG364" s="145"/>
      <c r="AH364" s="146"/>
      <c r="AI364" s="145"/>
      <c r="AJ364" s="145"/>
      <c r="AK364" s="145"/>
      <c r="AL364" s="145"/>
      <c r="AM364" s="145"/>
      <c r="AN364" s="145"/>
      <c r="AO364" s="145"/>
      <c r="AP364" s="74"/>
      <c r="AQ364" s="74"/>
      <c r="AR364" s="74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</row>
    <row r="365" spans="1:85" ht="15.75" customHeight="1" x14ac:dyDescent="0.45">
      <c r="A365" s="22"/>
      <c r="B365" s="12"/>
      <c r="C365" s="12"/>
      <c r="D365" s="155"/>
      <c r="E365" s="22"/>
      <c r="F365" s="22"/>
      <c r="G365" s="12"/>
      <c r="H365" s="22"/>
      <c r="I365" s="22"/>
      <c r="J365" s="22"/>
      <c r="K365" s="22"/>
      <c r="L365" s="22"/>
      <c r="M365" s="22"/>
      <c r="N365" s="22"/>
      <c r="O365" s="145"/>
      <c r="P365" s="145"/>
      <c r="Q365" s="145"/>
      <c r="R365" s="145"/>
      <c r="S365" s="22"/>
      <c r="T365" s="145"/>
      <c r="U365" s="145"/>
      <c r="V365" s="145"/>
      <c r="W365" s="145"/>
      <c r="X365" s="53"/>
      <c r="Y365" s="74"/>
      <c r="Z365" s="145"/>
      <c r="AA365" s="145"/>
      <c r="AB365" s="145"/>
      <c r="AC365" s="146"/>
      <c r="AD365" s="145"/>
      <c r="AE365" s="145"/>
      <c r="AF365" s="145"/>
      <c r="AG365" s="145"/>
      <c r="AH365" s="146"/>
      <c r="AI365" s="145"/>
      <c r="AJ365" s="145"/>
      <c r="AK365" s="145"/>
      <c r="AL365" s="145"/>
      <c r="AM365" s="145"/>
      <c r="AN365" s="145"/>
      <c r="AO365" s="145"/>
      <c r="AP365" s="74"/>
      <c r="AQ365" s="74"/>
      <c r="AR365" s="74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</row>
    <row r="366" spans="1:85" ht="15.75" customHeight="1" x14ac:dyDescent="0.45">
      <c r="A366" s="22"/>
      <c r="B366" s="12"/>
      <c r="C366" s="12"/>
      <c r="D366" s="155"/>
      <c r="E366" s="22"/>
      <c r="F366" s="22"/>
      <c r="G366" s="12"/>
      <c r="H366" s="22"/>
      <c r="I366" s="22"/>
      <c r="J366" s="22"/>
      <c r="K366" s="22"/>
      <c r="L366" s="22"/>
      <c r="M366" s="22"/>
      <c r="N366" s="22"/>
      <c r="O366" s="145"/>
      <c r="P366" s="145"/>
      <c r="Q366" s="145"/>
      <c r="R366" s="145"/>
      <c r="S366" s="22"/>
      <c r="T366" s="145"/>
      <c r="U366" s="145"/>
      <c r="V366" s="145"/>
      <c r="W366" s="145"/>
      <c r="X366" s="53"/>
      <c r="Y366" s="74"/>
      <c r="Z366" s="145"/>
      <c r="AA366" s="145"/>
      <c r="AB366" s="145"/>
      <c r="AC366" s="146"/>
      <c r="AD366" s="145"/>
      <c r="AE366" s="145"/>
      <c r="AF366" s="145"/>
      <c r="AG366" s="145"/>
      <c r="AH366" s="146"/>
      <c r="AI366" s="145"/>
      <c r="AJ366" s="145"/>
      <c r="AK366" s="145"/>
      <c r="AL366" s="145"/>
      <c r="AM366" s="145"/>
      <c r="AN366" s="145"/>
      <c r="AO366" s="145"/>
      <c r="AP366" s="74"/>
      <c r="AQ366" s="74"/>
      <c r="AR366" s="74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</row>
    <row r="367" spans="1:85" ht="15.75" customHeight="1" x14ac:dyDescent="0.45">
      <c r="A367" s="22"/>
      <c r="B367" s="12"/>
      <c r="C367" s="12"/>
      <c r="D367" s="155"/>
      <c r="E367" s="22"/>
      <c r="F367" s="22"/>
      <c r="G367" s="12"/>
      <c r="H367" s="22"/>
      <c r="I367" s="22"/>
      <c r="J367" s="22"/>
      <c r="K367" s="22"/>
      <c r="L367" s="22"/>
      <c r="M367" s="22"/>
      <c r="N367" s="22"/>
      <c r="O367" s="145"/>
      <c r="P367" s="145"/>
      <c r="Q367" s="145"/>
      <c r="R367" s="145"/>
      <c r="S367" s="22"/>
      <c r="T367" s="145"/>
      <c r="U367" s="145"/>
      <c r="V367" s="145"/>
      <c r="W367" s="145"/>
      <c r="X367" s="53"/>
      <c r="Y367" s="74"/>
      <c r="Z367" s="145"/>
      <c r="AA367" s="145"/>
      <c r="AB367" s="145"/>
      <c r="AC367" s="146"/>
      <c r="AD367" s="145"/>
      <c r="AE367" s="145"/>
      <c r="AF367" s="145"/>
      <c r="AG367" s="145"/>
      <c r="AH367" s="146"/>
      <c r="AI367" s="145"/>
      <c r="AJ367" s="145"/>
      <c r="AK367" s="145"/>
      <c r="AL367" s="145"/>
      <c r="AM367" s="145"/>
      <c r="AN367" s="145"/>
      <c r="AO367" s="145"/>
      <c r="AP367" s="74"/>
      <c r="AQ367" s="74"/>
      <c r="AR367" s="74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</row>
    <row r="368" spans="1:85" ht="15.75" customHeight="1" x14ac:dyDescent="0.45">
      <c r="A368" s="22"/>
      <c r="B368" s="12"/>
      <c r="C368" s="12"/>
      <c r="D368" s="155"/>
      <c r="E368" s="22"/>
      <c r="F368" s="22"/>
      <c r="G368" s="12"/>
      <c r="H368" s="22"/>
      <c r="I368" s="22"/>
      <c r="J368" s="22"/>
      <c r="K368" s="22"/>
      <c r="L368" s="22"/>
      <c r="M368" s="22"/>
      <c r="N368" s="22"/>
      <c r="O368" s="145"/>
      <c r="P368" s="145"/>
      <c r="Q368" s="145"/>
      <c r="R368" s="145"/>
      <c r="S368" s="22"/>
      <c r="T368" s="145"/>
      <c r="U368" s="145"/>
      <c r="V368" s="145"/>
      <c r="W368" s="145"/>
      <c r="X368" s="53"/>
      <c r="Y368" s="74"/>
      <c r="Z368" s="145"/>
      <c r="AA368" s="145"/>
      <c r="AB368" s="145"/>
      <c r="AC368" s="146"/>
      <c r="AD368" s="145"/>
      <c r="AE368" s="145"/>
      <c r="AF368" s="145"/>
      <c r="AG368" s="145"/>
      <c r="AH368" s="146"/>
      <c r="AI368" s="145"/>
      <c r="AJ368" s="145"/>
      <c r="AK368" s="145"/>
      <c r="AL368" s="145"/>
      <c r="AM368" s="145"/>
      <c r="AN368" s="145"/>
      <c r="AO368" s="145"/>
      <c r="AP368" s="74"/>
      <c r="AQ368" s="74"/>
      <c r="AR368" s="74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</row>
    <row r="369" spans="1:85" ht="15.75" customHeight="1" x14ac:dyDescent="0.45">
      <c r="A369" s="22"/>
      <c r="B369" s="12"/>
      <c r="C369" s="12"/>
      <c r="D369" s="155"/>
      <c r="E369" s="22"/>
      <c r="F369" s="22"/>
      <c r="G369" s="12"/>
      <c r="H369" s="22"/>
      <c r="I369" s="22"/>
      <c r="J369" s="22"/>
      <c r="K369" s="22"/>
      <c r="L369" s="22"/>
      <c r="M369" s="22"/>
      <c r="N369" s="22"/>
      <c r="O369" s="145"/>
      <c r="P369" s="145"/>
      <c r="Q369" s="145"/>
      <c r="R369" s="145"/>
      <c r="S369" s="22"/>
      <c r="T369" s="145"/>
      <c r="U369" s="145"/>
      <c r="V369" s="145"/>
      <c r="W369" s="145"/>
      <c r="X369" s="53"/>
      <c r="Y369" s="74"/>
      <c r="Z369" s="145"/>
      <c r="AA369" s="145"/>
      <c r="AB369" s="145"/>
      <c r="AC369" s="146"/>
      <c r="AD369" s="145"/>
      <c r="AE369" s="145"/>
      <c r="AF369" s="145"/>
      <c r="AG369" s="145"/>
      <c r="AH369" s="146"/>
      <c r="AI369" s="145"/>
      <c r="AJ369" s="145"/>
      <c r="AK369" s="145"/>
      <c r="AL369" s="145"/>
      <c r="AM369" s="145"/>
      <c r="AN369" s="145"/>
      <c r="AO369" s="145"/>
      <c r="AP369" s="74"/>
      <c r="AQ369" s="74"/>
      <c r="AR369" s="74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</row>
    <row r="370" spans="1:85" ht="15.75" customHeight="1" x14ac:dyDescent="0.45">
      <c r="A370" s="22"/>
      <c r="B370" s="12"/>
      <c r="C370" s="12"/>
      <c r="D370" s="155"/>
      <c r="E370" s="22"/>
      <c r="F370" s="22"/>
      <c r="G370" s="12"/>
      <c r="H370" s="22"/>
      <c r="I370" s="22"/>
      <c r="J370" s="22"/>
      <c r="K370" s="22"/>
      <c r="L370" s="22"/>
      <c r="M370" s="22"/>
      <c r="N370" s="22"/>
      <c r="O370" s="145"/>
      <c r="P370" s="145"/>
      <c r="Q370" s="145"/>
      <c r="R370" s="145"/>
      <c r="S370" s="22"/>
      <c r="T370" s="145"/>
      <c r="U370" s="145"/>
      <c r="V370" s="145"/>
      <c r="W370" s="145"/>
      <c r="X370" s="53"/>
      <c r="Y370" s="74"/>
      <c r="Z370" s="145"/>
      <c r="AA370" s="145"/>
      <c r="AB370" s="145"/>
      <c r="AC370" s="146"/>
      <c r="AD370" s="145"/>
      <c r="AE370" s="145"/>
      <c r="AF370" s="145"/>
      <c r="AG370" s="145"/>
      <c r="AH370" s="146"/>
      <c r="AI370" s="145"/>
      <c r="AJ370" s="145"/>
      <c r="AK370" s="145"/>
      <c r="AL370" s="145"/>
      <c r="AM370" s="145"/>
      <c r="AN370" s="145"/>
      <c r="AO370" s="145"/>
      <c r="AP370" s="74"/>
      <c r="AQ370" s="74"/>
      <c r="AR370" s="74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</row>
    <row r="371" spans="1:85" ht="15.75" customHeight="1" x14ac:dyDescent="0.45">
      <c r="A371" s="22"/>
      <c r="B371" s="12"/>
      <c r="C371" s="12"/>
      <c r="D371" s="155"/>
      <c r="E371" s="22"/>
      <c r="F371" s="22"/>
      <c r="G371" s="12"/>
      <c r="H371" s="22"/>
      <c r="I371" s="22"/>
      <c r="J371" s="22"/>
      <c r="K371" s="22"/>
      <c r="L371" s="22"/>
      <c r="M371" s="22"/>
      <c r="N371" s="22"/>
      <c r="O371" s="145"/>
      <c r="P371" s="145"/>
      <c r="Q371" s="145"/>
      <c r="R371" s="145"/>
      <c r="S371" s="22"/>
      <c r="T371" s="145"/>
      <c r="U371" s="145"/>
      <c r="V371" s="145"/>
      <c r="W371" s="145"/>
      <c r="X371" s="53"/>
      <c r="Y371" s="74"/>
      <c r="Z371" s="145"/>
      <c r="AA371" s="145"/>
      <c r="AB371" s="145"/>
      <c r="AC371" s="146"/>
      <c r="AD371" s="145"/>
      <c r="AE371" s="145"/>
      <c r="AF371" s="145"/>
      <c r="AG371" s="145"/>
      <c r="AH371" s="146"/>
      <c r="AI371" s="145"/>
      <c r="AJ371" s="145"/>
      <c r="AK371" s="145"/>
      <c r="AL371" s="145"/>
      <c r="AM371" s="145"/>
      <c r="AN371" s="145"/>
      <c r="AO371" s="145"/>
      <c r="AP371" s="74"/>
      <c r="AQ371" s="74"/>
      <c r="AR371" s="74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</row>
    <row r="372" spans="1:85" ht="15.75" customHeight="1" x14ac:dyDescent="0.45">
      <c r="A372" s="22"/>
      <c r="B372" s="12"/>
      <c r="C372" s="12"/>
      <c r="D372" s="155"/>
      <c r="E372" s="22"/>
      <c r="F372" s="22"/>
      <c r="G372" s="12"/>
      <c r="H372" s="22"/>
      <c r="I372" s="22"/>
      <c r="J372" s="22"/>
      <c r="K372" s="22"/>
      <c r="L372" s="22"/>
      <c r="M372" s="22"/>
      <c r="N372" s="22"/>
      <c r="O372" s="145"/>
      <c r="P372" s="145"/>
      <c r="Q372" s="145"/>
      <c r="R372" s="145"/>
      <c r="S372" s="22"/>
      <c r="T372" s="145"/>
      <c r="U372" s="145"/>
      <c r="V372" s="145"/>
      <c r="W372" s="145"/>
      <c r="X372" s="53"/>
      <c r="Y372" s="74"/>
      <c r="Z372" s="145"/>
      <c r="AA372" s="145"/>
      <c r="AB372" s="145"/>
      <c r="AC372" s="146"/>
      <c r="AD372" s="145"/>
      <c r="AE372" s="145"/>
      <c r="AF372" s="145"/>
      <c r="AG372" s="145"/>
      <c r="AH372" s="146"/>
      <c r="AI372" s="145"/>
      <c r="AJ372" s="145"/>
      <c r="AK372" s="145"/>
      <c r="AL372" s="145"/>
      <c r="AM372" s="145"/>
      <c r="AN372" s="145"/>
      <c r="AO372" s="145"/>
      <c r="AP372" s="74"/>
      <c r="AQ372" s="74"/>
      <c r="AR372" s="74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</row>
    <row r="373" spans="1:85" ht="15.75" customHeight="1" x14ac:dyDescent="0.45">
      <c r="A373" s="22"/>
      <c r="B373" s="12"/>
      <c r="C373" s="12"/>
      <c r="D373" s="155"/>
      <c r="E373" s="22"/>
      <c r="F373" s="22"/>
      <c r="G373" s="12"/>
      <c r="H373" s="22"/>
      <c r="I373" s="22"/>
      <c r="J373" s="22"/>
      <c r="K373" s="22"/>
      <c r="L373" s="22"/>
      <c r="M373" s="22"/>
      <c r="N373" s="22"/>
      <c r="O373" s="145"/>
      <c r="P373" s="145"/>
      <c r="Q373" s="145"/>
      <c r="R373" s="145"/>
      <c r="S373" s="22"/>
      <c r="T373" s="145"/>
      <c r="U373" s="145"/>
      <c r="V373" s="145"/>
      <c r="W373" s="145"/>
      <c r="X373" s="53"/>
      <c r="Y373" s="74"/>
      <c r="Z373" s="145"/>
      <c r="AA373" s="145"/>
      <c r="AB373" s="145"/>
      <c r="AC373" s="146"/>
      <c r="AD373" s="145"/>
      <c r="AE373" s="145"/>
      <c r="AF373" s="145"/>
      <c r="AG373" s="145"/>
      <c r="AH373" s="146"/>
      <c r="AI373" s="145"/>
      <c r="AJ373" s="145"/>
      <c r="AK373" s="145"/>
      <c r="AL373" s="145"/>
      <c r="AM373" s="145"/>
      <c r="AN373" s="145"/>
      <c r="AO373" s="145"/>
      <c r="AP373" s="74"/>
      <c r="AQ373" s="74"/>
      <c r="AR373" s="74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</row>
    <row r="374" spans="1:85" ht="15.75" customHeight="1" x14ac:dyDescent="0.45">
      <c r="A374" s="22"/>
      <c r="B374" s="12"/>
      <c r="C374" s="12"/>
      <c r="D374" s="155"/>
      <c r="E374" s="22"/>
      <c r="F374" s="22"/>
      <c r="G374" s="12"/>
      <c r="H374" s="22"/>
      <c r="I374" s="22"/>
      <c r="J374" s="22"/>
      <c r="K374" s="22"/>
      <c r="L374" s="22"/>
      <c r="M374" s="22"/>
      <c r="N374" s="22"/>
      <c r="O374" s="145"/>
      <c r="P374" s="145"/>
      <c r="Q374" s="145"/>
      <c r="R374" s="145"/>
      <c r="S374" s="22"/>
      <c r="T374" s="145"/>
      <c r="U374" s="145"/>
      <c r="V374" s="145"/>
      <c r="W374" s="145"/>
      <c r="X374" s="53"/>
      <c r="Y374" s="74"/>
      <c r="Z374" s="145"/>
      <c r="AA374" s="145"/>
      <c r="AB374" s="145"/>
      <c r="AC374" s="146"/>
      <c r="AD374" s="145"/>
      <c r="AE374" s="145"/>
      <c r="AF374" s="145"/>
      <c r="AG374" s="145"/>
      <c r="AH374" s="146"/>
      <c r="AI374" s="145"/>
      <c r="AJ374" s="145"/>
      <c r="AK374" s="145"/>
      <c r="AL374" s="145"/>
      <c r="AM374" s="145"/>
      <c r="AN374" s="145"/>
      <c r="AO374" s="145"/>
      <c r="AP374" s="74"/>
      <c r="AQ374" s="74"/>
      <c r="AR374" s="74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</row>
    <row r="375" spans="1:85" ht="15.75" customHeight="1" x14ac:dyDescent="0.45">
      <c r="A375" s="22"/>
      <c r="B375" s="12"/>
      <c r="C375" s="12"/>
      <c r="D375" s="155"/>
      <c r="E375" s="22"/>
      <c r="F375" s="22"/>
      <c r="G375" s="12"/>
      <c r="H375" s="22"/>
      <c r="I375" s="22"/>
      <c r="J375" s="22"/>
      <c r="K375" s="22"/>
      <c r="L375" s="22"/>
      <c r="M375" s="22"/>
      <c r="N375" s="22"/>
      <c r="O375" s="145"/>
      <c r="P375" s="145"/>
      <c r="Q375" s="145"/>
      <c r="R375" s="145"/>
      <c r="S375" s="22"/>
      <c r="T375" s="145"/>
      <c r="U375" s="145"/>
      <c r="V375" s="145"/>
      <c r="W375" s="145"/>
      <c r="X375" s="53"/>
      <c r="Y375" s="74"/>
      <c r="Z375" s="145"/>
      <c r="AA375" s="145"/>
      <c r="AB375" s="145"/>
      <c r="AC375" s="146"/>
      <c r="AD375" s="145"/>
      <c r="AE375" s="145"/>
      <c r="AF375" s="145"/>
      <c r="AG375" s="145"/>
      <c r="AH375" s="146"/>
      <c r="AI375" s="145"/>
      <c r="AJ375" s="145"/>
      <c r="AK375" s="145"/>
      <c r="AL375" s="145"/>
      <c r="AM375" s="145"/>
      <c r="AN375" s="145"/>
      <c r="AO375" s="145"/>
      <c r="AP375" s="74"/>
      <c r="AQ375" s="74"/>
      <c r="AR375" s="74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</row>
    <row r="376" spans="1:85" ht="15.75" customHeight="1" x14ac:dyDescent="0.45">
      <c r="A376" s="22"/>
      <c r="B376" s="12"/>
      <c r="C376" s="12"/>
      <c r="D376" s="155"/>
      <c r="E376" s="22"/>
      <c r="F376" s="22"/>
      <c r="G376" s="12"/>
      <c r="H376" s="22"/>
      <c r="I376" s="22"/>
      <c r="J376" s="22"/>
      <c r="K376" s="22"/>
      <c r="L376" s="22"/>
      <c r="M376" s="22"/>
      <c r="N376" s="22"/>
      <c r="O376" s="145"/>
      <c r="P376" s="145"/>
      <c r="Q376" s="145"/>
      <c r="R376" s="145"/>
      <c r="S376" s="22"/>
      <c r="T376" s="145"/>
      <c r="U376" s="145"/>
      <c r="V376" s="145"/>
      <c r="W376" s="145"/>
      <c r="X376" s="53"/>
      <c r="Y376" s="74"/>
      <c r="Z376" s="145"/>
      <c r="AA376" s="145"/>
      <c r="AB376" s="145"/>
      <c r="AC376" s="146"/>
      <c r="AD376" s="145"/>
      <c r="AE376" s="145"/>
      <c r="AF376" s="145"/>
      <c r="AG376" s="145"/>
      <c r="AH376" s="146"/>
      <c r="AI376" s="145"/>
      <c r="AJ376" s="145"/>
      <c r="AK376" s="145"/>
      <c r="AL376" s="145"/>
      <c r="AM376" s="145"/>
      <c r="AN376" s="145"/>
      <c r="AO376" s="145"/>
      <c r="AP376" s="74"/>
      <c r="AQ376" s="74"/>
      <c r="AR376" s="74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</row>
    <row r="377" spans="1:85" ht="15.75" customHeight="1" x14ac:dyDescent="0.45">
      <c r="A377" s="22"/>
      <c r="B377" s="12"/>
      <c r="C377" s="12"/>
      <c r="D377" s="155"/>
      <c r="E377" s="22"/>
      <c r="F377" s="22"/>
      <c r="G377" s="12"/>
      <c r="H377" s="22"/>
      <c r="I377" s="22"/>
      <c r="J377" s="22"/>
      <c r="K377" s="22"/>
      <c r="L377" s="22"/>
      <c r="M377" s="22"/>
      <c r="N377" s="22"/>
      <c r="O377" s="145"/>
      <c r="P377" s="145"/>
      <c r="Q377" s="145"/>
      <c r="R377" s="145"/>
      <c r="S377" s="22"/>
      <c r="T377" s="145"/>
      <c r="U377" s="145"/>
      <c r="V377" s="145"/>
      <c r="W377" s="145"/>
      <c r="X377" s="53"/>
      <c r="Y377" s="74"/>
      <c r="Z377" s="145"/>
      <c r="AA377" s="145"/>
      <c r="AB377" s="145"/>
      <c r="AC377" s="146"/>
      <c r="AD377" s="145"/>
      <c r="AE377" s="145"/>
      <c r="AF377" s="145"/>
      <c r="AG377" s="145"/>
      <c r="AH377" s="146"/>
      <c r="AI377" s="145"/>
      <c r="AJ377" s="145"/>
      <c r="AK377" s="145"/>
      <c r="AL377" s="145"/>
      <c r="AM377" s="145"/>
      <c r="AN377" s="145"/>
      <c r="AO377" s="145"/>
      <c r="AP377" s="74"/>
      <c r="AQ377" s="74"/>
      <c r="AR377" s="74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</row>
    <row r="378" spans="1:85" ht="15.75" customHeight="1" x14ac:dyDescent="0.45">
      <c r="A378" s="22"/>
      <c r="B378" s="12"/>
      <c r="C378" s="12"/>
      <c r="D378" s="155"/>
      <c r="E378" s="22"/>
      <c r="F378" s="22"/>
      <c r="G378" s="12"/>
      <c r="H378" s="22"/>
      <c r="I378" s="22"/>
      <c r="J378" s="22"/>
      <c r="K378" s="22"/>
      <c r="L378" s="22"/>
      <c r="M378" s="22"/>
      <c r="N378" s="22"/>
      <c r="O378" s="145"/>
      <c r="P378" s="145"/>
      <c r="Q378" s="145"/>
      <c r="R378" s="145"/>
      <c r="S378" s="22"/>
      <c r="T378" s="145"/>
      <c r="U378" s="145"/>
      <c r="V378" s="145"/>
      <c r="W378" s="145"/>
      <c r="X378" s="53"/>
      <c r="Y378" s="74"/>
      <c r="Z378" s="145"/>
      <c r="AA378" s="145"/>
      <c r="AB378" s="145"/>
      <c r="AC378" s="146"/>
      <c r="AD378" s="145"/>
      <c r="AE378" s="145"/>
      <c r="AF378" s="145"/>
      <c r="AG378" s="145"/>
      <c r="AH378" s="146"/>
      <c r="AI378" s="145"/>
      <c r="AJ378" s="145"/>
      <c r="AK378" s="145"/>
      <c r="AL378" s="145"/>
      <c r="AM378" s="145"/>
      <c r="AN378" s="145"/>
      <c r="AO378" s="145"/>
      <c r="AP378" s="74"/>
      <c r="AQ378" s="74"/>
      <c r="AR378" s="74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</row>
    <row r="379" spans="1:85" ht="15.75" customHeight="1" x14ac:dyDescent="0.45">
      <c r="A379" s="22"/>
      <c r="B379" s="12"/>
      <c r="C379" s="12"/>
      <c r="D379" s="155"/>
      <c r="E379" s="22"/>
      <c r="F379" s="22"/>
      <c r="G379" s="12"/>
      <c r="H379" s="22"/>
      <c r="I379" s="22"/>
      <c r="J379" s="22"/>
      <c r="K379" s="22"/>
      <c r="L379" s="22"/>
      <c r="M379" s="22"/>
      <c r="N379" s="22"/>
      <c r="O379" s="145"/>
      <c r="P379" s="145"/>
      <c r="Q379" s="145"/>
      <c r="R379" s="145"/>
      <c r="S379" s="22"/>
      <c r="T379" s="145"/>
      <c r="U379" s="145"/>
      <c r="V379" s="145"/>
      <c r="W379" s="145"/>
      <c r="X379" s="53"/>
      <c r="Y379" s="74"/>
      <c r="Z379" s="145"/>
      <c r="AA379" s="145"/>
      <c r="AB379" s="145"/>
      <c r="AC379" s="146"/>
      <c r="AD379" s="145"/>
      <c r="AE379" s="145"/>
      <c r="AF379" s="145"/>
      <c r="AG379" s="145"/>
      <c r="AH379" s="146"/>
      <c r="AI379" s="145"/>
      <c r="AJ379" s="145"/>
      <c r="AK379" s="145"/>
      <c r="AL379" s="145"/>
      <c r="AM379" s="145"/>
      <c r="AN379" s="145"/>
      <c r="AO379" s="145"/>
      <c r="AP379" s="74"/>
      <c r="AQ379" s="74"/>
      <c r="AR379" s="74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</row>
    <row r="380" spans="1:85" ht="15.75" customHeight="1" x14ac:dyDescent="0.45">
      <c r="A380" s="22"/>
      <c r="B380" s="12"/>
      <c r="C380" s="12"/>
      <c r="D380" s="155"/>
      <c r="E380" s="22"/>
      <c r="F380" s="22"/>
      <c r="G380" s="12"/>
      <c r="H380" s="22"/>
      <c r="I380" s="22"/>
      <c r="J380" s="22"/>
      <c r="K380" s="22"/>
      <c r="L380" s="22"/>
      <c r="M380" s="22"/>
      <c r="N380" s="22"/>
      <c r="O380" s="145"/>
      <c r="P380" s="145"/>
      <c r="Q380" s="145"/>
      <c r="R380" s="145"/>
      <c r="S380" s="22"/>
      <c r="T380" s="145"/>
      <c r="U380" s="145"/>
      <c r="V380" s="145"/>
      <c r="W380" s="145"/>
      <c r="X380" s="53"/>
      <c r="Y380" s="74"/>
      <c r="Z380" s="145"/>
      <c r="AA380" s="145"/>
      <c r="AB380" s="145"/>
      <c r="AC380" s="146"/>
      <c r="AD380" s="145"/>
      <c r="AE380" s="145"/>
      <c r="AF380" s="145"/>
      <c r="AG380" s="145"/>
      <c r="AH380" s="146"/>
      <c r="AI380" s="145"/>
      <c r="AJ380" s="145"/>
      <c r="AK380" s="145"/>
      <c r="AL380" s="145"/>
      <c r="AM380" s="145"/>
      <c r="AN380" s="145"/>
      <c r="AO380" s="145"/>
      <c r="AP380" s="74"/>
      <c r="AQ380" s="74"/>
      <c r="AR380" s="74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</row>
    <row r="381" spans="1:85" ht="15.75" customHeight="1" x14ac:dyDescent="0.45">
      <c r="A381" s="22"/>
      <c r="B381" s="12"/>
      <c r="C381" s="12"/>
      <c r="D381" s="155"/>
      <c r="E381" s="22"/>
      <c r="F381" s="22"/>
      <c r="G381" s="12"/>
      <c r="H381" s="22"/>
      <c r="I381" s="22"/>
      <c r="J381" s="22"/>
      <c r="K381" s="22"/>
      <c r="L381" s="22"/>
      <c r="M381" s="22"/>
      <c r="N381" s="22"/>
      <c r="O381" s="145"/>
      <c r="P381" s="145"/>
      <c r="Q381" s="145"/>
      <c r="R381" s="145"/>
      <c r="S381" s="22"/>
      <c r="T381" s="145"/>
      <c r="U381" s="145"/>
      <c r="V381" s="145"/>
      <c r="W381" s="145"/>
      <c r="X381" s="53"/>
      <c r="Y381" s="74"/>
      <c r="Z381" s="145"/>
      <c r="AA381" s="145"/>
      <c r="AB381" s="145"/>
      <c r="AC381" s="146"/>
      <c r="AD381" s="145"/>
      <c r="AE381" s="145"/>
      <c r="AF381" s="145"/>
      <c r="AG381" s="145"/>
      <c r="AH381" s="146"/>
      <c r="AI381" s="145"/>
      <c r="AJ381" s="145"/>
      <c r="AK381" s="145"/>
      <c r="AL381" s="145"/>
      <c r="AM381" s="145"/>
      <c r="AN381" s="145"/>
      <c r="AO381" s="145"/>
      <c r="AP381" s="74"/>
      <c r="AQ381" s="74"/>
      <c r="AR381" s="74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</row>
    <row r="382" spans="1:85" ht="15.75" customHeight="1" x14ac:dyDescent="0.45">
      <c r="A382" s="22"/>
      <c r="B382" s="12"/>
      <c r="C382" s="12"/>
      <c r="D382" s="155"/>
      <c r="E382" s="22"/>
      <c r="F382" s="22"/>
      <c r="G382" s="12"/>
      <c r="H382" s="22"/>
      <c r="I382" s="22"/>
      <c r="J382" s="22"/>
      <c r="K382" s="22"/>
      <c r="L382" s="22"/>
      <c r="M382" s="22"/>
      <c r="N382" s="22"/>
      <c r="O382" s="145"/>
      <c r="P382" s="145"/>
      <c r="Q382" s="145"/>
      <c r="R382" s="145"/>
      <c r="S382" s="22"/>
      <c r="T382" s="145"/>
      <c r="U382" s="145"/>
      <c r="V382" s="145"/>
      <c r="W382" s="145"/>
      <c r="X382" s="53"/>
      <c r="Y382" s="74"/>
      <c r="Z382" s="145"/>
      <c r="AA382" s="145"/>
      <c r="AB382" s="145"/>
      <c r="AC382" s="146"/>
      <c r="AD382" s="145"/>
      <c r="AE382" s="145"/>
      <c r="AF382" s="145"/>
      <c r="AG382" s="145"/>
      <c r="AH382" s="146"/>
      <c r="AI382" s="145"/>
      <c r="AJ382" s="145"/>
      <c r="AK382" s="145"/>
      <c r="AL382" s="145"/>
      <c r="AM382" s="145"/>
      <c r="AN382" s="145"/>
      <c r="AO382" s="145"/>
      <c r="AP382" s="74"/>
      <c r="AQ382" s="74"/>
      <c r="AR382" s="74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</row>
    <row r="383" spans="1:85" ht="15.75" customHeight="1" x14ac:dyDescent="0.45">
      <c r="A383" s="22"/>
      <c r="B383" s="12"/>
      <c r="C383" s="12"/>
      <c r="D383" s="155"/>
      <c r="E383" s="22"/>
      <c r="F383" s="22"/>
      <c r="G383" s="12"/>
      <c r="H383" s="22"/>
      <c r="I383" s="22"/>
      <c r="J383" s="22"/>
      <c r="K383" s="22"/>
      <c r="L383" s="22"/>
      <c r="M383" s="22"/>
      <c r="N383" s="22"/>
      <c r="O383" s="145"/>
      <c r="P383" s="145"/>
      <c r="Q383" s="145"/>
      <c r="R383" s="145"/>
      <c r="S383" s="22"/>
      <c r="T383" s="145"/>
      <c r="U383" s="145"/>
      <c r="V383" s="145"/>
      <c r="W383" s="145"/>
      <c r="X383" s="53"/>
      <c r="Y383" s="74"/>
      <c r="Z383" s="145"/>
      <c r="AA383" s="145"/>
      <c r="AB383" s="145"/>
      <c r="AC383" s="146"/>
      <c r="AD383" s="145"/>
      <c r="AE383" s="145"/>
      <c r="AF383" s="145"/>
      <c r="AG383" s="145"/>
      <c r="AH383" s="146"/>
      <c r="AI383" s="145"/>
      <c r="AJ383" s="145"/>
      <c r="AK383" s="145"/>
      <c r="AL383" s="145"/>
      <c r="AM383" s="145"/>
      <c r="AN383" s="145"/>
      <c r="AO383" s="145"/>
      <c r="AP383" s="74"/>
      <c r="AQ383" s="74"/>
      <c r="AR383" s="74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</row>
    <row r="384" spans="1:85" ht="15.75" customHeight="1" x14ac:dyDescent="0.45">
      <c r="A384" s="22"/>
      <c r="B384" s="12"/>
      <c r="C384" s="12"/>
      <c r="D384" s="155"/>
      <c r="E384" s="22"/>
      <c r="F384" s="22"/>
      <c r="G384" s="12"/>
      <c r="H384" s="22"/>
      <c r="I384" s="22"/>
      <c r="J384" s="22"/>
      <c r="K384" s="22"/>
      <c r="L384" s="22"/>
      <c r="M384" s="22"/>
      <c r="N384" s="22"/>
      <c r="O384" s="145"/>
      <c r="P384" s="145"/>
      <c r="Q384" s="145"/>
      <c r="R384" s="145"/>
      <c r="S384" s="22"/>
      <c r="T384" s="145"/>
      <c r="U384" s="145"/>
      <c r="V384" s="145"/>
      <c r="W384" s="145"/>
      <c r="X384" s="53"/>
      <c r="Y384" s="74"/>
      <c r="Z384" s="145"/>
      <c r="AA384" s="145"/>
      <c r="AB384" s="145"/>
      <c r="AC384" s="146"/>
      <c r="AD384" s="145"/>
      <c r="AE384" s="145"/>
      <c r="AF384" s="145"/>
      <c r="AG384" s="145"/>
      <c r="AH384" s="146"/>
      <c r="AI384" s="145"/>
      <c r="AJ384" s="145"/>
      <c r="AK384" s="145"/>
      <c r="AL384" s="145"/>
      <c r="AM384" s="145"/>
      <c r="AN384" s="145"/>
      <c r="AO384" s="145"/>
      <c r="AP384" s="74"/>
      <c r="AQ384" s="74"/>
      <c r="AR384" s="74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</row>
    <row r="385" spans="1:85" ht="15.75" customHeight="1" x14ac:dyDescent="0.45">
      <c r="A385" s="22"/>
      <c r="B385" s="12"/>
      <c r="C385" s="12"/>
      <c r="D385" s="155"/>
      <c r="E385" s="22"/>
      <c r="F385" s="22"/>
      <c r="G385" s="12"/>
      <c r="H385" s="22"/>
      <c r="I385" s="22"/>
      <c r="J385" s="22"/>
      <c r="K385" s="22"/>
      <c r="L385" s="22"/>
      <c r="M385" s="22"/>
      <c r="N385" s="22"/>
      <c r="O385" s="145"/>
      <c r="P385" s="145"/>
      <c r="Q385" s="145"/>
      <c r="R385" s="145"/>
      <c r="S385" s="22"/>
      <c r="T385" s="145"/>
      <c r="U385" s="145"/>
      <c r="V385" s="145"/>
      <c r="W385" s="145"/>
      <c r="X385" s="53"/>
      <c r="Y385" s="74"/>
      <c r="Z385" s="145"/>
      <c r="AA385" s="145"/>
      <c r="AB385" s="145"/>
      <c r="AC385" s="146"/>
      <c r="AD385" s="145"/>
      <c r="AE385" s="145"/>
      <c r="AF385" s="145"/>
      <c r="AG385" s="145"/>
      <c r="AH385" s="146"/>
      <c r="AI385" s="145"/>
      <c r="AJ385" s="145"/>
      <c r="AK385" s="145"/>
      <c r="AL385" s="145"/>
      <c r="AM385" s="145"/>
      <c r="AN385" s="145"/>
      <c r="AO385" s="145"/>
      <c r="AP385" s="74"/>
      <c r="AQ385" s="74"/>
      <c r="AR385" s="74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</row>
    <row r="386" spans="1:85" ht="15.75" customHeight="1" x14ac:dyDescent="0.45">
      <c r="A386" s="22"/>
      <c r="B386" s="12"/>
      <c r="C386" s="12"/>
      <c r="D386" s="155"/>
      <c r="E386" s="22"/>
      <c r="F386" s="22"/>
      <c r="G386" s="12"/>
      <c r="H386" s="22"/>
      <c r="I386" s="22"/>
      <c r="J386" s="22"/>
      <c r="K386" s="22"/>
      <c r="L386" s="22"/>
      <c r="M386" s="22"/>
      <c r="N386" s="22"/>
      <c r="O386" s="145"/>
      <c r="P386" s="145"/>
      <c r="Q386" s="145"/>
      <c r="R386" s="145"/>
      <c r="S386" s="22"/>
      <c r="T386" s="145"/>
      <c r="U386" s="145"/>
      <c r="V386" s="145"/>
      <c r="W386" s="145"/>
      <c r="X386" s="53"/>
      <c r="Y386" s="74"/>
      <c r="Z386" s="145"/>
      <c r="AA386" s="145"/>
      <c r="AB386" s="145"/>
      <c r="AC386" s="146"/>
      <c r="AD386" s="145"/>
      <c r="AE386" s="145"/>
      <c r="AF386" s="145"/>
      <c r="AG386" s="145"/>
      <c r="AH386" s="146"/>
      <c r="AI386" s="145"/>
      <c r="AJ386" s="145"/>
      <c r="AK386" s="145"/>
      <c r="AL386" s="145"/>
      <c r="AM386" s="145"/>
      <c r="AN386" s="145"/>
      <c r="AO386" s="145"/>
      <c r="AP386" s="74"/>
      <c r="AQ386" s="74"/>
      <c r="AR386" s="74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</row>
    <row r="387" spans="1:85" ht="15.75" customHeight="1" x14ac:dyDescent="0.45">
      <c r="A387" s="22"/>
      <c r="B387" s="12"/>
      <c r="C387" s="12"/>
      <c r="D387" s="155"/>
      <c r="E387" s="22"/>
      <c r="F387" s="22"/>
      <c r="G387" s="12"/>
      <c r="H387" s="22"/>
      <c r="I387" s="22"/>
      <c r="J387" s="22"/>
      <c r="K387" s="22"/>
      <c r="L387" s="22"/>
      <c r="M387" s="22"/>
      <c r="N387" s="22"/>
      <c r="O387" s="145"/>
      <c r="P387" s="145"/>
      <c r="Q387" s="145"/>
      <c r="R387" s="145"/>
      <c r="S387" s="22"/>
      <c r="T387" s="145"/>
      <c r="U387" s="145"/>
      <c r="V387" s="145"/>
      <c r="W387" s="145"/>
      <c r="X387" s="53"/>
      <c r="Y387" s="74"/>
      <c r="Z387" s="145"/>
      <c r="AA387" s="145"/>
      <c r="AB387" s="145"/>
      <c r="AC387" s="146"/>
      <c r="AD387" s="145"/>
      <c r="AE387" s="145"/>
      <c r="AF387" s="145"/>
      <c r="AG387" s="145"/>
      <c r="AH387" s="146"/>
      <c r="AI387" s="145"/>
      <c r="AJ387" s="145"/>
      <c r="AK387" s="145"/>
      <c r="AL387" s="145"/>
      <c r="AM387" s="145"/>
      <c r="AN387" s="145"/>
      <c r="AO387" s="145"/>
      <c r="AP387" s="74"/>
      <c r="AQ387" s="74"/>
      <c r="AR387" s="74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</row>
    <row r="388" spans="1:85" ht="15.75" customHeight="1" x14ac:dyDescent="0.45">
      <c r="A388" s="22"/>
      <c r="B388" s="12"/>
      <c r="C388" s="12"/>
      <c r="D388" s="155"/>
      <c r="E388" s="22"/>
      <c r="F388" s="22"/>
      <c r="G388" s="12"/>
      <c r="H388" s="22"/>
      <c r="I388" s="22"/>
      <c r="J388" s="22"/>
      <c r="K388" s="22"/>
      <c r="L388" s="22"/>
      <c r="M388" s="22"/>
      <c r="N388" s="22"/>
      <c r="O388" s="145"/>
      <c r="P388" s="145"/>
      <c r="Q388" s="145"/>
      <c r="R388" s="145"/>
      <c r="S388" s="22"/>
      <c r="T388" s="145"/>
      <c r="U388" s="145"/>
      <c r="V388" s="145"/>
      <c r="W388" s="145"/>
      <c r="X388" s="53"/>
      <c r="Y388" s="74"/>
      <c r="Z388" s="145"/>
      <c r="AA388" s="145"/>
      <c r="AB388" s="145"/>
      <c r="AC388" s="146"/>
      <c r="AD388" s="145"/>
      <c r="AE388" s="145"/>
      <c r="AF388" s="145"/>
      <c r="AG388" s="145"/>
      <c r="AH388" s="146"/>
      <c r="AI388" s="145"/>
      <c r="AJ388" s="145"/>
      <c r="AK388" s="145"/>
      <c r="AL388" s="145"/>
      <c r="AM388" s="145"/>
      <c r="AN388" s="145"/>
      <c r="AO388" s="145"/>
      <c r="AP388" s="74"/>
      <c r="AQ388" s="74"/>
      <c r="AR388" s="74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</row>
    <row r="389" spans="1:85" ht="15.75" customHeight="1" x14ac:dyDescent="0.45">
      <c r="A389" s="22"/>
      <c r="B389" s="12"/>
      <c r="C389" s="12"/>
      <c r="D389" s="155"/>
      <c r="E389" s="22"/>
      <c r="F389" s="22"/>
      <c r="G389" s="12"/>
      <c r="H389" s="22"/>
      <c r="I389" s="22"/>
      <c r="J389" s="22"/>
      <c r="K389" s="22"/>
      <c r="L389" s="22"/>
      <c r="M389" s="22"/>
      <c r="N389" s="22"/>
      <c r="O389" s="145"/>
      <c r="P389" s="145"/>
      <c r="Q389" s="145"/>
      <c r="R389" s="145"/>
      <c r="S389" s="22"/>
      <c r="T389" s="145"/>
      <c r="U389" s="145"/>
      <c r="V389" s="145"/>
      <c r="W389" s="145"/>
      <c r="X389" s="53"/>
      <c r="Y389" s="74"/>
      <c r="Z389" s="145"/>
      <c r="AA389" s="145"/>
      <c r="AB389" s="145"/>
      <c r="AC389" s="146"/>
      <c r="AD389" s="145"/>
      <c r="AE389" s="145"/>
      <c r="AF389" s="145"/>
      <c r="AG389" s="145"/>
      <c r="AH389" s="146"/>
      <c r="AI389" s="145"/>
      <c r="AJ389" s="145"/>
      <c r="AK389" s="145"/>
      <c r="AL389" s="145"/>
      <c r="AM389" s="145"/>
      <c r="AN389" s="145"/>
      <c r="AO389" s="145"/>
      <c r="AP389" s="74"/>
      <c r="AQ389" s="74"/>
      <c r="AR389" s="74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</row>
    <row r="390" spans="1:85" ht="15.75" customHeight="1" x14ac:dyDescent="0.45">
      <c r="A390" s="22"/>
      <c r="B390" s="12"/>
      <c r="C390" s="12"/>
      <c r="D390" s="155"/>
      <c r="E390" s="22"/>
      <c r="F390" s="22"/>
      <c r="G390" s="12"/>
      <c r="H390" s="22"/>
      <c r="I390" s="22"/>
      <c r="J390" s="22"/>
      <c r="K390" s="22"/>
      <c r="L390" s="22"/>
      <c r="M390" s="22"/>
      <c r="N390" s="22"/>
      <c r="O390" s="145"/>
      <c r="P390" s="145"/>
      <c r="Q390" s="145"/>
      <c r="R390" s="145"/>
      <c r="S390" s="22"/>
      <c r="T390" s="145"/>
      <c r="U390" s="145"/>
      <c r="V390" s="145"/>
      <c r="W390" s="145"/>
      <c r="X390" s="53"/>
      <c r="Y390" s="74"/>
      <c r="Z390" s="145"/>
      <c r="AA390" s="145"/>
      <c r="AB390" s="145"/>
      <c r="AC390" s="146"/>
      <c r="AD390" s="145"/>
      <c r="AE390" s="145"/>
      <c r="AF390" s="145"/>
      <c r="AG390" s="145"/>
      <c r="AH390" s="146"/>
      <c r="AI390" s="145"/>
      <c r="AJ390" s="145"/>
      <c r="AK390" s="145"/>
      <c r="AL390" s="145"/>
      <c r="AM390" s="145"/>
      <c r="AN390" s="145"/>
      <c r="AO390" s="145"/>
      <c r="AP390" s="74"/>
      <c r="AQ390" s="74"/>
      <c r="AR390" s="74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</row>
    <row r="391" spans="1:85" ht="15.75" customHeight="1" x14ac:dyDescent="0.45">
      <c r="A391" s="22"/>
      <c r="B391" s="12"/>
      <c r="C391" s="12"/>
      <c r="D391" s="155"/>
      <c r="E391" s="22"/>
      <c r="F391" s="22"/>
      <c r="G391" s="12"/>
      <c r="H391" s="22"/>
      <c r="I391" s="22"/>
      <c r="J391" s="22"/>
      <c r="K391" s="22"/>
      <c r="L391" s="22"/>
      <c r="M391" s="22"/>
      <c r="N391" s="22"/>
      <c r="O391" s="145"/>
      <c r="P391" s="145"/>
      <c r="Q391" s="145"/>
      <c r="R391" s="145"/>
      <c r="S391" s="22"/>
      <c r="T391" s="145"/>
      <c r="U391" s="145"/>
      <c r="V391" s="145"/>
      <c r="W391" s="145"/>
      <c r="X391" s="53"/>
      <c r="Y391" s="74"/>
      <c r="Z391" s="145"/>
      <c r="AA391" s="145"/>
      <c r="AB391" s="145"/>
      <c r="AC391" s="146"/>
      <c r="AD391" s="145"/>
      <c r="AE391" s="145"/>
      <c r="AF391" s="145"/>
      <c r="AG391" s="145"/>
      <c r="AH391" s="146"/>
      <c r="AI391" s="145"/>
      <c r="AJ391" s="145"/>
      <c r="AK391" s="145"/>
      <c r="AL391" s="145"/>
      <c r="AM391" s="145"/>
      <c r="AN391" s="145"/>
      <c r="AO391" s="145"/>
      <c r="AP391" s="74"/>
      <c r="AQ391" s="74"/>
      <c r="AR391" s="74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</row>
    <row r="392" spans="1:85" ht="15.75" customHeight="1" x14ac:dyDescent="0.45">
      <c r="A392" s="22"/>
      <c r="B392" s="12"/>
      <c r="C392" s="12"/>
      <c r="D392" s="155"/>
      <c r="E392" s="22"/>
      <c r="F392" s="22"/>
      <c r="G392" s="12"/>
      <c r="H392" s="22"/>
      <c r="I392" s="22"/>
      <c r="J392" s="22"/>
      <c r="K392" s="22"/>
      <c r="L392" s="22"/>
      <c r="M392" s="22"/>
      <c r="N392" s="22"/>
      <c r="O392" s="145"/>
      <c r="P392" s="145"/>
      <c r="Q392" s="145"/>
      <c r="R392" s="145"/>
      <c r="S392" s="22"/>
      <c r="T392" s="145"/>
      <c r="U392" s="145"/>
      <c r="V392" s="145"/>
      <c r="W392" s="145"/>
      <c r="X392" s="53"/>
      <c r="Y392" s="74"/>
      <c r="Z392" s="145"/>
      <c r="AA392" s="145"/>
      <c r="AB392" s="145"/>
      <c r="AC392" s="146"/>
      <c r="AD392" s="145"/>
      <c r="AE392" s="145"/>
      <c r="AF392" s="145"/>
      <c r="AG392" s="145"/>
      <c r="AH392" s="146"/>
      <c r="AI392" s="145"/>
      <c r="AJ392" s="145"/>
      <c r="AK392" s="145"/>
      <c r="AL392" s="145"/>
      <c r="AM392" s="145"/>
      <c r="AN392" s="145"/>
      <c r="AO392" s="145"/>
      <c r="AP392" s="74"/>
      <c r="AQ392" s="74"/>
      <c r="AR392" s="74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</row>
    <row r="393" spans="1:85" ht="15.75" customHeight="1" x14ac:dyDescent="0.45">
      <c r="A393" s="22"/>
      <c r="B393" s="12"/>
      <c r="C393" s="12"/>
      <c r="D393" s="155"/>
      <c r="E393" s="22"/>
      <c r="F393" s="22"/>
      <c r="G393" s="12"/>
      <c r="H393" s="22"/>
      <c r="I393" s="22"/>
      <c r="J393" s="22"/>
      <c r="K393" s="22"/>
      <c r="L393" s="22"/>
      <c r="M393" s="22"/>
      <c r="N393" s="22"/>
      <c r="O393" s="145"/>
      <c r="P393" s="145"/>
      <c r="Q393" s="145"/>
      <c r="R393" s="145"/>
      <c r="S393" s="22"/>
      <c r="T393" s="145"/>
      <c r="U393" s="145"/>
      <c r="V393" s="145"/>
      <c r="W393" s="145"/>
      <c r="X393" s="53"/>
      <c r="Y393" s="74"/>
      <c r="Z393" s="145"/>
      <c r="AA393" s="145"/>
      <c r="AB393" s="145"/>
      <c r="AC393" s="146"/>
      <c r="AD393" s="145"/>
      <c r="AE393" s="145"/>
      <c r="AF393" s="145"/>
      <c r="AG393" s="145"/>
      <c r="AH393" s="146"/>
      <c r="AI393" s="145"/>
      <c r="AJ393" s="145"/>
      <c r="AK393" s="145"/>
      <c r="AL393" s="145"/>
      <c r="AM393" s="145"/>
      <c r="AN393" s="145"/>
      <c r="AO393" s="145"/>
      <c r="AP393" s="74"/>
      <c r="AQ393" s="74"/>
      <c r="AR393" s="74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</row>
    <row r="394" spans="1:85" ht="15.75" customHeight="1" x14ac:dyDescent="0.45">
      <c r="A394" s="22"/>
      <c r="B394" s="12"/>
      <c r="C394" s="12"/>
      <c r="D394" s="155"/>
      <c r="E394" s="22"/>
      <c r="F394" s="22"/>
      <c r="G394" s="12"/>
      <c r="H394" s="22"/>
      <c r="I394" s="22"/>
      <c r="J394" s="22"/>
      <c r="K394" s="22"/>
      <c r="L394" s="22"/>
      <c r="M394" s="22"/>
      <c r="N394" s="22"/>
      <c r="O394" s="145"/>
      <c r="P394" s="145"/>
      <c r="Q394" s="145"/>
      <c r="R394" s="145"/>
      <c r="S394" s="22"/>
      <c r="T394" s="145"/>
      <c r="U394" s="145"/>
      <c r="V394" s="145"/>
      <c r="W394" s="145"/>
      <c r="X394" s="53"/>
      <c r="Y394" s="74"/>
      <c r="Z394" s="145"/>
      <c r="AA394" s="145"/>
      <c r="AB394" s="145"/>
      <c r="AC394" s="146"/>
      <c r="AD394" s="145"/>
      <c r="AE394" s="145"/>
      <c r="AF394" s="145"/>
      <c r="AG394" s="145"/>
      <c r="AH394" s="146"/>
      <c r="AI394" s="145"/>
      <c r="AJ394" s="145"/>
      <c r="AK394" s="145"/>
      <c r="AL394" s="145"/>
      <c r="AM394" s="145"/>
      <c r="AN394" s="145"/>
      <c r="AO394" s="145"/>
      <c r="AP394" s="74"/>
      <c r="AQ394" s="74"/>
      <c r="AR394" s="74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</row>
    <row r="395" spans="1:85" ht="15.75" customHeight="1" x14ac:dyDescent="0.45">
      <c r="A395" s="22"/>
      <c r="B395" s="12"/>
      <c r="C395" s="12"/>
      <c r="D395" s="155"/>
      <c r="E395" s="22"/>
      <c r="F395" s="22"/>
      <c r="G395" s="12"/>
      <c r="H395" s="22"/>
      <c r="I395" s="22"/>
      <c r="J395" s="22"/>
      <c r="K395" s="22"/>
      <c r="L395" s="22"/>
      <c r="M395" s="22"/>
      <c r="N395" s="22"/>
      <c r="O395" s="145"/>
      <c r="P395" s="145"/>
      <c r="Q395" s="145"/>
      <c r="R395" s="145"/>
      <c r="S395" s="22"/>
      <c r="T395" s="145"/>
      <c r="U395" s="145"/>
      <c r="V395" s="145"/>
      <c r="W395" s="145"/>
      <c r="X395" s="53"/>
      <c r="Y395" s="74"/>
      <c r="Z395" s="145"/>
      <c r="AA395" s="145"/>
      <c r="AB395" s="145"/>
      <c r="AC395" s="146"/>
      <c r="AD395" s="145"/>
      <c r="AE395" s="145"/>
      <c r="AF395" s="145"/>
      <c r="AG395" s="145"/>
      <c r="AH395" s="146"/>
      <c r="AI395" s="145"/>
      <c r="AJ395" s="145"/>
      <c r="AK395" s="145"/>
      <c r="AL395" s="145"/>
      <c r="AM395" s="145"/>
      <c r="AN395" s="145"/>
      <c r="AO395" s="145"/>
      <c r="AP395" s="74"/>
      <c r="AQ395" s="74"/>
      <c r="AR395" s="74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</row>
    <row r="396" spans="1:85" ht="15.75" customHeight="1" x14ac:dyDescent="0.45">
      <c r="A396" s="22"/>
      <c r="B396" s="12"/>
      <c r="C396" s="12"/>
      <c r="D396" s="155"/>
      <c r="E396" s="22"/>
      <c r="F396" s="22"/>
      <c r="G396" s="12"/>
      <c r="H396" s="22"/>
      <c r="I396" s="22"/>
      <c r="J396" s="22"/>
      <c r="K396" s="22"/>
      <c r="L396" s="22"/>
      <c r="M396" s="22"/>
      <c r="N396" s="22"/>
      <c r="O396" s="145"/>
      <c r="P396" s="145"/>
      <c r="Q396" s="145"/>
      <c r="R396" s="145"/>
      <c r="S396" s="22"/>
      <c r="T396" s="145"/>
      <c r="U396" s="145"/>
      <c r="V396" s="145"/>
      <c r="W396" s="145"/>
      <c r="X396" s="53"/>
      <c r="Y396" s="74"/>
      <c r="Z396" s="145"/>
      <c r="AA396" s="145"/>
      <c r="AB396" s="145"/>
      <c r="AC396" s="146"/>
      <c r="AD396" s="145"/>
      <c r="AE396" s="145"/>
      <c r="AF396" s="145"/>
      <c r="AG396" s="145"/>
      <c r="AH396" s="146"/>
      <c r="AI396" s="145"/>
      <c r="AJ396" s="145"/>
      <c r="AK396" s="145"/>
      <c r="AL396" s="145"/>
      <c r="AM396" s="145"/>
      <c r="AN396" s="145"/>
      <c r="AO396" s="145"/>
      <c r="AP396" s="74"/>
      <c r="AQ396" s="74"/>
      <c r="AR396" s="74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</row>
    <row r="397" spans="1:85" ht="15.75" customHeight="1" x14ac:dyDescent="0.45">
      <c r="A397" s="22"/>
      <c r="B397" s="12"/>
      <c r="C397" s="12"/>
      <c r="D397" s="155"/>
      <c r="E397" s="22"/>
      <c r="F397" s="22"/>
      <c r="G397" s="12"/>
      <c r="H397" s="22"/>
      <c r="I397" s="22"/>
      <c r="J397" s="22"/>
      <c r="K397" s="22"/>
      <c r="L397" s="22"/>
      <c r="M397" s="22"/>
      <c r="N397" s="22"/>
      <c r="O397" s="145"/>
      <c r="P397" s="145"/>
      <c r="Q397" s="145"/>
      <c r="R397" s="145"/>
      <c r="S397" s="22"/>
      <c r="T397" s="145"/>
      <c r="U397" s="145"/>
      <c r="V397" s="145"/>
      <c r="W397" s="145"/>
      <c r="X397" s="53"/>
      <c r="Y397" s="74"/>
      <c r="Z397" s="145"/>
      <c r="AA397" s="145"/>
      <c r="AB397" s="145"/>
      <c r="AC397" s="146"/>
      <c r="AD397" s="145"/>
      <c r="AE397" s="145"/>
      <c r="AF397" s="145"/>
      <c r="AG397" s="145"/>
      <c r="AH397" s="146"/>
      <c r="AI397" s="145"/>
      <c r="AJ397" s="145"/>
      <c r="AK397" s="145"/>
      <c r="AL397" s="145"/>
      <c r="AM397" s="145"/>
      <c r="AN397" s="145"/>
      <c r="AO397" s="145"/>
      <c r="AP397" s="74"/>
      <c r="AQ397" s="74"/>
      <c r="AR397" s="74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</row>
    <row r="398" spans="1:85" ht="15.75" customHeight="1" x14ac:dyDescent="0.45">
      <c r="A398" s="22"/>
      <c r="B398" s="12"/>
      <c r="C398" s="12"/>
      <c r="D398" s="155"/>
      <c r="E398" s="22"/>
      <c r="F398" s="22"/>
      <c r="G398" s="12"/>
      <c r="H398" s="22"/>
      <c r="I398" s="22"/>
      <c r="J398" s="22"/>
      <c r="K398" s="22"/>
      <c r="L398" s="22"/>
      <c r="M398" s="22"/>
      <c r="N398" s="22"/>
      <c r="O398" s="145"/>
      <c r="P398" s="145"/>
      <c r="Q398" s="145"/>
      <c r="R398" s="145"/>
      <c r="S398" s="22"/>
      <c r="T398" s="145"/>
      <c r="U398" s="145"/>
      <c r="V398" s="145"/>
      <c r="W398" s="145"/>
      <c r="X398" s="53"/>
      <c r="Y398" s="74"/>
      <c r="Z398" s="145"/>
      <c r="AA398" s="145"/>
      <c r="AB398" s="145"/>
      <c r="AC398" s="146"/>
      <c r="AD398" s="145"/>
      <c r="AE398" s="145"/>
      <c r="AF398" s="145"/>
      <c r="AG398" s="145"/>
      <c r="AH398" s="146"/>
      <c r="AI398" s="145"/>
      <c r="AJ398" s="145"/>
      <c r="AK398" s="145"/>
      <c r="AL398" s="145"/>
      <c r="AM398" s="145"/>
      <c r="AN398" s="145"/>
      <c r="AO398" s="145"/>
      <c r="AP398" s="74"/>
      <c r="AQ398" s="74"/>
      <c r="AR398" s="74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</row>
    <row r="399" spans="1:85" ht="15.75" customHeight="1" x14ac:dyDescent="0.45">
      <c r="A399" s="22"/>
      <c r="B399" s="12"/>
      <c r="C399" s="12"/>
      <c r="D399" s="155"/>
      <c r="E399" s="22"/>
      <c r="F399" s="22"/>
      <c r="G399" s="12"/>
      <c r="H399" s="22"/>
      <c r="I399" s="22"/>
      <c r="J399" s="22"/>
      <c r="K399" s="22"/>
      <c r="L399" s="22"/>
      <c r="M399" s="22"/>
      <c r="N399" s="22"/>
      <c r="O399" s="145"/>
      <c r="P399" s="145"/>
      <c r="Q399" s="145"/>
      <c r="R399" s="145"/>
      <c r="S399" s="22"/>
      <c r="T399" s="145"/>
      <c r="U399" s="145"/>
      <c r="V399" s="145"/>
      <c r="W399" s="145"/>
      <c r="X399" s="53"/>
      <c r="Y399" s="74"/>
      <c r="Z399" s="145"/>
      <c r="AA399" s="145"/>
      <c r="AB399" s="145"/>
      <c r="AC399" s="146"/>
      <c r="AD399" s="145"/>
      <c r="AE399" s="145"/>
      <c r="AF399" s="145"/>
      <c r="AG399" s="145"/>
      <c r="AH399" s="146"/>
      <c r="AI399" s="145"/>
      <c r="AJ399" s="145"/>
      <c r="AK399" s="145"/>
      <c r="AL399" s="145"/>
      <c r="AM399" s="145"/>
      <c r="AN399" s="145"/>
      <c r="AO399" s="145"/>
      <c r="AP399" s="74"/>
      <c r="AQ399" s="74"/>
      <c r="AR399" s="74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</row>
    <row r="400" spans="1:85" ht="15.75" customHeight="1" x14ac:dyDescent="0.45">
      <c r="A400" s="22"/>
      <c r="B400" s="12"/>
      <c r="C400" s="12"/>
      <c r="D400" s="155"/>
      <c r="E400" s="22"/>
      <c r="F400" s="22"/>
      <c r="G400" s="12"/>
      <c r="H400" s="22"/>
      <c r="I400" s="22"/>
      <c r="J400" s="22"/>
      <c r="K400" s="22"/>
      <c r="L400" s="22"/>
      <c r="M400" s="22"/>
      <c r="N400" s="22"/>
      <c r="O400" s="145"/>
      <c r="P400" s="145"/>
      <c r="Q400" s="145"/>
      <c r="R400" s="145"/>
      <c r="S400" s="22"/>
      <c r="T400" s="145"/>
      <c r="U400" s="145"/>
      <c r="V400" s="145"/>
      <c r="W400" s="145"/>
      <c r="X400" s="53"/>
      <c r="Y400" s="74"/>
      <c r="Z400" s="145"/>
      <c r="AA400" s="145"/>
      <c r="AB400" s="145"/>
      <c r="AC400" s="146"/>
      <c r="AD400" s="145"/>
      <c r="AE400" s="145"/>
      <c r="AF400" s="145"/>
      <c r="AG400" s="145"/>
      <c r="AH400" s="146"/>
      <c r="AI400" s="145"/>
      <c r="AJ400" s="145"/>
      <c r="AK400" s="145"/>
      <c r="AL400" s="145"/>
      <c r="AM400" s="145"/>
      <c r="AN400" s="145"/>
      <c r="AO400" s="145"/>
      <c r="AP400" s="74"/>
      <c r="AQ400" s="74"/>
      <c r="AR400" s="74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</row>
    <row r="401" spans="1:85" ht="15.75" customHeight="1" x14ac:dyDescent="0.45">
      <c r="A401" s="22"/>
      <c r="B401" s="12"/>
      <c r="C401" s="12"/>
      <c r="D401" s="155"/>
      <c r="E401" s="22"/>
      <c r="F401" s="22"/>
      <c r="G401" s="12"/>
      <c r="H401" s="22"/>
      <c r="I401" s="22"/>
      <c r="J401" s="22"/>
      <c r="K401" s="22"/>
      <c r="L401" s="22"/>
      <c r="M401" s="22"/>
      <c r="N401" s="22"/>
      <c r="O401" s="145"/>
      <c r="P401" s="145"/>
      <c r="Q401" s="145"/>
      <c r="R401" s="145"/>
      <c r="S401" s="22"/>
      <c r="T401" s="145"/>
      <c r="U401" s="145"/>
      <c r="V401" s="145"/>
      <c r="W401" s="145"/>
      <c r="X401" s="53"/>
      <c r="Y401" s="74"/>
      <c r="Z401" s="145"/>
      <c r="AA401" s="145"/>
      <c r="AB401" s="145"/>
      <c r="AC401" s="146"/>
      <c r="AD401" s="145"/>
      <c r="AE401" s="145"/>
      <c r="AF401" s="145"/>
      <c r="AG401" s="145"/>
      <c r="AH401" s="146"/>
      <c r="AI401" s="145"/>
      <c r="AJ401" s="145"/>
      <c r="AK401" s="145"/>
      <c r="AL401" s="145"/>
      <c r="AM401" s="145"/>
      <c r="AN401" s="145"/>
      <c r="AO401" s="145"/>
      <c r="AP401" s="74"/>
      <c r="AQ401" s="74"/>
      <c r="AR401" s="74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</row>
    <row r="402" spans="1:85" ht="15.75" customHeight="1" x14ac:dyDescent="0.45">
      <c r="A402" s="22"/>
      <c r="B402" s="12"/>
      <c r="C402" s="12"/>
      <c r="D402" s="155"/>
      <c r="E402" s="22"/>
      <c r="F402" s="22"/>
      <c r="G402" s="12"/>
      <c r="H402" s="22"/>
      <c r="I402" s="22"/>
      <c r="J402" s="22"/>
      <c r="K402" s="22"/>
      <c r="L402" s="22"/>
      <c r="M402" s="22"/>
      <c r="N402" s="22"/>
      <c r="O402" s="145"/>
      <c r="P402" s="145"/>
      <c r="Q402" s="145"/>
      <c r="R402" s="145"/>
      <c r="S402" s="22"/>
      <c r="T402" s="145"/>
      <c r="U402" s="145"/>
      <c r="V402" s="145"/>
      <c r="W402" s="145"/>
      <c r="X402" s="53"/>
      <c r="Y402" s="74"/>
      <c r="Z402" s="145"/>
      <c r="AA402" s="145"/>
      <c r="AB402" s="145"/>
      <c r="AC402" s="146"/>
      <c r="AD402" s="145"/>
      <c r="AE402" s="145"/>
      <c r="AF402" s="145"/>
      <c r="AG402" s="145"/>
      <c r="AH402" s="146"/>
      <c r="AI402" s="145"/>
      <c r="AJ402" s="145"/>
      <c r="AK402" s="145"/>
      <c r="AL402" s="145"/>
      <c r="AM402" s="145"/>
      <c r="AN402" s="145"/>
      <c r="AO402" s="145"/>
      <c r="AP402" s="74"/>
      <c r="AQ402" s="74"/>
      <c r="AR402" s="74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</row>
    <row r="403" spans="1:85" ht="15.75" customHeight="1" x14ac:dyDescent="0.45">
      <c r="A403" s="22"/>
      <c r="B403" s="12"/>
      <c r="C403" s="12"/>
      <c r="D403" s="155"/>
      <c r="E403" s="22"/>
      <c r="F403" s="22"/>
      <c r="G403" s="12"/>
      <c r="H403" s="22"/>
      <c r="I403" s="22"/>
      <c r="J403" s="22"/>
      <c r="K403" s="22"/>
      <c r="L403" s="22"/>
      <c r="M403" s="22"/>
      <c r="N403" s="22"/>
      <c r="O403" s="145"/>
      <c r="P403" s="145"/>
      <c r="Q403" s="145"/>
      <c r="R403" s="145"/>
      <c r="S403" s="22"/>
      <c r="T403" s="145"/>
      <c r="U403" s="145"/>
      <c r="V403" s="145"/>
      <c r="W403" s="145"/>
      <c r="X403" s="53"/>
      <c r="Y403" s="74"/>
      <c r="Z403" s="145"/>
      <c r="AA403" s="145"/>
      <c r="AB403" s="145"/>
      <c r="AC403" s="146"/>
      <c r="AD403" s="145"/>
      <c r="AE403" s="145"/>
      <c r="AF403" s="145"/>
      <c r="AG403" s="145"/>
      <c r="AH403" s="146"/>
      <c r="AI403" s="145"/>
      <c r="AJ403" s="145"/>
      <c r="AK403" s="145"/>
      <c r="AL403" s="145"/>
      <c r="AM403" s="145"/>
      <c r="AN403" s="145"/>
      <c r="AO403" s="145"/>
      <c r="AP403" s="74"/>
      <c r="AQ403" s="74"/>
      <c r="AR403" s="74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</row>
    <row r="404" spans="1:85" ht="15.75" customHeight="1" x14ac:dyDescent="0.45">
      <c r="A404" s="22"/>
      <c r="B404" s="12"/>
      <c r="C404" s="12"/>
      <c r="D404" s="155"/>
      <c r="E404" s="22"/>
      <c r="F404" s="22"/>
      <c r="G404" s="12"/>
      <c r="H404" s="22"/>
      <c r="I404" s="22"/>
      <c r="J404" s="22"/>
      <c r="K404" s="22"/>
      <c r="L404" s="22"/>
      <c r="M404" s="22"/>
      <c r="N404" s="22"/>
      <c r="O404" s="145"/>
      <c r="P404" s="145"/>
      <c r="Q404" s="145"/>
      <c r="R404" s="145"/>
      <c r="S404" s="22"/>
      <c r="T404" s="145"/>
      <c r="U404" s="145"/>
      <c r="V404" s="145"/>
      <c r="W404" s="145"/>
      <c r="X404" s="53"/>
      <c r="Y404" s="74"/>
      <c r="Z404" s="145"/>
      <c r="AA404" s="145"/>
      <c r="AB404" s="145"/>
      <c r="AC404" s="146"/>
      <c r="AD404" s="145"/>
      <c r="AE404" s="145"/>
      <c r="AF404" s="145"/>
      <c r="AG404" s="145"/>
      <c r="AH404" s="146"/>
      <c r="AI404" s="145"/>
      <c r="AJ404" s="145"/>
      <c r="AK404" s="145"/>
      <c r="AL404" s="145"/>
      <c r="AM404" s="145"/>
      <c r="AN404" s="145"/>
      <c r="AO404" s="145"/>
      <c r="AP404" s="74"/>
      <c r="AQ404" s="74"/>
      <c r="AR404" s="74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</row>
    <row r="405" spans="1:85" ht="15.75" customHeight="1" x14ac:dyDescent="0.45">
      <c r="A405" s="22"/>
      <c r="B405" s="12"/>
      <c r="C405" s="12"/>
      <c r="D405" s="155"/>
      <c r="E405" s="22"/>
      <c r="F405" s="22"/>
      <c r="G405" s="12"/>
      <c r="H405" s="22"/>
      <c r="I405" s="22"/>
      <c r="J405" s="22"/>
      <c r="K405" s="22"/>
      <c r="L405" s="22"/>
      <c r="M405" s="22"/>
      <c r="N405" s="22"/>
      <c r="O405" s="145"/>
      <c r="P405" s="145"/>
      <c r="Q405" s="145"/>
      <c r="R405" s="145"/>
      <c r="S405" s="22"/>
      <c r="T405" s="145"/>
      <c r="U405" s="145"/>
      <c r="V405" s="145"/>
      <c r="W405" s="145"/>
      <c r="X405" s="53"/>
      <c r="Y405" s="74"/>
      <c r="Z405" s="145"/>
      <c r="AA405" s="145"/>
      <c r="AB405" s="145"/>
      <c r="AC405" s="146"/>
      <c r="AD405" s="145"/>
      <c r="AE405" s="145"/>
      <c r="AF405" s="145"/>
      <c r="AG405" s="145"/>
      <c r="AH405" s="146"/>
      <c r="AI405" s="145"/>
      <c r="AJ405" s="145"/>
      <c r="AK405" s="145"/>
      <c r="AL405" s="145"/>
      <c r="AM405" s="145"/>
      <c r="AN405" s="145"/>
      <c r="AO405" s="145"/>
      <c r="AP405" s="74"/>
      <c r="AQ405" s="74"/>
      <c r="AR405" s="74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</row>
    <row r="406" spans="1:85" ht="15.75" customHeight="1" x14ac:dyDescent="0.45">
      <c r="A406" s="22"/>
      <c r="B406" s="12"/>
      <c r="C406" s="12"/>
      <c r="D406" s="155"/>
      <c r="E406" s="22"/>
      <c r="F406" s="22"/>
      <c r="G406" s="12"/>
      <c r="H406" s="22"/>
      <c r="I406" s="22"/>
      <c r="J406" s="22"/>
      <c r="K406" s="22"/>
      <c r="L406" s="22"/>
      <c r="M406" s="22"/>
      <c r="N406" s="22"/>
      <c r="O406" s="145"/>
      <c r="P406" s="145"/>
      <c r="Q406" s="145"/>
      <c r="R406" s="145"/>
      <c r="S406" s="22"/>
      <c r="T406" s="145"/>
      <c r="U406" s="145"/>
      <c r="V406" s="145"/>
      <c r="W406" s="145"/>
      <c r="X406" s="53"/>
      <c r="Y406" s="74"/>
      <c r="Z406" s="145"/>
      <c r="AA406" s="145"/>
      <c r="AB406" s="145"/>
      <c r="AC406" s="146"/>
      <c r="AD406" s="145"/>
      <c r="AE406" s="145"/>
      <c r="AF406" s="145"/>
      <c r="AG406" s="145"/>
      <c r="AH406" s="146"/>
      <c r="AI406" s="145"/>
      <c r="AJ406" s="145"/>
      <c r="AK406" s="145"/>
      <c r="AL406" s="145"/>
      <c r="AM406" s="145"/>
      <c r="AN406" s="145"/>
      <c r="AO406" s="145"/>
      <c r="AP406" s="74"/>
      <c r="AQ406" s="74"/>
      <c r="AR406" s="74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</row>
    <row r="407" spans="1:85" ht="15.75" customHeight="1" x14ac:dyDescent="0.45">
      <c r="A407" s="22"/>
      <c r="B407" s="12"/>
      <c r="C407" s="12"/>
      <c r="D407" s="155"/>
      <c r="E407" s="22"/>
      <c r="F407" s="22"/>
      <c r="G407" s="12"/>
      <c r="H407" s="22"/>
      <c r="I407" s="22"/>
      <c r="J407" s="22"/>
      <c r="K407" s="22"/>
      <c r="L407" s="22"/>
      <c r="M407" s="22"/>
      <c r="N407" s="22"/>
      <c r="O407" s="145"/>
      <c r="P407" s="145"/>
      <c r="Q407" s="145"/>
      <c r="R407" s="145"/>
      <c r="S407" s="22"/>
      <c r="T407" s="145"/>
      <c r="U407" s="145"/>
      <c r="V407" s="145"/>
      <c r="W407" s="145"/>
      <c r="X407" s="53"/>
      <c r="Y407" s="74"/>
      <c r="Z407" s="145"/>
      <c r="AA407" s="145"/>
      <c r="AB407" s="145"/>
      <c r="AC407" s="146"/>
      <c r="AD407" s="145"/>
      <c r="AE407" s="145"/>
      <c r="AF407" s="145"/>
      <c r="AG407" s="145"/>
      <c r="AH407" s="146"/>
      <c r="AI407" s="145"/>
      <c r="AJ407" s="145"/>
      <c r="AK407" s="145"/>
      <c r="AL407" s="145"/>
      <c r="AM407" s="145"/>
      <c r="AN407" s="145"/>
      <c r="AO407" s="145"/>
      <c r="AP407" s="74"/>
      <c r="AQ407" s="74"/>
      <c r="AR407" s="74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</row>
    <row r="408" spans="1:85" ht="15.75" customHeight="1" x14ac:dyDescent="0.45">
      <c r="A408" s="22"/>
      <c r="B408" s="12"/>
      <c r="C408" s="12"/>
      <c r="D408" s="155"/>
      <c r="E408" s="22"/>
      <c r="F408" s="22"/>
      <c r="G408" s="12"/>
      <c r="H408" s="22"/>
      <c r="I408" s="22"/>
      <c r="J408" s="22"/>
      <c r="K408" s="22"/>
      <c r="L408" s="22"/>
      <c r="M408" s="22"/>
      <c r="N408" s="22"/>
      <c r="O408" s="145"/>
      <c r="P408" s="145"/>
      <c r="Q408" s="145"/>
      <c r="R408" s="145"/>
      <c r="S408" s="22"/>
      <c r="T408" s="145"/>
      <c r="U408" s="145"/>
      <c r="V408" s="145"/>
      <c r="W408" s="145"/>
      <c r="X408" s="53"/>
      <c r="Y408" s="74"/>
      <c r="Z408" s="145"/>
      <c r="AA408" s="145"/>
      <c r="AB408" s="145"/>
      <c r="AC408" s="146"/>
      <c r="AD408" s="145"/>
      <c r="AE408" s="145"/>
      <c r="AF408" s="145"/>
      <c r="AG408" s="145"/>
      <c r="AH408" s="146"/>
      <c r="AI408" s="145"/>
      <c r="AJ408" s="145"/>
      <c r="AK408" s="145"/>
      <c r="AL408" s="145"/>
      <c r="AM408" s="145"/>
      <c r="AN408" s="145"/>
      <c r="AO408" s="145"/>
      <c r="AP408" s="74"/>
      <c r="AQ408" s="74"/>
      <c r="AR408" s="74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</row>
    <row r="409" spans="1:85" ht="15.75" customHeight="1" x14ac:dyDescent="0.45">
      <c r="A409" s="22"/>
      <c r="B409" s="12"/>
      <c r="C409" s="12"/>
      <c r="D409" s="155"/>
      <c r="E409" s="22"/>
      <c r="F409" s="22"/>
      <c r="G409" s="12"/>
      <c r="H409" s="22"/>
      <c r="I409" s="22"/>
      <c r="J409" s="22"/>
      <c r="K409" s="22"/>
      <c r="L409" s="22"/>
      <c r="M409" s="22"/>
      <c r="N409" s="22"/>
      <c r="O409" s="145"/>
      <c r="P409" s="145"/>
      <c r="Q409" s="145"/>
      <c r="R409" s="145"/>
      <c r="S409" s="22"/>
      <c r="T409" s="145"/>
      <c r="U409" s="145"/>
      <c r="V409" s="145"/>
      <c r="W409" s="145"/>
      <c r="X409" s="53"/>
      <c r="Y409" s="74"/>
      <c r="Z409" s="145"/>
      <c r="AA409" s="145"/>
      <c r="AB409" s="145"/>
      <c r="AC409" s="146"/>
      <c r="AD409" s="145"/>
      <c r="AE409" s="145"/>
      <c r="AF409" s="145"/>
      <c r="AG409" s="145"/>
      <c r="AH409" s="146"/>
      <c r="AI409" s="145"/>
      <c r="AJ409" s="145"/>
      <c r="AK409" s="145"/>
      <c r="AL409" s="145"/>
      <c r="AM409" s="145"/>
      <c r="AN409" s="145"/>
      <c r="AO409" s="145"/>
      <c r="AP409" s="74"/>
      <c r="AQ409" s="74"/>
      <c r="AR409" s="74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</row>
    <row r="410" spans="1:85" ht="15.75" customHeight="1" x14ac:dyDescent="0.45">
      <c r="A410" s="22"/>
      <c r="B410" s="12"/>
      <c r="C410" s="12"/>
      <c r="D410" s="155"/>
      <c r="E410" s="22"/>
      <c r="F410" s="22"/>
      <c r="G410" s="12"/>
      <c r="H410" s="22"/>
      <c r="I410" s="22"/>
      <c r="J410" s="22"/>
      <c r="K410" s="22"/>
      <c r="L410" s="22"/>
      <c r="M410" s="22"/>
      <c r="N410" s="22"/>
      <c r="O410" s="145"/>
      <c r="P410" s="145"/>
      <c r="Q410" s="145"/>
      <c r="R410" s="145"/>
      <c r="S410" s="22"/>
      <c r="T410" s="145"/>
      <c r="U410" s="145"/>
      <c r="V410" s="145"/>
      <c r="W410" s="145"/>
      <c r="X410" s="53"/>
      <c r="Y410" s="74"/>
      <c r="Z410" s="145"/>
      <c r="AA410" s="145"/>
      <c r="AB410" s="145"/>
      <c r="AC410" s="146"/>
      <c r="AD410" s="145"/>
      <c r="AE410" s="145"/>
      <c r="AF410" s="145"/>
      <c r="AG410" s="145"/>
      <c r="AH410" s="146"/>
      <c r="AI410" s="145"/>
      <c r="AJ410" s="145"/>
      <c r="AK410" s="145"/>
      <c r="AL410" s="145"/>
      <c r="AM410" s="145"/>
      <c r="AN410" s="145"/>
      <c r="AO410" s="145"/>
      <c r="AP410" s="74"/>
      <c r="AQ410" s="74"/>
      <c r="AR410" s="74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</row>
    <row r="411" spans="1:85" ht="15.75" customHeight="1" x14ac:dyDescent="0.45">
      <c r="A411" s="22"/>
      <c r="B411" s="12"/>
      <c r="C411" s="12"/>
      <c r="D411" s="155"/>
      <c r="E411" s="22"/>
      <c r="F411" s="22"/>
      <c r="G411" s="12"/>
      <c r="H411" s="22"/>
      <c r="I411" s="22"/>
      <c r="J411" s="22"/>
      <c r="K411" s="22"/>
      <c r="L411" s="22"/>
      <c r="M411" s="22"/>
      <c r="N411" s="22"/>
      <c r="O411" s="145"/>
      <c r="P411" s="145"/>
      <c r="Q411" s="145"/>
      <c r="R411" s="145"/>
      <c r="S411" s="22"/>
      <c r="T411" s="145"/>
      <c r="U411" s="145"/>
      <c r="V411" s="145"/>
      <c r="W411" s="145"/>
      <c r="X411" s="53"/>
      <c r="Y411" s="74"/>
      <c r="Z411" s="145"/>
      <c r="AA411" s="145"/>
      <c r="AB411" s="145"/>
      <c r="AC411" s="146"/>
      <c r="AD411" s="145"/>
      <c r="AE411" s="145"/>
      <c r="AF411" s="145"/>
      <c r="AG411" s="145"/>
      <c r="AH411" s="146"/>
      <c r="AI411" s="145"/>
      <c r="AJ411" s="145"/>
      <c r="AK411" s="145"/>
      <c r="AL411" s="145"/>
      <c r="AM411" s="145"/>
      <c r="AN411" s="145"/>
      <c r="AO411" s="145"/>
      <c r="AP411" s="74"/>
      <c r="AQ411" s="74"/>
      <c r="AR411" s="74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</row>
    <row r="412" spans="1:85" ht="15.75" customHeight="1" x14ac:dyDescent="0.45">
      <c r="A412" s="22"/>
      <c r="B412" s="12"/>
      <c r="C412" s="12"/>
      <c r="D412" s="155"/>
      <c r="E412" s="22"/>
      <c r="F412" s="22"/>
      <c r="G412" s="12"/>
      <c r="H412" s="22"/>
      <c r="I412" s="22"/>
      <c r="J412" s="22"/>
      <c r="K412" s="22"/>
      <c r="L412" s="22"/>
      <c r="M412" s="22"/>
      <c r="N412" s="22"/>
      <c r="O412" s="145"/>
      <c r="P412" s="145"/>
      <c r="Q412" s="145"/>
      <c r="R412" s="145"/>
      <c r="S412" s="22"/>
      <c r="T412" s="145"/>
      <c r="U412" s="145"/>
      <c r="V412" s="145"/>
      <c r="W412" s="145"/>
      <c r="X412" s="53"/>
      <c r="Y412" s="74"/>
      <c r="Z412" s="145"/>
      <c r="AA412" s="145"/>
      <c r="AB412" s="145"/>
      <c r="AC412" s="146"/>
      <c r="AD412" s="145"/>
      <c r="AE412" s="145"/>
      <c r="AF412" s="145"/>
      <c r="AG412" s="145"/>
      <c r="AH412" s="146"/>
      <c r="AI412" s="145"/>
      <c r="AJ412" s="145"/>
      <c r="AK412" s="145"/>
      <c r="AL412" s="145"/>
      <c r="AM412" s="145"/>
      <c r="AN412" s="145"/>
      <c r="AO412" s="145"/>
      <c r="AP412" s="74"/>
      <c r="AQ412" s="74"/>
      <c r="AR412" s="74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</row>
    <row r="413" spans="1:85" ht="15.75" customHeight="1" x14ac:dyDescent="0.45">
      <c r="A413" s="22"/>
      <c r="B413" s="12"/>
      <c r="C413" s="12"/>
      <c r="D413" s="155"/>
      <c r="E413" s="22"/>
      <c r="F413" s="22"/>
      <c r="G413" s="12"/>
      <c r="H413" s="22"/>
      <c r="I413" s="22"/>
      <c r="J413" s="22"/>
      <c r="K413" s="22"/>
      <c r="L413" s="22"/>
      <c r="M413" s="22"/>
      <c r="N413" s="22"/>
      <c r="O413" s="145"/>
      <c r="P413" s="145"/>
      <c r="Q413" s="145"/>
      <c r="R413" s="145"/>
      <c r="S413" s="22"/>
      <c r="T413" s="145"/>
      <c r="U413" s="145"/>
      <c r="V413" s="145"/>
      <c r="W413" s="145"/>
      <c r="X413" s="53"/>
      <c r="Y413" s="74"/>
      <c r="Z413" s="145"/>
      <c r="AA413" s="145"/>
      <c r="AB413" s="145"/>
      <c r="AC413" s="146"/>
      <c r="AD413" s="145"/>
      <c r="AE413" s="145"/>
      <c r="AF413" s="145"/>
      <c r="AG413" s="145"/>
      <c r="AH413" s="146"/>
      <c r="AI413" s="145"/>
      <c r="AJ413" s="145"/>
      <c r="AK413" s="145"/>
      <c r="AL413" s="145"/>
      <c r="AM413" s="145"/>
      <c r="AN413" s="145"/>
      <c r="AO413" s="145"/>
      <c r="AP413" s="74"/>
      <c r="AQ413" s="74"/>
      <c r="AR413" s="74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</row>
    <row r="414" spans="1:85" ht="15.75" customHeight="1" x14ac:dyDescent="0.45">
      <c r="A414" s="22"/>
      <c r="B414" s="12"/>
      <c r="C414" s="12"/>
      <c r="D414" s="155"/>
      <c r="E414" s="22"/>
      <c r="F414" s="22"/>
      <c r="G414" s="12"/>
      <c r="H414" s="22"/>
      <c r="I414" s="22"/>
      <c r="J414" s="22"/>
      <c r="K414" s="22"/>
      <c r="L414" s="22"/>
      <c r="M414" s="22"/>
      <c r="N414" s="22"/>
      <c r="O414" s="145"/>
      <c r="P414" s="145"/>
      <c r="Q414" s="145"/>
      <c r="R414" s="145"/>
      <c r="S414" s="22"/>
      <c r="T414" s="145"/>
      <c r="U414" s="145"/>
      <c r="V414" s="145"/>
      <c r="W414" s="145"/>
      <c r="X414" s="53"/>
      <c r="Y414" s="74"/>
      <c r="Z414" s="145"/>
      <c r="AA414" s="145"/>
      <c r="AB414" s="145"/>
      <c r="AC414" s="146"/>
      <c r="AD414" s="145"/>
      <c r="AE414" s="145"/>
      <c r="AF414" s="145"/>
      <c r="AG414" s="145"/>
      <c r="AH414" s="146"/>
      <c r="AI414" s="145"/>
      <c r="AJ414" s="145"/>
      <c r="AK414" s="145"/>
      <c r="AL414" s="145"/>
      <c r="AM414" s="145"/>
      <c r="AN414" s="145"/>
      <c r="AO414" s="145"/>
      <c r="AP414" s="74"/>
      <c r="AQ414" s="74"/>
      <c r="AR414" s="74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</row>
    <row r="415" spans="1:85" ht="15.75" customHeight="1" x14ac:dyDescent="0.45">
      <c r="A415" s="22"/>
      <c r="B415" s="12"/>
      <c r="C415" s="12"/>
      <c r="D415" s="155"/>
      <c r="E415" s="22"/>
      <c r="F415" s="22"/>
      <c r="G415" s="12"/>
      <c r="H415" s="22"/>
      <c r="I415" s="22"/>
      <c r="J415" s="22"/>
      <c r="K415" s="22"/>
      <c r="L415" s="22"/>
      <c r="M415" s="22"/>
      <c r="N415" s="22"/>
      <c r="O415" s="145"/>
      <c r="P415" s="145"/>
      <c r="Q415" s="145"/>
      <c r="R415" s="145"/>
      <c r="S415" s="22"/>
      <c r="T415" s="145"/>
      <c r="U415" s="145"/>
      <c r="V415" s="145"/>
      <c r="W415" s="145"/>
      <c r="X415" s="53"/>
      <c r="Y415" s="74"/>
      <c r="Z415" s="145"/>
      <c r="AA415" s="145"/>
      <c r="AB415" s="145"/>
      <c r="AC415" s="146"/>
      <c r="AD415" s="145"/>
      <c r="AE415" s="145"/>
      <c r="AF415" s="145"/>
      <c r="AG415" s="145"/>
      <c r="AH415" s="146"/>
      <c r="AI415" s="145"/>
      <c r="AJ415" s="145"/>
      <c r="AK415" s="145"/>
      <c r="AL415" s="145"/>
      <c r="AM415" s="145"/>
      <c r="AN415" s="145"/>
      <c r="AO415" s="145"/>
      <c r="AP415" s="74"/>
      <c r="AQ415" s="74"/>
      <c r="AR415" s="74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</row>
    <row r="416" spans="1:85" ht="15.75" customHeight="1" x14ac:dyDescent="0.45">
      <c r="A416" s="22"/>
      <c r="B416" s="12"/>
      <c r="C416" s="12"/>
      <c r="D416" s="155"/>
      <c r="E416" s="22"/>
      <c r="F416" s="22"/>
      <c r="G416" s="12"/>
      <c r="H416" s="22"/>
      <c r="I416" s="22"/>
      <c r="J416" s="22"/>
      <c r="K416" s="22"/>
      <c r="L416" s="22"/>
      <c r="M416" s="22"/>
      <c r="N416" s="22"/>
      <c r="O416" s="145"/>
      <c r="P416" s="145"/>
      <c r="Q416" s="145"/>
      <c r="R416" s="145"/>
      <c r="S416" s="22"/>
      <c r="T416" s="145"/>
      <c r="U416" s="145"/>
      <c r="V416" s="145"/>
      <c r="W416" s="145"/>
      <c r="X416" s="53"/>
      <c r="Y416" s="74"/>
      <c r="Z416" s="145"/>
      <c r="AA416" s="145"/>
      <c r="AB416" s="145"/>
      <c r="AC416" s="146"/>
      <c r="AD416" s="145"/>
      <c r="AE416" s="145"/>
      <c r="AF416" s="145"/>
      <c r="AG416" s="145"/>
      <c r="AH416" s="146"/>
      <c r="AI416" s="145"/>
      <c r="AJ416" s="145"/>
      <c r="AK416" s="145"/>
      <c r="AL416" s="145"/>
      <c r="AM416" s="145"/>
      <c r="AN416" s="145"/>
      <c r="AO416" s="145"/>
      <c r="AP416" s="74"/>
      <c r="AQ416" s="74"/>
      <c r="AR416" s="74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</row>
    <row r="417" spans="1:85" ht="15.75" customHeight="1" x14ac:dyDescent="0.45">
      <c r="A417" s="22"/>
      <c r="B417" s="12"/>
      <c r="C417" s="12"/>
      <c r="D417" s="155"/>
      <c r="E417" s="22"/>
      <c r="F417" s="22"/>
      <c r="G417" s="12"/>
      <c r="H417" s="22"/>
      <c r="I417" s="22"/>
      <c r="J417" s="22"/>
      <c r="K417" s="22"/>
      <c r="L417" s="22"/>
      <c r="M417" s="22"/>
      <c r="N417" s="22"/>
      <c r="O417" s="145"/>
      <c r="P417" s="145"/>
      <c r="Q417" s="145"/>
      <c r="R417" s="145"/>
      <c r="S417" s="22"/>
      <c r="T417" s="145"/>
      <c r="U417" s="145"/>
      <c r="V417" s="145"/>
      <c r="W417" s="145"/>
      <c r="X417" s="53"/>
      <c r="Y417" s="74"/>
      <c r="Z417" s="145"/>
      <c r="AA417" s="145"/>
      <c r="AB417" s="145"/>
      <c r="AC417" s="146"/>
      <c r="AD417" s="145"/>
      <c r="AE417" s="145"/>
      <c r="AF417" s="145"/>
      <c r="AG417" s="145"/>
      <c r="AH417" s="146"/>
      <c r="AI417" s="145"/>
      <c r="AJ417" s="145"/>
      <c r="AK417" s="145"/>
      <c r="AL417" s="145"/>
      <c r="AM417" s="145"/>
      <c r="AN417" s="145"/>
      <c r="AO417" s="145"/>
      <c r="AP417" s="74"/>
      <c r="AQ417" s="74"/>
      <c r="AR417" s="74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</row>
    <row r="418" spans="1:85" ht="15.75" customHeight="1" x14ac:dyDescent="0.45">
      <c r="A418" s="22"/>
      <c r="B418" s="12"/>
      <c r="C418" s="12"/>
      <c r="D418" s="155"/>
      <c r="E418" s="22"/>
      <c r="F418" s="22"/>
      <c r="G418" s="12"/>
      <c r="H418" s="22"/>
      <c r="I418" s="22"/>
      <c r="J418" s="22"/>
      <c r="K418" s="22"/>
      <c r="L418" s="22"/>
      <c r="M418" s="22"/>
      <c r="N418" s="22"/>
      <c r="O418" s="145"/>
      <c r="P418" s="145"/>
      <c r="Q418" s="145"/>
      <c r="R418" s="145"/>
      <c r="S418" s="22"/>
      <c r="T418" s="145"/>
      <c r="U418" s="145"/>
      <c r="V418" s="145"/>
      <c r="W418" s="145"/>
      <c r="X418" s="53"/>
      <c r="Y418" s="74"/>
      <c r="Z418" s="145"/>
      <c r="AA418" s="145"/>
      <c r="AB418" s="145"/>
      <c r="AC418" s="146"/>
      <c r="AD418" s="145"/>
      <c r="AE418" s="145"/>
      <c r="AF418" s="145"/>
      <c r="AG418" s="145"/>
      <c r="AH418" s="146"/>
      <c r="AI418" s="145"/>
      <c r="AJ418" s="145"/>
      <c r="AK418" s="145"/>
      <c r="AL418" s="145"/>
      <c r="AM418" s="145"/>
      <c r="AN418" s="145"/>
      <c r="AO418" s="145"/>
      <c r="AP418" s="74"/>
      <c r="AQ418" s="74"/>
      <c r="AR418" s="74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</row>
    <row r="419" spans="1:85" ht="15.75" customHeight="1" x14ac:dyDescent="0.45">
      <c r="A419" s="22"/>
      <c r="B419" s="12"/>
      <c r="C419" s="12"/>
      <c r="D419" s="155"/>
      <c r="E419" s="22"/>
      <c r="F419" s="22"/>
      <c r="G419" s="12"/>
      <c r="H419" s="22"/>
      <c r="I419" s="22"/>
      <c r="J419" s="22"/>
      <c r="K419" s="22"/>
      <c r="L419" s="22"/>
      <c r="M419" s="22"/>
      <c r="N419" s="22"/>
      <c r="O419" s="145"/>
      <c r="P419" s="145"/>
      <c r="Q419" s="145"/>
      <c r="R419" s="145"/>
      <c r="S419" s="22"/>
      <c r="T419" s="145"/>
      <c r="U419" s="145"/>
      <c r="V419" s="145"/>
      <c r="W419" s="145"/>
      <c r="X419" s="53"/>
      <c r="Y419" s="74"/>
      <c r="Z419" s="145"/>
      <c r="AA419" s="145"/>
      <c r="AB419" s="145"/>
      <c r="AC419" s="146"/>
      <c r="AD419" s="145"/>
      <c r="AE419" s="145"/>
      <c r="AF419" s="145"/>
      <c r="AG419" s="145"/>
      <c r="AH419" s="146"/>
      <c r="AI419" s="145"/>
      <c r="AJ419" s="145"/>
      <c r="AK419" s="145"/>
      <c r="AL419" s="145"/>
      <c r="AM419" s="145"/>
      <c r="AN419" s="145"/>
      <c r="AO419" s="145"/>
      <c r="AP419" s="74"/>
      <c r="AQ419" s="74"/>
      <c r="AR419" s="74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</row>
    <row r="420" spans="1:85" ht="15.75" customHeight="1" x14ac:dyDescent="0.45">
      <c r="A420" s="22"/>
      <c r="B420" s="12"/>
      <c r="C420" s="12"/>
      <c r="D420" s="155"/>
      <c r="E420" s="22"/>
      <c r="F420" s="22"/>
      <c r="G420" s="12"/>
      <c r="H420" s="22"/>
      <c r="I420" s="22"/>
      <c r="J420" s="22"/>
      <c r="K420" s="22"/>
      <c r="L420" s="22"/>
      <c r="M420" s="22"/>
      <c r="N420" s="22"/>
      <c r="O420" s="145"/>
      <c r="P420" s="145"/>
      <c r="Q420" s="145"/>
      <c r="R420" s="145"/>
      <c r="S420" s="22"/>
      <c r="T420" s="145"/>
      <c r="U420" s="145"/>
      <c r="V420" s="145"/>
      <c r="W420" s="145"/>
      <c r="X420" s="53"/>
      <c r="Y420" s="74"/>
      <c r="Z420" s="145"/>
      <c r="AA420" s="145"/>
      <c r="AB420" s="145"/>
      <c r="AC420" s="146"/>
      <c r="AD420" s="145"/>
      <c r="AE420" s="145"/>
      <c r="AF420" s="145"/>
      <c r="AG420" s="145"/>
      <c r="AH420" s="146"/>
      <c r="AI420" s="145"/>
      <c r="AJ420" s="145"/>
      <c r="AK420" s="145"/>
      <c r="AL420" s="145"/>
      <c r="AM420" s="145"/>
      <c r="AN420" s="145"/>
      <c r="AO420" s="145"/>
      <c r="AP420" s="74"/>
      <c r="AQ420" s="74"/>
      <c r="AR420" s="74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</row>
    <row r="421" spans="1:85" ht="15.75" customHeight="1" x14ac:dyDescent="0.45">
      <c r="A421" s="22"/>
      <c r="B421" s="12"/>
      <c r="C421" s="12"/>
      <c r="D421" s="155"/>
      <c r="E421" s="22"/>
      <c r="F421" s="22"/>
      <c r="G421" s="12"/>
      <c r="H421" s="22"/>
      <c r="I421" s="22"/>
      <c r="J421" s="22"/>
      <c r="K421" s="22"/>
      <c r="L421" s="22"/>
      <c r="M421" s="22"/>
      <c r="N421" s="22"/>
      <c r="O421" s="145"/>
      <c r="P421" s="145"/>
      <c r="Q421" s="145"/>
      <c r="R421" s="145"/>
      <c r="S421" s="22"/>
      <c r="T421" s="145"/>
      <c r="U421" s="145"/>
      <c r="V421" s="145"/>
      <c r="W421" s="145"/>
      <c r="X421" s="53"/>
      <c r="Y421" s="74"/>
      <c r="Z421" s="145"/>
      <c r="AA421" s="145"/>
      <c r="AB421" s="145"/>
      <c r="AC421" s="146"/>
      <c r="AD421" s="145"/>
      <c r="AE421" s="145"/>
      <c r="AF421" s="145"/>
      <c r="AG421" s="145"/>
      <c r="AH421" s="146"/>
      <c r="AI421" s="145"/>
      <c r="AJ421" s="145"/>
      <c r="AK421" s="145"/>
      <c r="AL421" s="145"/>
      <c r="AM421" s="145"/>
      <c r="AN421" s="145"/>
      <c r="AO421" s="145"/>
      <c r="AP421" s="74"/>
      <c r="AQ421" s="74"/>
      <c r="AR421" s="74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</row>
    <row r="422" spans="1:85" ht="15.75" customHeight="1" x14ac:dyDescent="0.45">
      <c r="A422" s="22"/>
      <c r="B422" s="12"/>
      <c r="C422" s="12"/>
      <c r="D422" s="155"/>
      <c r="E422" s="22"/>
      <c r="F422" s="22"/>
      <c r="G422" s="12"/>
      <c r="H422" s="22"/>
      <c r="I422" s="22"/>
      <c r="J422" s="22"/>
      <c r="K422" s="22"/>
      <c r="L422" s="22"/>
      <c r="M422" s="22"/>
      <c r="N422" s="22"/>
      <c r="O422" s="145"/>
      <c r="P422" s="145"/>
      <c r="Q422" s="145"/>
      <c r="R422" s="145"/>
      <c r="S422" s="22"/>
      <c r="T422" s="145"/>
      <c r="U422" s="145"/>
      <c r="V422" s="145"/>
      <c r="W422" s="145"/>
      <c r="X422" s="53"/>
      <c r="Y422" s="74"/>
      <c r="Z422" s="145"/>
      <c r="AA422" s="145"/>
      <c r="AB422" s="145"/>
      <c r="AC422" s="146"/>
      <c r="AD422" s="145"/>
      <c r="AE422" s="145"/>
      <c r="AF422" s="145"/>
      <c r="AG422" s="145"/>
      <c r="AH422" s="146"/>
      <c r="AI422" s="145"/>
      <c r="AJ422" s="145"/>
      <c r="AK422" s="145"/>
      <c r="AL422" s="145"/>
      <c r="AM422" s="145"/>
      <c r="AN422" s="145"/>
      <c r="AO422" s="145"/>
      <c r="AP422" s="74"/>
      <c r="AQ422" s="74"/>
      <c r="AR422" s="74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</row>
    <row r="423" spans="1:85" ht="15.75" customHeight="1" x14ac:dyDescent="0.45">
      <c r="A423" s="22"/>
      <c r="B423" s="12"/>
      <c r="C423" s="12"/>
      <c r="D423" s="155"/>
      <c r="E423" s="22"/>
      <c r="F423" s="22"/>
      <c r="G423" s="12"/>
      <c r="H423" s="22"/>
      <c r="I423" s="22"/>
      <c r="J423" s="22"/>
      <c r="K423" s="22"/>
      <c r="L423" s="22"/>
      <c r="M423" s="22"/>
      <c r="N423" s="22"/>
      <c r="O423" s="145"/>
      <c r="P423" s="145"/>
      <c r="Q423" s="145"/>
      <c r="R423" s="145"/>
      <c r="S423" s="22"/>
      <c r="T423" s="145"/>
      <c r="U423" s="145"/>
      <c r="V423" s="145"/>
      <c r="W423" s="145"/>
      <c r="X423" s="53"/>
      <c r="Y423" s="74"/>
      <c r="Z423" s="145"/>
      <c r="AA423" s="145"/>
      <c r="AB423" s="145"/>
      <c r="AC423" s="146"/>
      <c r="AD423" s="145"/>
      <c r="AE423" s="145"/>
      <c r="AF423" s="145"/>
      <c r="AG423" s="145"/>
      <c r="AH423" s="146"/>
      <c r="AI423" s="145"/>
      <c r="AJ423" s="145"/>
      <c r="AK423" s="145"/>
      <c r="AL423" s="145"/>
      <c r="AM423" s="145"/>
      <c r="AN423" s="145"/>
      <c r="AO423" s="145"/>
      <c r="AP423" s="74"/>
      <c r="AQ423" s="74"/>
      <c r="AR423" s="74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</row>
    <row r="424" spans="1:85" ht="15.75" customHeight="1" x14ac:dyDescent="0.45">
      <c r="A424" s="22"/>
      <c r="B424" s="12"/>
      <c r="C424" s="12"/>
      <c r="D424" s="155"/>
      <c r="E424" s="22"/>
      <c r="F424" s="22"/>
      <c r="G424" s="12"/>
      <c r="H424" s="22"/>
      <c r="I424" s="22"/>
      <c r="J424" s="22"/>
      <c r="K424" s="22"/>
      <c r="L424" s="22"/>
      <c r="M424" s="22"/>
      <c r="N424" s="22"/>
      <c r="O424" s="145"/>
      <c r="P424" s="145"/>
      <c r="Q424" s="145"/>
      <c r="R424" s="145"/>
      <c r="S424" s="22"/>
      <c r="T424" s="145"/>
      <c r="U424" s="145"/>
      <c r="V424" s="145"/>
      <c r="W424" s="145"/>
      <c r="X424" s="53"/>
      <c r="Y424" s="74"/>
      <c r="Z424" s="145"/>
      <c r="AA424" s="145"/>
      <c r="AB424" s="145"/>
      <c r="AC424" s="146"/>
      <c r="AD424" s="145"/>
      <c r="AE424" s="145"/>
      <c r="AF424" s="145"/>
      <c r="AG424" s="145"/>
      <c r="AH424" s="146"/>
      <c r="AI424" s="145"/>
      <c r="AJ424" s="145"/>
      <c r="AK424" s="145"/>
      <c r="AL424" s="145"/>
      <c r="AM424" s="145"/>
      <c r="AN424" s="145"/>
      <c r="AO424" s="145"/>
      <c r="AP424" s="74"/>
      <c r="AQ424" s="74"/>
      <c r="AR424" s="74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</row>
    <row r="425" spans="1:85" ht="15.75" customHeight="1" x14ac:dyDescent="0.45">
      <c r="A425" s="22"/>
      <c r="B425" s="12"/>
      <c r="C425" s="12"/>
      <c r="D425" s="155"/>
      <c r="E425" s="22"/>
      <c r="F425" s="22"/>
      <c r="G425" s="12"/>
      <c r="H425" s="22"/>
      <c r="I425" s="22"/>
      <c r="J425" s="22"/>
      <c r="K425" s="22"/>
      <c r="L425" s="22"/>
      <c r="M425" s="22"/>
      <c r="N425" s="22"/>
      <c r="O425" s="145"/>
      <c r="P425" s="145"/>
      <c r="Q425" s="145"/>
      <c r="R425" s="145"/>
      <c r="S425" s="22"/>
      <c r="T425" s="145"/>
      <c r="U425" s="145"/>
      <c r="V425" s="145"/>
      <c r="W425" s="145"/>
      <c r="X425" s="53"/>
      <c r="Y425" s="74"/>
      <c r="Z425" s="145"/>
      <c r="AA425" s="145"/>
      <c r="AB425" s="145"/>
      <c r="AC425" s="146"/>
      <c r="AD425" s="145"/>
      <c r="AE425" s="145"/>
      <c r="AF425" s="145"/>
      <c r="AG425" s="145"/>
      <c r="AH425" s="146"/>
      <c r="AI425" s="145"/>
      <c r="AJ425" s="145"/>
      <c r="AK425" s="145"/>
      <c r="AL425" s="145"/>
      <c r="AM425" s="145"/>
      <c r="AN425" s="145"/>
      <c r="AO425" s="145"/>
      <c r="AP425" s="74"/>
      <c r="AQ425" s="74"/>
      <c r="AR425" s="74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</row>
    <row r="426" spans="1:85" ht="15.75" customHeight="1" x14ac:dyDescent="0.45">
      <c r="A426" s="22"/>
      <c r="B426" s="12"/>
      <c r="C426" s="12"/>
      <c r="D426" s="155"/>
      <c r="E426" s="22"/>
      <c r="F426" s="22"/>
      <c r="G426" s="12"/>
      <c r="H426" s="22"/>
      <c r="I426" s="22"/>
      <c r="J426" s="22"/>
      <c r="K426" s="22"/>
      <c r="L426" s="22"/>
      <c r="M426" s="22"/>
      <c r="N426" s="22"/>
      <c r="O426" s="145"/>
      <c r="P426" s="145"/>
      <c r="Q426" s="145"/>
      <c r="R426" s="145"/>
      <c r="S426" s="22"/>
      <c r="T426" s="145"/>
      <c r="U426" s="145"/>
      <c r="V426" s="145"/>
      <c r="W426" s="145"/>
      <c r="X426" s="53"/>
      <c r="Y426" s="74"/>
      <c r="Z426" s="145"/>
      <c r="AA426" s="145"/>
      <c r="AB426" s="145"/>
      <c r="AC426" s="146"/>
      <c r="AD426" s="145"/>
      <c r="AE426" s="145"/>
      <c r="AF426" s="145"/>
      <c r="AG426" s="145"/>
      <c r="AH426" s="146"/>
      <c r="AI426" s="145"/>
      <c r="AJ426" s="145"/>
      <c r="AK426" s="145"/>
      <c r="AL426" s="145"/>
      <c r="AM426" s="145"/>
      <c r="AN426" s="145"/>
      <c r="AO426" s="145"/>
      <c r="AP426" s="74"/>
      <c r="AQ426" s="74"/>
      <c r="AR426" s="74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</row>
    <row r="427" spans="1:85" ht="15.75" customHeight="1" x14ac:dyDescent="0.45">
      <c r="A427" s="22"/>
      <c r="B427" s="12"/>
      <c r="C427" s="12"/>
      <c r="D427" s="155"/>
      <c r="E427" s="22"/>
      <c r="F427" s="22"/>
      <c r="G427" s="12"/>
      <c r="H427" s="22"/>
      <c r="I427" s="22"/>
      <c r="J427" s="22"/>
      <c r="K427" s="22"/>
      <c r="L427" s="22"/>
      <c r="M427" s="22"/>
      <c r="N427" s="22"/>
      <c r="O427" s="145"/>
      <c r="P427" s="145"/>
      <c r="Q427" s="145"/>
      <c r="R427" s="145"/>
      <c r="S427" s="22"/>
      <c r="T427" s="145"/>
      <c r="U427" s="145"/>
      <c r="V427" s="145"/>
      <c r="W427" s="145"/>
      <c r="X427" s="53"/>
      <c r="Y427" s="74"/>
      <c r="Z427" s="145"/>
      <c r="AA427" s="145"/>
      <c r="AB427" s="145"/>
      <c r="AC427" s="146"/>
      <c r="AD427" s="145"/>
      <c r="AE427" s="145"/>
      <c r="AF427" s="145"/>
      <c r="AG427" s="145"/>
      <c r="AH427" s="146"/>
      <c r="AI427" s="145"/>
      <c r="AJ427" s="145"/>
      <c r="AK427" s="145"/>
      <c r="AL427" s="145"/>
      <c r="AM427" s="145"/>
      <c r="AN427" s="145"/>
      <c r="AO427" s="145"/>
      <c r="AP427" s="74"/>
      <c r="AQ427" s="74"/>
      <c r="AR427" s="74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</row>
    <row r="428" spans="1:85" ht="15.75" customHeight="1" x14ac:dyDescent="0.45">
      <c r="A428" s="22"/>
      <c r="B428" s="12"/>
      <c r="C428" s="12"/>
      <c r="D428" s="155"/>
      <c r="E428" s="22"/>
      <c r="F428" s="22"/>
      <c r="G428" s="12"/>
      <c r="H428" s="22"/>
      <c r="I428" s="22"/>
      <c r="J428" s="22"/>
      <c r="K428" s="22"/>
      <c r="L428" s="22"/>
      <c r="M428" s="22"/>
      <c r="N428" s="22"/>
      <c r="O428" s="145"/>
      <c r="P428" s="145"/>
      <c r="Q428" s="145"/>
      <c r="R428" s="145"/>
      <c r="S428" s="22"/>
      <c r="T428" s="145"/>
      <c r="U428" s="145"/>
      <c r="V428" s="145"/>
      <c r="W428" s="145"/>
      <c r="X428" s="53"/>
      <c r="Y428" s="74"/>
      <c r="Z428" s="145"/>
      <c r="AA428" s="145"/>
      <c r="AB428" s="145"/>
      <c r="AC428" s="146"/>
      <c r="AD428" s="145"/>
      <c r="AE428" s="145"/>
      <c r="AF428" s="145"/>
      <c r="AG428" s="145"/>
      <c r="AH428" s="146"/>
      <c r="AI428" s="145"/>
      <c r="AJ428" s="145"/>
      <c r="AK428" s="145"/>
      <c r="AL428" s="145"/>
      <c r="AM428" s="145"/>
      <c r="AN428" s="145"/>
      <c r="AO428" s="145"/>
      <c r="AP428" s="74"/>
      <c r="AQ428" s="74"/>
      <c r="AR428" s="74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</row>
    <row r="429" spans="1:85" ht="15.75" customHeight="1" x14ac:dyDescent="0.45">
      <c r="A429" s="22"/>
      <c r="B429" s="12"/>
      <c r="C429" s="12"/>
      <c r="D429" s="155"/>
      <c r="E429" s="22"/>
      <c r="F429" s="22"/>
      <c r="G429" s="12"/>
      <c r="H429" s="22"/>
      <c r="I429" s="22"/>
      <c r="J429" s="22"/>
      <c r="K429" s="22"/>
      <c r="L429" s="22"/>
      <c r="M429" s="22"/>
      <c r="N429" s="22"/>
      <c r="O429" s="145"/>
      <c r="P429" s="145"/>
      <c r="Q429" s="145"/>
      <c r="R429" s="145"/>
      <c r="S429" s="22"/>
      <c r="T429" s="145"/>
      <c r="U429" s="145"/>
      <c r="V429" s="145"/>
      <c r="W429" s="145"/>
      <c r="X429" s="53"/>
      <c r="Y429" s="74"/>
      <c r="Z429" s="145"/>
      <c r="AA429" s="145"/>
      <c r="AB429" s="145"/>
      <c r="AC429" s="146"/>
      <c r="AD429" s="145"/>
      <c r="AE429" s="145"/>
      <c r="AF429" s="145"/>
      <c r="AG429" s="145"/>
      <c r="AH429" s="146"/>
      <c r="AI429" s="145"/>
      <c r="AJ429" s="145"/>
      <c r="AK429" s="145"/>
      <c r="AL429" s="145"/>
      <c r="AM429" s="145"/>
      <c r="AN429" s="145"/>
      <c r="AO429" s="145"/>
      <c r="AP429" s="74"/>
      <c r="AQ429" s="74"/>
      <c r="AR429" s="74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</row>
    <row r="430" spans="1:85" ht="15.75" customHeight="1" x14ac:dyDescent="0.45">
      <c r="A430" s="22"/>
      <c r="B430" s="12"/>
      <c r="C430" s="12"/>
      <c r="D430" s="155"/>
      <c r="E430" s="22"/>
      <c r="F430" s="22"/>
      <c r="G430" s="12"/>
      <c r="H430" s="22"/>
      <c r="I430" s="22"/>
      <c r="J430" s="22"/>
      <c r="K430" s="22"/>
      <c r="L430" s="22"/>
      <c r="M430" s="22"/>
      <c r="N430" s="22"/>
      <c r="O430" s="145"/>
      <c r="P430" s="145"/>
      <c r="Q430" s="145"/>
      <c r="R430" s="145"/>
      <c r="S430" s="22"/>
      <c r="T430" s="145"/>
      <c r="U430" s="145"/>
      <c r="V430" s="145"/>
      <c r="W430" s="145"/>
      <c r="X430" s="53"/>
      <c r="Y430" s="74"/>
      <c r="Z430" s="145"/>
      <c r="AA430" s="145"/>
      <c r="AB430" s="145"/>
      <c r="AC430" s="146"/>
      <c r="AD430" s="145"/>
      <c r="AE430" s="145"/>
      <c r="AF430" s="145"/>
      <c r="AG430" s="145"/>
      <c r="AH430" s="146"/>
      <c r="AI430" s="145"/>
      <c r="AJ430" s="145"/>
      <c r="AK430" s="145"/>
      <c r="AL430" s="145"/>
      <c r="AM430" s="145"/>
      <c r="AN430" s="145"/>
      <c r="AO430" s="145"/>
      <c r="AP430" s="74"/>
      <c r="AQ430" s="74"/>
      <c r="AR430" s="74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</row>
    <row r="431" spans="1:85" ht="15.75" customHeight="1" x14ac:dyDescent="0.45">
      <c r="A431" s="22"/>
      <c r="B431" s="12"/>
      <c r="C431" s="12"/>
      <c r="D431" s="155"/>
      <c r="E431" s="22"/>
      <c r="F431" s="22"/>
      <c r="G431" s="12"/>
      <c r="H431" s="22"/>
      <c r="I431" s="22"/>
      <c r="J431" s="22"/>
      <c r="K431" s="22"/>
      <c r="L431" s="22"/>
      <c r="M431" s="22"/>
      <c r="N431" s="22"/>
      <c r="O431" s="145"/>
      <c r="P431" s="145"/>
      <c r="Q431" s="145"/>
      <c r="R431" s="145"/>
      <c r="S431" s="22"/>
      <c r="T431" s="145"/>
      <c r="U431" s="145"/>
      <c r="V431" s="145"/>
      <c r="W431" s="145"/>
      <c r="X431" s="53"/>
      <c r="Y431" s="74"/>
      <c r="Z431" s="145"/>
      <c r="AA431" s="145"/>
      <c r="AB431" s="145"/>
      <c r="AC431" s="146"/>
      <c r="AD431" s="145"/>
      <c r="AE431" s="145"/>
      <c r="AF431" s="145"/>
      <c r="AG431" s="145"/>
      <c r="AH431" s="146"/>
      <c r="AI431" s="145"/>
      <c r="AJ431" s="145"/>
      <c r="AK431" s="145"/>
      <c r="AL431" s="145"/>
      <c r="AM431" s="145"/>
      <c r="AN431" s="145"/>
      <c r="AO431" s="145"/>
      <c r="AP431" s="74"/>
      <c r="AQ431" s="74"/>
      <c r="AR431" s="74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</row>
    <row r="432" spans="1:85" ht="15.75" customHeight="1" x14ac:dyDescent="0.45">
      <c r="A432" s="22"/>
      <c r="B432" s="12"/>
      <c r="C432" s="12"/>
      <c r="D432" s="155"/>
      <c r="E432" s="22"/>
      <c r="F432" s="22"/>
      <c r="G432" s="12"/>
      <c r="H432" s="22"/>
      <c r="I432" s="22"/>
      <c r="J432" s="22"/>
      <c r="K432" s="22"/>
      <c r="L432" s="22"/>
      <c r="M432" s="22"/>
      <c r="N432" s="22"/>
      <c r="O432" s="145"/>
      <c r="P432" s="145"/>
      <c r="Q432" s="145"/>
      <c r="R432" s="145"/>
      <c r="S432" s="22"/>
      <c r="T432" s="145"/>
      <c r="U432" s="145"/>
      <c r="V432" s="145"/>
      <c r="W432" s="145"/>
      <c r="X432" s="53"/>
      <c r="Y432" s="74"/>
      <c r="Z432" s="145"/>
      <c r="AA432" s="145"/>
      <c r="AB432" s="145"/>
      <c r="AC432" s="146"/>
      <c r="AD432" s="145"/>
      <c r="AE432" s="145"/>
      <c r="AF432" s="145"/>
      <c r="AG432" s="145"/>
      <c r="AH432" s="146"/>
      <c r="AI432" s="145"/>
      <c r="AJ432" s="145"/>
      <c r="AK432" s="145"/>
      <c r="AL432" s="145"/>
      <c r="AM432" s="145"/>
      <c r="AN432" s="145"/>
      <c r="AO432" s="145"/>
      <c r="AP432" s="74"/>
      <c r="AQ432" s="74"/>
      <c r="AR432" s="74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</row>
    <row r="433" spans="1:85" ht="15.75" customHeight="1" x14ac:dyDescent="0.45">
      <c r="A433" s="22"/>
      <c r="B433" s="12"/>
      <c r="C433" s="12"/>
      <c r="D433" s="155"/>
      <c r="E433" s="22"/>
      <c r="F433" s="22"/>
      <c r="G433" s="12"/>
      <c r="H433" s="22"/>
      <c r="I433" s="22"/>
      <c r="J433" s="22"/>
      <c r="K433" s="22"/>
      <c r="L433" s="22"/>
      <c r="M433" s="22"/>
      <c r="N433" s="22"/>
      <c r="O433" s="145"/>
      <c r="P433" s="145"/>
      <c r="Q433" s="145"/>
      <c r="R433" s="145"/>
      <c r="S433" s="22"/>
      <c r="T433" s="145"/>
      <c r="U433" s="145"/>
      <c r="V433" s="145"/>
      <c r="W433" s="145"/>
      <c r="X433" s="53"/>
      <c r="Y433" s="74"/>
      <c r="Z433" s="145"/>
      <c r="AA433" s="145"/>
      <c r="AB433" s="145"/>
      <c r="AC433" s="146"/>
      <c r="AD433" s="145"/>
      <c r="AE433" s="145"/>
      <c r="AF433" s="145"/>
      <c r="AG433" s="145"/>
      <c r="AH433" s="146"/>
      <c r="AI433" s="145"/>
      <c r="AJ433" s="145"/>
      <c r="AK433" s="145"/>
      <c r="AL433" s="145"/>
      <c r="AM433" s="145"/>
      <c r="AN433" s="145"/>
      <c r="AO433" s="145"/>
      <c r="AP433" s="74"/>
      <c r="AQ433" s="74"/>
      <c r="AR433" s="74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</row>
    <row r="434" spans="1:85" ht="15.75" customHeight="1" x14ac:dyDescent="0.45">
      <c r="A434" s="22"/>
      <c r="B434" s="12"/>
      <c r="C434" s="12"/>
      <c r="D434" s="155"/>
      <c r="E434" s="22"/>
      <c r="F434" s="22"/>
      <c r="G434" s="12"/>
      <c r="H434" s="22"/>
      <c r="I434" s="22"/>
      <c r="J434" s="22"/>
      <c r="K434" s="22"/>
      <c r="L434" s="22"/>
      <c r="M434" s="22"/>
      <c r="N434" s="22"/>
      <c r="O434" s="145"/>
      <c r="P434" s="145"/>
      <c r="Q434" s="145"/>
      <c r="R434" s="145"/>
      <c r="S434" s="22"/>
      <c r="T434" s="145"/>
      <c r="U434" s="145"/>
      <c r="V434" s="145"/>
      <c r="W434" s="145"/>
      <c r="X434" s="53"/>
      <c r="Y434" s="74"/>
      <c r="Z434" s="145"/>
      <c r="AA434" s="145"/>
      <c r="AB434" s="145"/>
      <c r="AC434" s="146"/>
      <c r="AD434" s="145"/>
      <c r="AE434" s="145"/>
      <c r="AF434" s="145"/>
      <c r="AG434" s="145"/>
      <c r="AH434" s="146"/>
      <c r="AI434" s="145"/>
      <c r="AJ434" s="145"/>
      <c r="AK434" s="145"/>
      <c r="AL434" s="145"/>
      <c r="AM434" s="145"/>
      <c r="AN434" s="145"/>
      <c r="AO434" s="145"/>
      <c r="AP434" s="74"/>
      <c r="AQ434" s="74"/>
      <c r="AR434" s="74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</row>
    <row r="435" spans="1:85" ht="15.75" customHeight="1" x14ac:dyDescent="0.45">
      <c r="A435" s="22"/>
      <c r="B435" s="12"/>
      <c r="C435" s="12"/>
      <c r="D435" s="155"/>
      <c r="E435" s="22"/>
      <c r="F435" s="22"/>
      <c r="G435" s="12"/>
      <c r="H435" s="22"/>
      <c r="I435" s="22"/>
      <c r="J435" s="22"/>
      <c r="K435" s="22"/>
      <c r="L435" s="22"/>
      <c r="M435" s="22"/>
      <c r="N435" s="22"/>
      <c r="O435" s="145"/>
      <c r="P435" s="145"/>
      <c r="Q435" s="145"/>
      <c r="R435" s="145"/>
      <c r="S435" s="22"/>
      <c r="T435" s="145"/>
      <c r="U435" s="145"/>
      <c r="V435" s="145"/>
      <c r="W435" s="145"/>
      <c r="X435" s="53"/>
      <c r="Y435" s="74"/>
      <c r="Z435" s="145"/>
      <c r="AA435" s="145"/>
      <c r="AB435" s="145"/>
      <c r="AC435" s="146"/>
      <c r="AD435" s="145"/>
      <c r="AE435" s="145"/>
      <c r="AF435" s="145"/>
      <c r="AG435" s="145"/>
      <c r="AH435" s="146"/>
      <c r="AI435" s="145"/>
      <c r="AJ435" s="145"/>
      <c r="AK435" s="145"/>
      <c r="AL435" s="145"/>
      <c r="AM435" s="145"/>
      <c r="AN435" s="145"/>
      <c r="AO435" s="145"/>
      <c r="AP435" s="74"/>
      <c r="AQ435" s="74"/>
      <c r="AR435" s="74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</row>
    <row r="436" spans="1:85" ht="15.75" customHeight="1" x14ac:dyDescent="0.45">
      <c r="A436" s="22"/>
      <c r="B436" s="12"/>
      <c r="C436" s="12"/>
      <c r="D436" s="155"/>
      <c r="E436" s="22"/>
      <c r="F436" s="22"/>
      <c r="G436" s="12"/>
      <c r="H436" s="22"/>
      <c r="I436" s="22"/>
      <c r="J436" s="22"/>
      <c r="K436" s="22"/>
      <c r="L436" s="22"/>
      <c r="M436" s="22"/>
      <c r="N436" s="22"/>
      <c r="O436" s="145"/>
      <c r="P436" s="145"/>
      <c r="Q436" s="145"/>
      <c r="R436" s="145"/>
      <c r="S436" s="22"/>
      <c r="T436" s="145"/>
      <c r="U436" s="145"/>
      <c r="V436" s="145"/>
      <c r="W436" s="145"/>
      <c r="X436" s="53"/>
      <c r="Y436" s="74"/>
      <c r="Z436" s="145"/>
      <c r="AA436" s="145"/>
      <c r="AB436" s="145"/>
      <c r="AC436" s="146"/>
      <c r="AD436" s="145"/>
      <c r="AE436" s="145"/>
      <c r="AF436" s="145"/>
      <c r="AG436" s="145"/>
      <c r="AH436" s="146"/>
      <c r="AI436" s="145"/>
      <c r="AJ436" s="145"/>
      <c r="AK436" s="145"/>
      <c r="AL436" s="145"/>
      <c r="AM436" s="145"/>
      <c r="AN436" s="145"/>
      <c r="AO436" s="145"/>
      <c r="AP436" s="74"/>
      <c r="AQ436" s="74"/>
      <c r="AR436" s="74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</row>
    <row r="437" spans="1:85" ht="15.75" customHeight="1" x14ac:dyDescent="0.45">
      <c r="A437" s="22"/>
      <c r="B437" s="12"/>
      <c r="C437" s="12"/>
      <c r="D437" s="155"/>
      <c r="E437" s="22"/>
      <c r="F437" s="22"/>
      <c r="G437" s="12"/>
      <c r="H437" s="22"/>
      <c r="I437" s="22"/>
      <c r="J437" s="22"/>
      <c r="K437" s="22"/>
      <c r="L437" s="22"/>
      <c r="M437" s="22"/>
      <c r="N437" s="22"/>
      <c r="O437" s="145"/>
      <c r="P437" s="145"/>
      <c r="Q437" s="145"/>
      <c r="R437" s="145"/>
      <c r="S437" s="22"/>
      <c r="T437" s="145"/>
      <c r="U437" s="145"/>
      <c r="V437" s="145"/>
      <c r="W437" s="145"/>
      <c r="X437" s="53"/>
      <c r="Y437" s="74"/>
      <c r="Z437" s="145"/>
      <c r="AA437" s="145"/>
      <c r="AB437" s="145"/>
      <c r="AC437" s="146"/>
      <c r="AD437" s="145"/>
      <c r="AE437" s="145"/>
      <c r="AF437" s="145"/>
      <c r="AG437" s="145"/>
      <c r="AH437" s="146"/>
      <c r="AI437" s="145"/>
      <c r="AJ437" s="145"/>
      <c r="AK437" s="145"/>
      <c r="AL437" s="145"/>
      <c r="AM437" s="145"/>
      <c r="AN437" s="145"/>
      <c r="AO437" s="145"/>
      <c r="AP437" s="74"/>
      <c r="AQ437" s="74"/>
      <c r="AR437" s="74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</row>
    <row r="438" spans="1:85" ht="15.75" customHeight="1" x14ac:dyDescent="0.45">
      <c r="A438" s="22"/>
      <c r="B438" s="12"/>
      <c r="C438" s="12"/>
      <c r="D438" s="155"/>
      <c r="E438" s="22"/>
      <c r="F438" s="22"/>
      <c r="G438" s="12"/>
      <c r="H438" s="22"/>
      <c r="I438" s="22"/>
      <c r="J438" s="22"/>
      <c r="K438" s="22"/>
      <c r="L438" s="22"/>
      <c r="M438" s="22"/>
      <c r="N438" s="22"/>
      <c r="O438" s="145"/>
      <c r="P438" s="145"/>
      <c r="Q438" s="145"/>
      <c r="R438" s="145"/>
      <c r="S438" s="22"/>
      <c r="T438" s="145"/>
      <c r="U438" s="145"/>
      <c r="V438" s="145"/>
      <c r="W438" s="145"/>
      <c r="X438" s="53"/>
      <c r="Y438" s="74"/>
      <c r="Z438" s="145"/>
      <c r="AA438" s="145"/>
      <c r="AB438" s="145"/>
      <c r="AC438" s="146"/>
      <c r="AD438" s="145"/>
      <c r="AE438" s="145"/>
      <c r="AF438" s="145"/>
      <c r="AG438" s="145"/>
      <c r="AH438" s="146"/>
      <c r="AI438" s="145"/>
      <c r="AJ438" s="145"/>
      <c r="AK438" s="145"/>
      <c r="AL438" s="145"/>
      <c r="AM438" s="145"/>
      <c r="AN438" s="145"/>
      <c r="AO438" s="145"/>
      <c r="AP438" s="74"/>
      <c r="AQ438" s="74"/>
      <c r="AR438" s="74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</row>
    <row r="439" spans="1:85" ht="15.75" customHeight="1" x14ac:dyDescent="0.45">
      <c r="A439" s="22"/>
      <c r="B439" s="12"/>
      <c r="C439" s="12"/>
      <c r="D439" s="155"/>
      <c r="E439" s="22"/>
      <c r="F439" s="22"/>
      <c r="G439" s="12"/>
      <c r="H439" s="22"/>
      <c r="I439" s="22"/>
      <c r="J439" s="22"/>
      <c r="K439" s="22"/>
      <c r="L439" s="22"/>
      <c r="M439" s="22"/>
      <c r="N439" s="22"/>
      <c r="O439" s="145"/>
      <c r="P439" s="145"/>
      <c r="Q439" s="145"/>
      <c r="R439" s="145"/>
      <c r="S439" s="22"/>
      <c r="T439" s="145"/>
      <c r="U439" s="145"/>
      <c r="V439" s="145"/>
      <c r="W439" s="145"/>
      <c r="X439" s="53"/>
      <c r="Y439" s="74"/>
      <c r="Z439" s="145"/>
      <c r="AA439" s="145"/>
      <c r="AB439" s="145"/>
      <c r="AC439" s="146"/>
      <c r="AD439" s="145"/>
      <c r="AE439" s="145"/>
      <c r="AF439" s="145"/>
      <c r="AG439" s="145"/>
      <c r="AH439" s="146"/>
      <c r="AI439" s="145"/>
      <c r="AJ439" s="145"/>
      <c r="AK439" s="145"/>
      <c r="AL439" s="145"/>
      <c r="AM439" s="145"/>
      <c r="AN439" s="145"/>
      <c r="AO439" s="145"/>
      <c r="AP439" s="74"/>
      <c r="AQ439" s="74"/>
      <c r="AR439" s="74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</row>
    <row r="440" spans="1:85" ht="15.75" customHeight="1" x14ac:dyDescent="0.45">
      <c r="A440" s="22"/>
      <c r="B440" s="12"/>
      <c r="C440" s="12"/>
      <c r="D440" s="155"/>
      <c r="E440" s="22"/>
      <c r="F440" s="22"/>
      <c r="G440" s="12"/>
      <c r="H440" s="22"/>
      <c r="I440" s="22"/>
      <c r="J440" s="22"/>
      <c r="K440" s="22"/>
      <c r="L440" s="22"/>
      <c r="M440" s="22"/>
      <c r="N440" s="22"/>
      <c r="O440" s="145"/>
      <c r="P440" s="145"/>
      <c r="Q440" s="145"/>
      <c r="R440" s="145"/>
      <c r="S440" s="22"/>
      <c r="T440" s="145"/>
      <c r="U440" s="145"/>
      <c r="V440" s="145"/>
      <c r="W440" s="145"/>
      <c r="X440" s="53"/>
      <c r="Y440" s="74"/>
      <c r="Z440" s="145"/>
      <c r="AA440" s="145"/>
      <c r="AB440" s="145"/>
      <c r="AC440" s="146"/>
      <c r="AD440" s="145"/>
      <c r="AE440" s="145"/>
      <c r="AF440" s="145"/>
      <c r="AG440" s="145"/>
      <c r="AH440" s="146"/>
      <c r="AI440" s="145"/>
      <c r="AJ440" s="145"/>
      <c r="AK440" s="145"/>
      <c r="AL440" s="145"/>
      <c r="AM440" s="145"/>
      <c r="AN440" s="145"/>
      <c r="AO440" s="145"/>
      <c r="AP440" s="74"/>
      <c r="AQ440" s="74"/>
      <c r="AR440" s="74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</row>
    <row r="441" spans="1:85" ht="15.75" customHeight="1" x14ac:dyDescent="0.45">
      <c r="A441" s="22"/>
      <c r="B441" s="12"/>
      <c r="C441" s="12"/>
      <c r="D441" s="155"/>
      <c r="E441" s="22"/>
      <c r="F441" s="22"/>
      <c r="G441" s="12"/>
      <c r="H441" s="22"/>
      <c r="I441" s="22"/>
      <c r="J441" s="22"/>
      <c r="K441" s="22"/>
      <c r="L441" s="22"/>
      <c r="M441" s="22"/>
      <c r="N441" s="22"/>
      <c r="O441" s="145"/>
      <c r="P441" s="145"/>
      <c r="Q441" s="145"/>
      <c r="R441" s="145"/>
      <c r="S441" s="22"/>
      <c r="T441" s="145"/>
      <c r="U441" s="145"/>
      <c r="V441" s="145"/>
      <c r="W441" s="145"/>
      <c r="X441" s="53"/>
      <c r="Y441" s="74"/>
      <c r="Z441" s="145"/>
      <c r="AA441" s="145"/>
      <c r="AB441" s="145"/>
      <c r="AC441" s="146"/>
      <c r="AD441" s="145"/>
      <c r="AE441" s="145"/>
      <c r="AF441" s="145"/>
      <c r="AG441" s="145"/>
      <c r="AH441" s="146"/>
      <c r="AI441" s="145"/>
      <c r="AJ441" s="145"/>
      <c r="AK441" s="145"/>
      <c r="AL441" s="145"/>
      <c r="AM441" s="145"/>
      <c r="AN441" s="145"/>
      <c r="AO441" s="145"/>
      <c r="AP441" s="74"/>
      <c r="AQ441" s="74"/>
      <c r="AR441" s="74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</row>
    <row r="442" spans="1:85" ht="15.75" customHeight="1" x14ac:dyDescent="0.45">
      <c r="A442" s="22"/>
      <c r="B442" s="12"/>
      <c r="C442" s="12"/>
      <c r="D442" s="155"/>
      <c r="E442" s="22"/>
      <c r="F442" s="22"/>
      <c r="G442" s="12"/>
      <c r="H442" s="22"/>
      <c r="I442" s="22"/>
      <c r="J442" s="22"/>
      <c r="K442" s="22"/>
      <c r="L442" s="22"/>
      <c r="M442" s="22"/>
      <c r="N442" s="22"/>
      <c r="O442" s="145"/>
      <c r="P442" s="145"/>
      <c r="Q442" s="145"/>
      <c r="R442" s="145"/>
      <c r="S442" s="22"/>
      <c r="T442" s="145"/>
      <c r="U442" s="145"/>
      <c r="V442" s="145"/>
      <c r="W442" s="145"/>
      <c r="X442" s="53"/>
      <c r="Y442" s="74"/>
      <c r="Z442" s="145"/>
      <c r="AA442" s="145"/>
      <c r="AB442" s="145"/>
      <c r="AC442" s="146"/>
      <c r="AD442" s="145"/>
      <c r="AE442" s="145"/>
      <c r="AF442" s="145"/>
      <c r="AG442" s="145"/>
      <c r="AH442" s="146"/>
      <c r="AI442" s="145"/>
      <c r="AJ442" s="145"/>
      <c r="AK442" s="145"/>
      <c r="AL442" s="145"/>
      <c r="AM442" s="145"/>
      <c r="AN442" s="145"/>
      <c r="AO442" s="145"/>
      <c r="AP442" s="74"/>
      <c r="AQ442" s="74"/>
      <c r="AR442" s="74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</row>
    <row r="443" spans="1:85" ht="15.75" customHeight="1" x14ac:dyDescent="0.45">
      <c r="A443" s="22"/>
      <c r="B443" s="12"/>
      <c r="C443" s="12"/>
      <c r="D443" s="155"/>
      <c r="E443" s="22"/>
      <c r="F443" s="22"/>
      <c r="G443" s="12"/>
      <c r="H443" s="22"/>
      <c r="I443" s="22"/>
      <c r="J443" s="22"/>
      <c r="K443" s="22"/>
      <c r="L443" s="22"/>
      <c r="M443" s="22"/>
      <c r="N443" s="22"/>
      <c r="O443" s="145"/>
      <c r="P443" s="145"/>
      <c r="Q443" s="145"/>
      <c r="R443" s="145"/>
      <c r="S443" s="22"/>
      <c r="T443" s="145"/>
      <c r="U443" s="145"/>
      <c r="V443" s="145"/>
      <c r="W443" s="145"/>
      <c r="X443" s="53"/>
      <c r="Y443" s="74"/>
      <c r="Z443" s="145"/>
      <c r="AA443" s="145"/>
      <c r="AB443" s="145"/>
      <c r="AC443" s="146"/>
      <c r="AD443" s="145"/>
      <c r="AE443" s="145"/>
      <c r="AF443" s="145"/>
      <c r="AG443" s="145"/>
      <c r="AH443" s="146"/>
      <c r="AI443" s="145"/>
      <c r="AJ443" s="145"/>
      <c r="AK443" s="145"/>
      <c r="AL443" s="145"/>
      <c r="AM443" s="145"/>
      <c r="AN443" s="145"/>
      <c r="AO443" s="145"/>
      <c r="AP443" s="74"/>
      <c r="AQ443" s="74"/>
      <c r="AR443" s="74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</row>
    <row r="444" spans="1:85" ht="15.75" customHeight="1" x14ac:dyDescent="0.45">
      <c r="A444" s="22"/>
      <c r="B444" s="12"/>
      <c r="C444" s="12"/>
      <c r="D444" s="155"/>
      <c r="E444" s="22"/>
      <c r="F444" s="22"/>
      <c r="G444" s="12"/>
      <c r="H444" s="22"/>
      <c r="I444" s="22"/>
      <c r="J444" s="22"/>
      <c r="K444" s="22"/>
      <c r="L444" s="22"/>
      <c r="M444" s="22"/>
      <c r="N444" s="22"/>
      <c r="O444" s="145"/>
      <c r="P444" s="145"/>
      <c r="Q444" s="145"/>
      <c r="R444" s="145"/>
      <c r="S444" s="22"/>
      <c r="T444" s="145"/>
      <c r="U444" s="145"/>
      <c r="V444" s="145"/>
      <c r="W444" s="145"/>
      <c r="X444" s="53"/>
      <c r="Y444" s="74"/>
      <c r="Z444" s="145"/>
      <c r="AA444" s="145"/>
      <c r="AB444" s="145"/>
      <c r="AC444" s="146"/>
      <c r="AD444" s="145"/>
      <c r="AE444" s="145"/>
      <c r="AF444" s="145"/>
      <c r="AG444" s="145"/>
      <c r="AH444" s="146"/>
      <c r="AI444" s="145"/>
      <c r="AJ444" s="145"/>
      <c r="AK444" s="145"/>
      <c r="AL444" s="145"/>
      <c r="AM444" s="145"/>
      <c r="AN444" s="145"/>
      <c r="AO444" s="145"/>
      <c r="AP444" s="74"/>
      <c r="AQ444" s="74"/>
      <c r="AR444" s="74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</row>
    <row r="445" spans="1:85" ht="15.75" customHeight="1" x14ac:dyDescent="0.45">
      <c r="A445" s="22"/>
      <c r="B445" s="12"/>
      <c r="C445" s="12"/>
      <c r="D445" s="155"/>
      <c r="E445" s="22"/>
      <c r="F445" s="22"/>
      <c r="G445" s="12"/>
      <c r="H445" s="22"/>
      <c r="I445" s="22"/>
      <c r="J445" s="22"/>
      <c r="K445" s="22"/>
      <c r="L445" s="22"/>
      <c r="M445" s="22"/>
      <c r="N445" s="22"/>
      <c r="O445" s="145"/>
      <c r="P445" s="145"/>
      <c r="Q445" s="145"/>
      <c r="R445" s="145"/>
      <c r="S445" s="22"/>
      <c r="T445" s="145"/>
      <c r="U445" s="145"/>
      <c r="V445" s="145"/>
      <c r="W445" s="145"/>
      <c r="X445" s="53"/>
      <c r="Y445" s="74"/>
      <c r="Z445" s="145"/>
      <c r="AA445" s="145"/>
      <c r="AB445" s="145"/>
      <c r="AC445" s="146"/>
      <c r="AD445" s="145"/>
      <c r="AE445" s="145"/>
      <c r="AF445" s="145"/>
      <c r="AG445" s="145"/>
      <c r="AH445" s="146"/>
      <c r="AI445" s="145"/>
      <c r="AJ445" s="145"/>
      <c r="AK445" s="145"/>
      <c r="AL445" s="145"/>
      <c r="AM445" s="145"/>
      <c r="AN445" s="145"/>
      <c r="AO445" s="145"/>
      <c r="AP445" s="74"/>
      <c r="AQ445" s="74"/>
      <c r="AR445" s="74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</row>
    <row r="446" spans="1:85" ht="15.75" customHeight="1" x14ac:dyDescent="0.45">
      <c r="A446" s="22"/>
      <c r="B446" s="12"/>
      <c r="C446" s="12"/>
      <c r="D446" s="155"/>
      <c r="E446" s="22"/>
      <c r="F446" s="22"/>
      <c r="G446" s="12"/>
      <c r="H446" s="22"/>
      <c r="I446" s="22"/>
      <c r="J446" s="22"/>
      <c r="K446" s="22"/>
      <c r="L446" s="22"/>
      <c r="M446" s="22"/>
      <c r="N446" s="22"/>
      <c r="O446" s="145"/>
      <c r="P446" s="145"/>
      <c r="Q446" s="145"/>
      <c r="R446" s="145"/>
      <c r="S446" s="22"/>
      <c r="T446" s="145"/>
      <c r="U446" s="145"/>
      <c r="V446" s="145"/>
      <c r="W446" s="145"/>
      <c r="X446" s="53"/>
      <c r="Y446" s="74"/>
      <c r="Z446" s="145"/>
      <c r="AA446" s="145"/>
      <c r="AB446" s="145"/>
      <c r="AC446" s="146"/>
      <c r="AD446" s="145"/>
      <c r="AE446" s="145"/>
      <c r="AF446" s="145"/>
      <c r="AG446" s="145"/>
      <c r="AH446" s="146"/>
      <c r="AI446" s="145"/>
      <c r="AJ446" s="145"/>
      <c r="AK446" s="145"/>
      <c r="AL446" s="145"/>
      <c r="AM446" s="145"/>
      <c r="AN446" s="145"/>
      <c r="AO446" s="145"/>
      <c r="AP446" s="74"/>
      <c r="AQ446" s="74"/>
      <c r="AR446" s="74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</row>
    <row r="447" spans="1:85" ht="15.75" customHeight="1" x14ac:dyDescent="0.45">
      <c r="A447" s="22"/>
      <c r="B447" s="12"/>
      <c r="C447" s="12"/>
      <c r="D447" s="155"/>
      <c r="E447" s="22"/>
      <c r="F447" s="22"/>
      <c r="G447" s="12"/>
      <c r="H447" s="22"/>
      <c r="I447" s="22"/>
      <c r="J447" s="22"/>
      <c r="K447" s="22"/>
      <c r="L447" s="22"/>
      <c r="M447" s="22"/>
      <c r="N447" s="22"/>
      <c r="O447" s="145"/>
      <c r="P447" s="145"/>
      <c r="Q447" s="145"/>
      <c r="R447" s="145"/>
      <c r="S447" s="22"/>
      <c r="T447" s="145"/>
      <c r="U447" s="145"/>
      <c r="V447" s="145"/>
      <c r="W447" s="145"/>
      <c r="X447" s="53"/>
      <c r="Y447" s="74"/>
      <c r="Z447" s="145"/>
      <c r="AA447" s="145"/>
      <c r="AB447" s="145"/>
      <c r="AC447" s="146"/>
      <c r="AD447" s="145"/>
      <c r="AE447" s="145"/>
      <c r="AF447" s="145"/>
      <c r="AG447" s="145"/>
      <c r="AH447" s="146"/>
      <c r="AI447" s="145"/>
      <c r="AJ447" s="145"/>
      <c r="AK447" s="145"/>
      <c r="AL447" s="145"/>
      <c r="AM447" s="145"/>
      <c r="AN447" s="145"/>
      <c r="AO447" s="145"/>
      <c r="AP447" s="74"/>
      <c r="AQ447" s="74"/>
      <c r="AR447" s="74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</row>
    <row r="448" spans="1:85" ht="15.75" customHeight="1" x14ac:dyDescent="0.45">
      <c r="A448" s="22"/>
      <c r="B448" s="12"/>
      <c r="C448" s="12"/>
      <c r="D448" s="155"/>
      <c r="E448" s="22"/>
      <c r="F448" s="22"/>
      <c r="G448" s="12"/>
      <c r="H448" s="22"/>
      <c r="I448" s="22"/>
      <c r="J448" s="22"/>
      <c r="K448" s="22"/>
      <c r="L448" s="22"/>
      <c r="M448" s="22"/>
      <c r="N448" s="22"/>
      <c r="O448" s="145"/>
      <c r="P448" s="145"/>
      <c r="Q448" s="145"/>
      <c r="R448" s="145"/>
      <c r="S448" s="22"/>
      <c r="T448" s="145"/>
      <c r="U448" s="145"/>
      <c r="V448" s="145"/>
      <c r="W448" s="145"/>
      <c r="X448" s="53"/>
      <c r="Y448" s="74"/>
      <c r="Z448" s="145"/>
      <c r="AA448" s="145"/>
      <c r="AB448" s="145"/>
      <c r="AC448" s="146"/>
      <c r="AD448" s="145"/>
      <c r="AE448" s="145"/>
      <c r="AF448" s="145"/>
      <c r="AG448" s="145"/>
      <c r="AH448" s="146"/>
      <c r="AI448" s="145"/>
      <c r="AJ448" s="145"/>
      <c r="AK448" s="145"/>
      <c r="AL448" s="145"/>
      <c r="AM448" s="145"/>
      <c r="AN448" s="145"/>
      <c r="AO448" s="145"/>
      <c r="AP448" s="74"/>
      <c r="AQ448" s="74"/>
      <c r="AR448" s="74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</row>
    <row r="449" spans="1:85" ht="15.75" customHeight="1" x14ac:dyDescent="0.45">
      <c r="A449" s="22"/>
      <c r="B449" s="12"/>
      <c r="C449" s="12"/>
      <c r="D449" s="155"/>
      <c r="E449" s="22"/>
      <c r="F449" s="22"/>
      <c r="G449" s="12"/>
      <c r="H449" s="22"/>
      <c r="I449" s="22"/>
      <c r="J449" s="22"/>
      <c r="K449" s="22"/>
      <c r="L449" s="22"/>
      <c r="M449" s="22"/>
      <c r="N449" s="22"/>
      <c r="O449" s="145"/>
      <c r="P449" s="145"/>
      <c r="Q449" s="145"/>
      <c r="R449" s="145"/>
      <c r="S449" s="22"/>
      <c r="T449" s="145"/>
      <c r="U449" s="145"/>
      <c r="V449" s="145"/>
      <c r="W449" s="145"/>
      <c r="X449" s="53"/>
      <c r="Y449" s="74"/>
      <c r="Z449" s="145"/>
      <c r="AA449" s="145"/>
      <c r="AB449" s="145"/>
      <c r="AC449" s="146"/>
      <c r="AD449" s="145"/>
      <c r="AE449" s="145"/>
      <c r="AF449" s="145"/>
      <c r="AG449" s="145"/>
      <c r="AH449" s="146"/>
      <c r="AI449" s="145"/>
      <c r="AJ449" s="145"/>
      <c r="AK449" s="145"/>
      <c r="AL449" s="145"/>
      <c r="AM449" s="145"/>
      <c r="AN449" s="145"/>
      <c r="AO449" s="145"/>
      <c r="AP449" s="74"/>
      <c r="AQ449" s="74"/>
      <c r="AR449" s="74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</row>
    <row r="450" spans="1:85" ht="15.75" customHeight="1" x14ac:dyDescent="0.45">
      <c r="A450" s="22"/>
      <c r="B450" s="12"/>
      <c r="C450" s="12"/>
      <c r="D450" s="155"/>
      <c r="E450" s="22"/>
      <c r="F450" s="22"/>
      <c r="G450" s="12"/>
      <c r="H450" s="22"/>
      <c r="I450" s="22"/>
      <c r="J450" s="22"/>
      <c r="K450" s="22"/>
      <c r="L450" s="22"/>
      <c r="M450" s="22"/>
      <c r="N450" s="22"/>
      <c r="O450" s="145"/>
      <c r="P450" s="145"/>
      <c r="Q450" s="145"/>
      <c r="R450" s="145"/>
      <c r="S450" s="22"/>
      <c r="T450" s="145"/>
      <c r="U450" s="145"/>
      <c r="V450" s="145"/>
      <c r="W450" s="145"/>
      <c r="X450" s="53"/>
      <c r="Y450" s="74"/>
      <c r="Z450" s="145"/>
      <c r="AA450" s="145"/>
      <c r="AB450" s="145"/>
      <c r="AC450" s="146"/>
      <c r="AD450" s="145"/>
      <c r="AE450" s="145"/>
      <c r="AF450" s="145"/>
      <c r="AG450" s="145"/>
      <c r="AH450" s="146"/>
      <c r="AI450" s="145"/>
      <c r="AJ450" s="145"/>
      <c r="AK450" s="145"/>
      <c r="AL450" s="145"/>
      <c r="AM450" s="145"/>
      <c r="AN450" s="145"/>
      <c r="AO450" s="145"/>
      <c r="AP450" s="74"/>
      <c r="AQ450" s="74"/>
      <c r="AR450" s="74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</row>
    <row r="451" spans="1:85" ht="15.75" customHeight="1" x14ac:dyDescent="0.45">
      <c r="A451" s="22"/>
      <c r="B451" s="12"/>
      <c r="C451" s="12"/>
      <c r="D451" s="155"/>
      <c r="E451" s="22"/>
      <c r="F451" s="22"/>
      <c r="G451" s="12"/>
      <c r="H451" s="22"/>
      <c r="I451" s="22"/>
      <c r="J451" s="22"/>
      <c r="K451" s="22"/>
      <c r="L451" s="22"/>
      <c r="M451" s="22"/>
      <c r="N451" s="22"/>
      <c r="O451" s="145"/>
      <c r="P451" s="145"/>
      <c r="Q451" s="145"/>
      <c r="R451" s="145"/>
      <c r="S451" s="22"/>
      <c r="T451" s="145"/>
      <c r="U451" s="145"/>
      <c r="V451" s="145"/>
      <c r="W451" s="145"/>
      <c r="X451" s="53"/>
      <c r="Y451" s="74"/>
      <c r="Z451" s="145"/>
      <c r="AA451" s="145"/>
      <c r="AB451" s="145"/>
      <c r="AC451" s="146"/>
      <c r="AD451" s="145"/>
      <c r="AE451" s="145"/>
      <c r="AF451" s="145"/>
      <c r="AG451" s="145"/>
      <c r="AH451" s="146"/>
      <c r="AI451" s="145"/>
      <c r="AJ451" s="145"/>
      <c r="AK451" s="145"/>
      <c r="AL451" s="145"/>
      <c r="AM451" s="145"/>
      <c r="AN451" s="145"/>
      <c r="AO451" s="145"/>
      <c r="AP451" s="74"/>
      <c r="AQ451" s="74"/>
      <c r="AR451" s="74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</row>
    <row r="452" spans="1:85" ht="15.75" customHeight="1" x14ac:dyDescent="0.45">
      <c r="A452" s="22"/>
      <c r="B452" s="12"/>
      <c r="C452" s="12"/>
      <c r="D452" s="155"/>
      <c r="E452" s="22"/>
      <c r="F452" s="22"/>
      <c r="G452" s="12"/>
      <c r="H452" s="22"/>
      <c r="I452" s="22"/>
      <c r="J452" s="22"/>
      <c r="K452" s="22"/>
      <c r="L452" s="22"/>
      <c r="M452" s="22"/>
      <c r="N452" s="22"/>
      <c r="O452" s="145"/>
      <c r="P452" s="145"/>
      <c r="Q452" s="145"/>
      <c r="R452" s="145"/>
      <c r="S452" s="22"/>
      <c r="T452" s="145"/>
      <c r="U452" s="145"/>
      <c r="V452" s="145"/>
      <c r="W452" s="145"/>
      <c r="X452" s="53"/>
      <c r="Y452" s="74"/>
      <c r="Z452" s="145"/>
      <c r="AA452" s="145"/>
      <c r="AB452" s="145"/>
      <c r="AC452" s="146"/>
      <c r="AD452" s="145"/>
      <c r="AE452" s="145"/>
      <c r="AF452" s="145"/>
      <c r="AG452" s="145"/>
      <c r="AH452" s="146"/>
      <c r="AI452" s="145"/>
      <c r="AJ452" s="145"/>
      <c r="AK452" s="145"/>
      <c r="AL452" s="145"/>
      <c r="AM452" s="145"/>
      <c r="AN452" s="145"/>
      <c r="AO452" s="145"/>
      <c r="AP452" s="74"/>
      <c r="AQ452" s="74"/>
      <c r="AR452" s="74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</row>
    <row r="453" spans="1:85" ht="15.75" customHeight="1" x14ac:dyDescent="0.45">
      <c r="A453" s="22"/>
      <c r="B453" s="12"/>
      <c r="C453" s="12"/>
      <c r="D453" s="155"/>
      <c r="E453" s="22"/>
      <c r="F453" s="22"/>
      <c r="G453" s="12"/>
      <c r="H453" s="22"/>
      <c r="I453" s="22"/>
      <c r="J453" s="22"/>
      <c r="K453" s="22"/>
      <c r="L453" s="22"/>
      <c r="M453" s="22"/>
      <c r="N453" s="22"/>
      <c r="O453" s="145"/>
      <c r="P453" s="145"/>
      <c r="Q453" s="145"/>
      <c r="R453" s="145"/>
      <c r="S453" s="22"/>
      <c r="T453" s="145"/>
      <c r="U453" s="145"/>
      <c r="V453" s="145"/>
      <c r="W453" s="145"/>
      <c r="X453" s="53"/>
      <c r="Y453" s="74"/>
      <c r="Z453" s="145"/>
      <c r="AA453" s="145"/>
      <c r="AB453" s="145"/>
      <c r="AC453" s="146"/>
      <c r="AD453" s="145"/>
      <c r="AE453" s="145"/>
      <c r="AF453" s="145"/>
      <c r="AG453" s="145"/>
      <c r="AH453" s="146"/>
      <c r="AI453" s="145"/>
      <c r="AJ453" s="145"/>
      <c r="AK453" s="145"/>
      <c r="AL453" s="145"/>
      <c r="AM453" s="145"/>
      <c r="AN453" s="145"/>
      <c r="AO453" s="145"/>
      <c r="AP453" s="74"/>
      <c r="AQ453" s="74"/>
      <c r="AR453" s="74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</row>
    <row r="454" spans="1:85" ht="15.75" customHeight="1" x14ac:dyDescent="0.45">
      <c r="A454" s="22"/>
      <c r="B454" s="12"/>
      <c r="C454" s="12"/>
      <c r="D454" s="155"/>
      <c r="E454" s="22"/>
      <c r="F454" s="22"/>
      <c r="G454" s="12"/>
      <c r="H454" s="22"/>
      <c r="I454" s="22"/>
      <c r="J454" s="22"/>
      <c r="K454" s="22"/>
      <c r="L454" s="22"/>
      <c r="M454" s="22"/>
      <c r="N454" s="22"/>
      <c r="O454" s="145"/>
      <c r="P454" s="145"/>
      <c r="Q454" s="145"/>
      <c r="R454" s="145"/>
      <c r="S454" s="22"/>
      <c r="T454" s="145"/>
      <c r="U454" s="145"/>
      <c r="V454" s="145"/>
      <c r="W454" s="145"/>
      <c r="X454" s="53"/>
      <c r="Y454" s="74"/>
      <c r="Z454" s="145"/>
      <c r="AA454" s="145"/>
      <c r="AB454" s="145"/>
      <c r="AC454" s="146"/>
      <c r="AD454" s="145"/>
      <c r="AE454" s="145"/>
      <c r="AF454" s="145"/>
      <c r="AG454" s="145"/>
      <c r="AH454" s="146"/>
      <c r="AI454" s="145"/>
      <c r="AJ454" s="145"/>
      <c r="AK454" s="145"/>
      <c r="AL454" s="145"/>
      <c r="AM454" s="145"/>
      <c r="AN454" s="145"/>
      <c r="AO454" s="145"/>
      <c r="AP454" s="74"/>
      <c r="AQ454" s="74"/>
      <c r="AR454" s="74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</row>
    <row r="455" spans="1:85" ht="15.75" customHeight="1" x14ac:dyDescent="0.45">
      <c r="A455" s="22"/>
      <c r="B455" s="12"/>
      <c r="C455" s="12"/>
      <c r="D455" s="155"/>
      <c r="E455" s="22"/>
      <c r="F455" s="22"/>
      <c r="G455" s="12"/>
      <c r="H455" s="22"/>
      <c r="I455" s="22"/>
      <c r="J455" s="22"/>
      <c r="K455" s="22"/>
      <c r="L455" s="22"/>
      <c r="M455" s="22"/>
      <c r="N455" s="22"/>
      <c r="O455" s="145"/>
      <c r="P455" s="145"/>
      <c r="Q455" s="145"/>
      <c r="R455" s="145"/>
      <c r="S455" s="22"/>
      <c r="T455" s="145"/>
      <c r="U455" s="145"/>
      <c r="V455" s="145"/>
      <c r="W455" s="145"/>
      <c r="X455" s="53"/>
      <c r="Y455" s="74"/>
      <c r="Z455" s="145"/>
      <c r="AA455" s="145"/>
      <c r="AB455" s="145"/>
      <c r="AC455" s="146"/>
      <c r="AD455" s="145"/>
      <c r="AE455" s="145"/>
      <c r="AF455" s="145"/>
      <c r="AG455" s="145"/>
      <c r="AH455" s="146"/>
      <c r="AI455" s="145"/>
      <c r="AJ455" s="145"/>
      <c r="AK455" s="145"/>
      <c r="AL455" s="145"/>
      <c r="AM455" s="145"/>
      <c r="AN455" s="145"/>
      <c r="AO455" s="145"/>
      <c r="AP455" s="74"/>
      <c r="AQ455" s="74"/>
      <c r="AR455" s="74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</row>
    <row r="456" spans="1:85" ht="15.75" customHeight="1" x14ac:dyDescent="0.45">
      <c r="A456" s="22"/>
      <c r="B456" s="12"/>
      <c r="C456" s="12"/>
      <c r="D456" s="155"/>
      <c r="E456" s="22"/>
      <c r="F456" s="22"/>
      <c r="G456" s="12"/>
      <c r="H456" s="22"/>
      <c r="I456" s="22"/>
      <c r="J456" s="22"/>
      <c r="K456" s="22"/>
      <c r="L456" s="22"/>
      <c r="M456" s="22"/>
      <c r="N456" s="22"/>
      <c r="O456" s="145"/>
      <c r="P456" s="145"/>
      <c r="Q456" s="145"/>
      <c r="R456" s="145"/>
      <c r="S456" s="22"/>
      <c r="T456" s="145"/>
      <c r="U456" s="145"/>
      <c r="V456" s="145"/>
      <c r="W456" s="145"/>
      <c r="X456" s="53"/>
      <c r="Y456" s="74"/>
      <c r="Z456" s="145"/>
      <c r="AA456" s="145"/>
      <c r="AB456" s="145"/>
      <c r="AC456" s="146"/>
      <c r="AD456" s="145"/>
      <c r="AE456" s="145"/>
      <c r="AF456" s="145"/>
      <c r="AG456" s="145"/>
      <c r="AH456" s="146"/>
      <c r="AI456" s="145"/>
      <c r="AJ456" s="145"/>
      <c r="AK456" s="145"/>
      <c r="AL456" s="145"/>
      <c r="AM456" s="145"/>
      <c r="AN456" s="145"/>
      <c r="AO456" s="145"/>
      <c r="AP456" s="74"/>
      <c r="AQ456" s="74"/>
      <c r="AR456" s="74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</row>
    <row r="457" spans="1:85" ht="15.75" customHeight="1" x14ac:dyDescent="0.45">
      <c r="A457" s="22"/>
      <c r="B457" s="12"/>
      <c r="C457" s="12"/>
      <c r="D457" s="155"/>
      <c r="E457" s="22"/>
      <c r="F457" s="22"/>
      <c r="G457" s="12"/>
      <c r="H457" s="22"/>
      <c r="I457" s="22"/>
      <c r="J457" s="22"/>
      <c r="K457" s="22"/>
      <c r="L457" s="22"/>
      <c r="M457" s="22"/>
      <c r="N457" s="22"/>
      <c r="O457" s="145"/>
      <c r="P457" s="145"/>
      <c r="Q457" s="145"/>
      <c r="R457" s="145"/>
      <c r="S457" s="22"/>
      <c r="T457" s="145"/>
      <c r="U457" s="145"/>
      <c r="V457" s="145"/>
      <c r="W457" s="145"/>
      <c r="X457" s="53"/>
      <c r="Y457" s="74"/>
      <c r="Z457" s="145"/>
      <c r="AA457" s="145"/>
      <c r="AB457" s="145"/>
      <c r="AC457" s="146"/>
      <c r="AD457" s="145"/>
      <c r="AE457" s="145"/>
      <c r="AF457" s="145"/>
      <c r="AG457" s="145"/>
      <c r="AH457" s="146"/>
      <c r="AI457" s="145"/>
      <c r="AJ457" s="145"/>
      <c r="AK457" s="145"/>
      <c r="AL457" s="145"/>
      <c r="AM457" s="145"/>
      <c r="AN457" s="145"/>
      <c r="AO457" s="145"/>
      <c r="AP457" s="74"/>
      <c r="AQ457" s="74"/>
      <c r="AR457" s="74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</row>
    <row r="458" spans="1:85" ht="15.75" customHeight="1" x14ac:dyDescent="0.45">
      <c r="A458" s="22"/>
      <c r="B458" s="12"/>
      <c r="C458" s="12"/>
      <c r="D458" s="155"/>
      <c r="E458" s="22"/>
      <c r="F458" s="22"/>
      <c r="G458" s="12"/>
      <c r="H458" s="22"/>
      <c r="I458" s="22"/>
      <c r="J458" s="22"/>
      <c r="K458" s="22"/>
      <c r="L458" s="22"/>
      <c r="M458" s="22"/>
      <c r="N458" s="22"/>
      <c r="O458" s="145"/>
      <c r="P458" s="145"/>
      <c r="Q458" s="145"/>
      <c r="R458" s="145"/>
      <c r="S458" s="22"/>
      <c r="T458" s="145"/>
      <c r="U458" s="145"/>
      <c r="V458" s="145"/>
      <c r="W458" s="145"/>
      <c r="X458" s="53"/>
      <c r="Y458" s="74"/>
      <c r="Z458" s="145"/>
      <c r="AA458" s="145"/>
      <c r="AB458" s="145"/>
      <c r="AC458" s="146"/>
      <c r="AD458" s="145"/>
      <c r="AE458" s="145"/>
      <c r="AF458" s="145"/>
      <c r="AG458" s="145"/>
      <c r="AH458" s="146"/>
      <c r="AI458" s="145"/>
      <c r="AJ458" s="145"/>
      <c r="AK458" s="145"/>
      <c r="AL458" s="145"/>
      <c r="AM458" s="145"/>
      <c r="AN458" s="145"/>
      <c r="AO458" s="145"/>
      <c r="AP458" s="74"/>
      <c r="AQ458" s="74"/>
      <c r="AR458" s="74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</row>
    <row r="459" spans="1:85" ht="15.75" customHeight="1" x14ac:dyDescent="0.45">
      <c r="A459" s="22"/>
      <c r="B459" s="12"/>
      <c r="C459" s="12"/>
      <c r="D459" s="155"/>
      <c r="E459" s="22"/>
      <c r="F459" s="22"/>
      <c r="G459" s="12"/>
      <c r="H459" s="22"/>
      <c r="I459" s="22"/>
      <c r="J459" s="22"/>
      <c r="K459" s="22"/>
      <c r="L459" s="22"/>
      <c r="M459" s="22"/>
      <c r="N459" s="22"/>
      <c r="O459" s="145"/>
      <c r="P459" s="145"/>
      <c r="Q459" s="145"/>
      <c r="R459" s="145"/>
      <c r="S459" s="22"/>
      <c r="T459" s="145"/>
      <c r="U459" s="145"/>
      <c r="V459" s="145"/>
      <c r="W459" s="145"/>
      <c r="X459" s="53"/>
      <c r="Y459" s="74"/>
      <c r="Z459" s="145"/>
      <c r="AA459" s="145"/>
      <c r="AB459" s="145"/>
      <c r="AC459" s="146"/>
      <c r="AD459" s="145"/>
      <c r="AE459" s="145"/>
      <c r="AF459" s="145"/>
      <c r="AG459" s="145"/>
      <c r="AH459" s="146"/>
      <c r="AI459" s="145"/>
      <c r="AJ459" s="145"/>
      <c r="AK459" s="145"/>
      <c r="AL459" s="145"/>
      <c r="AM459" s="145"/>
      <c r="AN459" s="145"/>
      <c r="AO459" s="145"/>
      <c r="AP459" s="74"/>
      <c r="AQ459" s="74"/>
      <c r="AR459" s="74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</row>
    <row r="460" spans="1:85" ht="15.75" customHeight="1" x14ac:dyDescent="0.45">
      <c r="A460" s="22"/>
      <c r="B460" s="12"/>
      <c r="C460" s="12"/>
      <c r="D460" s="155"/>
      <c r="E460" s="22"/>
      <c r="F460" s="22"/>
      <c r="G460" s="12"/>
      <c r="H460" s="22"/>
      <c r="I460" s="22"/>
      <c r="J460" s="22"/>
      <c r="K460" s="22"/>
      <c r="L460" s="22"/>
      <c r="M460" s="22"/>
      <c r="N460" s="22"/>
      <c r="O460" s="145"/>
      <c r="P460" s="145"/>
      <c r="Q460" s="145"/>
      <c r="R460" s="145"/>
      <c r="S460" s="22"/>
      <c r="T460" s="145"/>
      <c r="U460" s="145"/>
      <c r="V460" s="145"/>
      <c r="W460" s="145"/>
      <c r="X460" s="53"/>
      <c r="Y460" s="74"/>
      <c r="Z460" s="145"/>
      <c r="AA460" s="145"/>
      <c r="AB460" s="145"/>
      <c r="AC460" s="146"/>
      <c r="AD460" s="145"/>
      <c r="AE460" s="145"/>
      <c r="AF460" s="145"/>
      <c r="AG460" s="145"/>
      <c r="AH460" s="146"/>
      <c r="AI460" s="145"/>
      <c r="AJ460" s="145"/>
      <c r="AK460" s="145"/>
      <c r="AL460" s="145"/>
      <c r="AM460" s="145"/>
      <c r="AN460" s="145"/>
      <c r="AO460" s="145"/>
      <c r="AP460" s="74"/>
      <c r="AQ460" s="74"/>
      <c r="AR460" s="74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</row>
    <row r="461" spans="1:85" ht="15.75" customHeight="1" x14ac:dyDescent="0.45">
      <c r="A461" s="22"/>
      <c r="B461" s="12"/>
      <c r="C461" s="12"/>
      <c r="D461" s="155"/>
      <c r="E461" s="22"/>
      <c r="F461" s="22"/>
      <c r="G461" s="12"/>
      <c r="H461" s="22"/>
      <c r="I461" s="22"/>
      <c r="J461" s="22"/>
      <c r="K461" s="22"/>
      <c r="L461" s="22"/>
      <c r="M461" s="22"/>
      <c r="N461" s="22"/>
      <c r="O461" s="145"/>
      <c r="P461" s="145"/>
      <c r="Q461" s="145"/>
      <c r="R461" s="145"/>
      <c r="S461" s="22"/>
      <c r="T461" s="145"/>
      <c r="U461" s="145"/>
      <c r="V461" s="145"/>
      <c r="W461" s="145"/>
      <c r="X461" s="53"/>
      <c r="Y461" s="74"/>
      <c r="Z461" s="145"/>
      <c r="AA461" s="145"/>
      <c r="AB461" s="145"/>
      <c r="AC461" s="146"/>
      <c r="AD461" s="145"/>
      <c r="AE461" s="145"/>
      <c r="AF461" s="145"/>
      <c r="AG461" s="145"/>
      <c r="AH461" s="146"/>
      <c r="AI461" s="145"/>
      <c r="AJ461" s="145"/>
      <c r="AK461" s="145"/>
      <c r="AL461" s="145"/>
      <c r="AM461" s="145"/>
      <c r="AN461" s="145"/>
      <c r="AO461" s="145"/>
      <c r="AP461" s="74"/>
      <c r="AQ461" s="74"/>
      <c r="AR461" s="74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</row>
    <row r="462" spans="1:85" ht="15.75" customHeight="1" x14ac:dyDescent="0.45">
      <c r="A462" s="22"/>
      <c r="B462" s="12"/>
      <c r="C462" s="12"/>
      <c r="D462" s="155"/>
      <c r="E462" s="22"/>
      <c r="F462" s="22"/>
      <c r="G462" s="12"/>
      <c r="H462" s="22"/>
      <c r="I462" s="22"/>
      <c r="J462" s="22"/>
      <c r="K462" s="22"/>
      <c r="L462" s="22"/>
      <c r="M462" s="22"/>
      <c r="N462" s="22"/>
      <c r="O462" s="145"/>
      <c r="P462" s="145"/>
      <c r="Q462" s="145"/>
      <c r="R462" s="145"/>
      <c r="S462" s="22"/>
      <c r="T462" s="145"/>
      <c r="U462" s="145"/>
      <c r="V462" s="145"/>
      <c r="W462" s="145"/>
      <c r="X462" s="53"/>
      <c r="Y462" s="74"/>
      <c r="Z462" s="145"/>
      <c r="AA462" s="145"/>
      <c r="AB462" s="145"/>
      <c r="AC462" s="146"/>
      <c r="AD462" s="145"/>
      <c r="AE462" s="145"/>
      <c r="AF462" s="145"/>
      <c r="AG462" s="145"/>
      <c r="AH462" s="146"/>
      <c r="AI462" s="145"/>
      <c r="AJ462" s="145"/>
      <c r="AK462" s="145"/>
      <c r="AL462" s="145"/>
      <c r="AM462" s="145"/>
      <c r="AN462" s="145"/>
      <c r="AO462" s="145"/>
      <c r="AP462" s="74"/>
      <c r="AQ462" s="74"/>
      <c r="AR462" s="74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</row>
    <row r="463" spans="1:85" ht="15.75" customHeight="1" x14ac:dyDescent="0.45">
      <c r="A463" s="22"/>
      <c r="B463" s="12"/>
      <c r="C463" s="12"/>
      <c r="D463" s="155"/>
      <c r="E463" s="22"/>
      <c r="F463" s="22"/>
      <c r="G463" s="12"/>
      <c r="H463" s="22"/>
      <c r="I463" s="22"/>
      <c r="J463" s="22"/>
      <c r="K463" s="22"/>
      <c r="L463" s="22"/>
      <c r="M463" s="22"/>
      <c r="N463" s="22"/>
      <c r="O463" s="145"/>
      <c r="P463" s="145"/>
      <c r="Q463" s="145"/>
      <c r="R463" s="145"/>
      <c r="S463" s="22"/>
      <c r="T463" s="145"/>
      <c r="U463" s="145"/>
      <c r="V463" s="145"/>
      <c r="W463" s="145"/>
      <c r="X463" s="53"/>
      <c r="Y463" s="74"/>
      <c r="Z463" s="145"/>
      <c r="AA463" s="145"/>
      <c r="AB463" s="145"/>
      <c r="AC463" s="146"/>
      <c r="AD463" s="145"/>
      <c r="AE463" s="145"/>
      <c r="AF463" s="145"/>
      <c r="AG463" s="145"/>
      <c r="AH463" s="146"/>
      <c r="AI463" s="145"/>
      <c r="AJ463" s="145"/>
      <c r="AK463" s="145"/>
      <c r="AL463" s="145"/>
      <c r="AM463" s="145"/>
      <c r="AN463" s="145"/>
      <c r="AO463" s="145"/>
      <c r="AP463" s="74"/>
      <c r="AQ463" s="74"/>
      <c r="AR463" s="74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</row>
    <row r="464" spans="1:85" ht="15.75" customHeight="1" x14ac:dyDescent="0.45">
      <c r="A464" s="22"/>
      <c r="B464" s="12"/>
      <c r="C464" s="12"/>
      <c r="D464" s="155"/>
      <c r="E464" s="22"/>
      <c r="F464" s="22"/>
      <c r="G464" s="12"/>
      <c r="H464" s="22"/>
      <c r="I464" s="22"/>
      <c r="J464" s="22"/>
      <c r="K464" s="22"/>
      <c r="L464" s="22"/>
      <c r="M464" s="22"/>
      <c r="N464" s="22"/>
      <c r="O464" s="145"/>
      <c r="P464" s="145"/>
      <c r="Q464" s="145"/>
      <c r="R464" s="145"/>
      <c r="S464" s="22"/>
      <c r="T464" s="145"/>
      <c r="U464" s="145"/>
      <c r="V464" s="145"/>
      <c r="W464" s="145"/>
      <c r="X464" s="53"/>
      <c r="Y464" s="74"/>
      <c r="Z464" s="145"/>
      <c r="AA464" s="145"/>
      <c r="AB464" s="145"/>
      <c r="AC464" s="146"/>
      <c r="AD464" s="145"/>
      <c r="AE464" s="145"/>
      <c r="AF464" s="145"/>
      <c r="AG464" s="145"/>
      <c r="AH464" s="146"/>
      <c r="AI464" s="145"/>
      <c r="AJ464" s="145"/>
      <c r="AK464" s="145"/>
      <c r="AL464" s="145"/>
      <c r="AM464" s="145"/>
      <c r="AN464" s="145"/>
      <c r="AO464" s="145"/>
      <c r="AP464" s="74"/>
      <c r="AQ464" s="74"/>
      <c r="AR464" s="74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</row>
    <row r="465" spans="1:85" ht="15.75" customHeight="1" x14ac:dyDescent="0.45">
      <c r="A465" s="22"/>
      <c r="B465" s="12"/>
      <c r="C465" s="12"/>
      <c r="D465" s="155"/>
      <c r="E465" s="22"/>
      <c r="F465" s="22"/>
      <c r="G465" s="12"/>
      <c r="H465" s="22"/>
      <c r="I465" s="22"/>
      <c r="J465" s="22"/>
      <c r="K465" s="22"/>
      <c r="L465" s="22"/>
      <c r="M465" s="22"/>
      <c r="N465" s="22"/>
      <c r="O465" s="145"/>
      <c r="P465" s="145"/>
      <c r="Q465" s="145"/>
      <c r="R465" s="145"/>
      <c r="S465" s="22"/>
      <c r="T465" s="145"/>
      <c r="U465" s="145"/>
      <c r="V465" s="145"/>
      <c r="W465" s="145"/>
      <c r="X465" s="53"/>
      <c r="Y465" s="74"/>
      <c r="Z465" s="145"/>
      <c r="AA465" s="145"/>
      <c r="AB465" s="145"/>
      <c r="AC465" s="146"/>
      <c r="AD465" s="145"/>
      <c r="AE465" s="145"/>
      <c r="AF465" s="145"/>
      <c r="AG465" s="145"/>
      <c r="AH465" s="146"/>
      <c r="AI465" s="145"/>
      <c r="AJ465" s="145"/>
      <c r="AK465" s="145"/>
      <c r="AL465" s="145"/>
      <c r="AM465" s="145"/>
      <c r="AN465" s="145"/>
      <c r="AO465" s="145"/>
      <c r="AP465" s="74"/>
      <c r="AQ465" s="74"/>
      <c r="AR465" s="74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</row>
    <row r="466" spans="1:85" ht="15.75" customHeight="1" x14ac:dyDescent="0.45">
      <c r="A466" s="22"/>
      <c r="B466" s="12"/>
      <c r="C466" s="12"/>
      <c r="D466" s="155"/>
      <c r="E466" s="22"/>
      <c r="F466" s="22"/>
      <c r="G466" s="12"/>
      <c r="H466" s="22"/>
      <c r="I466" s="22"/>
      <c r="J466" s="22"/>
      <c r="K466" s="22"/>
      <c r="L466" s="22"/>
      <c r="M466" s="22"/>
      <c r="N466" s="22"/>
      <c r="O466" s="145"/>
      <c r="P466" s="145"/>
      <c r="Q466" s="145"/>
      <c r="R466" s="145"/>
      <c r="S466" s="22"/>
      <c r="T466" s="145"/>
      <c r="U466" s="145"/>
      <c r="V466" s="145"/>
      <c r="W466" s="145"/>
      <c r="X466" s="53"/>
      <c r="Y466" s="74"/>
      <c r="Z466" s="145"/>
      <c r="AA466" s="145"/>
      <c r="AB466" s="145"/>
      <c r="AC466" s="146"/>
      <c r="AD466" s="145"/>
      <c r="AE466" s="145"/>
      <c r="AF466" s="145"/>
      <c r="AG466" s="145"/>
      <c r="AH466" s="146"/>
      <c r="AI466" s="145"/>
      <c r="AJ466" s="145"/>
      <c r="AK466" s="145"/>
      <c r="AL466" s="145"/>
      <c r="AM466" s="145"/>
      <c r="AN466" s="145"/>
      <c r="AO466" s="145"/>
      <c r="AP466" s="74"/>
      <c r="AQ466" s="74"/>
      <c r="AR466" s="74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</row>
    <row r="467" spans="1:85" ht="15.75" customHeight="1" x14ac:dyDescent="0.45">
      <c r="A467" s="22"/>
      <c r="B467" s="12"/>
      <c r="C467" s="12"/>
      <c r="D467" s="155"/>
      <c r="E467" s="22"/>
      <c r="F467" s="22"/>
      <c r="G467" s="12"/>
      <c r="H467" s="22"/>
      <c r="I467" s="22"/>
      <c r="J467" s="22"/>
      <c r="K467" s="22"/>
      <c r="L467" s="22"/>
      <c r="M467" s="22"/>
      <c r="N467" s="22"/>
      <c r="O467" s="145"/>
      <c r="P467" s="145"/>
      <c r="Q467" s="145"/>
      <c r="R467" s="145"/>
      <c r="S467" s="22"/>
      <c r="T467" s="145"/>
      <c r="U467" s="145"/>
      <c r="V467" s="145"/>
      <c r="W467" s="145"/>
      <c r="X467" s="53"/>
      <c r="Y467" s="74"/>
      <c r="Z467" s="145"/>
      <c r="AA467" s="145"/>
      <c r="AB467" s="145"/>
      <c r="AC467" s="146"/>
      <c r="AD467" s="145"/>
      <c r="AE467" s="145"/>
      <c r="AF467" s="145"/>
      <c r="AG467" s="145"/>
      <c r="AH467" s="146"/>
      <c r="AI467" s="145"/>
      <c r="AJ467" s="145"/>
      <c r="AK467" s="145"/>
      <c r="AL467" s="145"/>
      <c r="AM467" s="145"/>
      <c r="AN467" s="145"/>
      <c r="AO467" s="145"/>
      <c r="AP467" s="74"/>
      <c r="AQ467" s="74"/>
      <c r="AR467" s="74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</row>
    <row r="468" spans="1:85" ht="15.75" customHeight="1" x14ac:dyDescent="0.45">
      <c r="A468" s="22"/>
      <c r="B468" s="12"/>
      <c r="C468" s="12"/>
      <c r="D468" s="155"/>
      <c r="E468" s="22"/>
      <c r="F468" s="22"/>
      <c r="G468" s="12"/>
      <c r="H468" s="22"/>
      <c r="I468" s="22"/>
      <c r="J468" s="22"/>
      <c r="K468" s="22"/>
      <c r="L468" s="22"/>
      <c r="M468" s="22"/>
      <c r="N468" s="22"/>
      <c r="O468" s="145"/>
      <c r="P468" s="145"/>
      <c r="Q468" s="145"/>
      <c r="R468" s="145"/>
      <c r="S468" s="22"/>
      <c r="T468" s="145"/>
      <c r="U468" s="145"/>
      <c r="V468" s="145"/>
      <c r="W468" s="145"/>
      <c r="X468" s="53"/>
      <c r="Y468" s="74"/>
      <c r="Z468" s="145"/>
      <c r="AA468" s="145"/>
      <c r="AB468" s="145"/>
      <c r="AC468" s="146"/>
      <c r="AD468" s="145"/>
      <c r="AE468" s="145"/>
      <c r="AF468" s="145"/>
      <c r="AG468" s="145"/>
      <c r="AH468" s="146"/>
      <c r="AI468" s="145"/>
      <c r="AJ468" s="145"/>
      <c r="AK468" s="145"/>
      <c r="AL468" s="145"/>
      <c r="AM468" s="145"/>
      <c r="AN468" s="145"/>
      <c r="AO468" s="145"/>
      <c r="AP468" s="74"/>
      <c r="AQ468" s="74"/>
      <c r="AR468" s="74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</row>
    <row r="469" spans="1:85" ht="15.75" customHeight="1" x14ac:dyDescent="0.45">
      <c r="A469" s="22"/>
      <c r="B469" s="12"/>
      <c r="C469" s="12"/>
      <c r="D469" s="155"/>
      <c r="E469" s="22"/>
      <c r="F469" s="22"/>
      <c r="G469" s="12"/>
      <c r="H469" s="22"/>
      <c r="I469" s="22"/>
      <c r="J469" s="22"/>
      <c r="K469" s="22"/>
      <c r="L469" s="22"/>
      <c r="M469" s="22"/>
      <c r="N469" s="22"/>
      <c r="O469" s="145"/>
      <c r="P469" s="145"/>
      <c r="Q469" s="145"/>
      <c r="R469" s="145"/>
      <c r="S469" s="22"/>
      <c r="T469" s="145"/>
      <c r="U469" s="145"/>
      <c r="V469" s="145"/>
      <c r="W469" s="145"/>
      <c r="X469" s="53"/>
      <c r="Y469" s="74"/>
      <c r="Z469" s="145"/>
      <c r="AA469" s="145"/>
      <c r="AB469" s="145"/>
      <c r="AC469" s="146"/>
      <c r="AD469" s="145"/>
      <c r="AE469" s="145"/>
      <c r="AF469" s="145"/>
      <c r="AG469" s="145"/>
      <c r="AH469" s="146"/>
      <c r="AI469" s="145"/>
      <c r="AJ469" s="145"/>
      <c r="AK469" s="145"/>
      <c r="AL469" s="145"/>
      <c r="AM469" s="145"/>
      <c r="AN469" s="145"/>
      <c r="AO469" s="145"/>
      <c r="AP469" s="74"/>
      <c r="AQ469" s="74"/>
      <c r="AR469" s="74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</row>
    <row r="470" spans="1:85" ht="15.75" customHeight="1" x14ac:dyDescent="0.45">
      <c r="A470" s="22"/>
      <c r="B470" s="12"/>
      <c r="C470" s="12"/>
      <c r="D470" s="155"/>
      <c r="E470" s="22"/>
      <c r="F470" s="22"/>
      <c r="G470" s="12"/>
      <c r="H470" s="22"/>
      <c r="I470" s="22"/>
      <c r="J470" s="22"/>
      <c r="K470" s="22"/>
      <c r="L470" s="22"/>
      <c r="M470" s="22"/>
      <c r="N470" s="22"/>
      <c r="O470" s="145"/>
      <c r="P470" s="145"/>
      <c r="Q470" s="145"/>
      <c r="R470" s="145"/>
      <c r="S470" s="22"/>
      <c r="T470" s="145"/>
      <c r="U470" s="145"/>
      <c r="V470" s="145"/>
      <c r="W470" s="145"/>
      <c r="X470" s="53"/>
      <c r="Y470" s="74"/>
      <c r="Z470" s="145"/>
      <c r="AA470" s="145"/>
      <c r="AB470" s="145"/>
      <c r="AC470" s="146"/>
      <c r="AD470" s="145"/>
      <c r="AE470" s="145"/>
      <c r="AF470" s="145"/>
      <c r="AG470" s="145"/>
      <c r="AH470" s="146"/>
      <c r="AI470" s="145"/>
      <c r="AJ470" s="145"/>
      <c r="AK470" s="145"/>
      <c r="AL470" s="145"/>
      <c r="AM470" s="145"/>
      <c r="AN470" s="145"/>
      <c r="AO470" s="145"/>
      <c r="AP470" s="74"/>
      <c r="AQ470" s="74"/>
      <c r="AR470" s="74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</row>
    <row r="471" spans="1:85" ht="15.75" customHeight="1" x14ac:dyDescent="0.45">
      <c r="A471" s="22"/>
      <c r="B471" s="12"/>
      <c r="C471" s="12"/>
      <c r="D471" s="155"/>
      <c r="E471" s="22"/>
      <c r="F471" s="22"/>
      <c r="G471" s="12"/>
      <c r="H471" s="22"/>
      <c r="I471" s="22"/>
      <c r="J471" s="22"/>
      <c r="K471" s="22"/>
      <c r="L471" s="22"/>
      <c r="M471" s="22"/>
      <c r="N471" s="22"/>
      <c r="O471" s="145"/>
      <c r="P471" s="145"/>
      <c r="Q471" s="145"/>
      <c r="R471" s="145"/>
      <c r="S471" s="22"/>
      <c r="T471" s="145"/>
      <c r="U471" s="145"/>
      <c r="V471" s="145"/>
      <c r="W471" s="145"/>
      <c r="X471" s="53"/>
      <c r="Y471" s="74"/>
      <c r="Z471" s="145"/>
      <c r="AA471" s="145"/>
      <c r="AB471" s="145"/>
      <c r="AC471" s="146"/>
      <c r="AD471" s="145"/>
      <c r="AE471" s="145"/>
      <c r="AF471" s="145"/>
      <c r="AG471" s="145"/>
      <c r="AH471" s="146"/>
      <c r="AI471" s="145"/>
      <c r="AJ471" s="145"/>
      <c r="AK471" s="145"/>
      <c r="AL471" s="145"/>
      <c r="AM471" s="145"/>
      <c r="AN471" s="145"/>
      <c r="AO471" s="145"/>
      <c r="AP471" s="74"/>
      <c r="AQ471" s="74"/>
      <c r="AR471" s="74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</row>
    <row r="472" spans="1:85" ht="15.75" customHeight="1" x14ac:dyDescent="0.45">
      <c r="A472" s="22"/>
      <c r="B472" s="12"/>
      <c r="C472" s="12"/>
      <c r="D472" s="155"/>
      <c r="E472" s="22"/>
      <c r="F472" s="22"/>
      <c r="G472" s="12"/>
      <c r="H472" s="22"/>
      <c r="I472" s="22"/>
      <c r="J472" s="22"/>
      <c r="K472" s="22"/>
      <c r="L472" s="22"/>
      <c r="M472" s="22"/>
      <c r="N472" s="22"/>
      <c r="O472" s="145"/>
      <c r="P472" s="145"/>
      <c r="Q472" s="145"/>
      <c r="R472" s="145"/>
      <c r="S472" s="22"/>
      <c r="T472" s="145"/>
      <c r="U472" s="145"/>
      <c r="V472" s="145"/>
      <c r="W472" s="145"/>
      <c r="X472" s="53"/>
      <c r="Y472" s="74"/>
      <c r="Z472" s="145"/>
      <c r="AA472" s="145"/>
      <c r="AB472" s="145"/>
      <c r="AC472" s="146"/>
      <c r="AD472" s="145"/>
      <c r="AE472" s="145"/>
      <c r="AF472" s="145"/>
      <c r="AG472" s="145"/>
      <c r="AH472" s="146"/>
      <c r="AI472" s="145"/>
      <c r="AJ472" s="145"/>
      <c r="AK472" s="145"/>
      <c r="AL472" s="145"/>
      <c r="AM472" s="145"/>
      <c r="AN472" s="145"/>
      <c r="AO472" s="145"/>
      <c r="AP472" s="74"/>
      <c r="AQ472" s="74"/>
      <c r="AR472" s="74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</row>
    <row r="473" spans="1:85" ht="15.75" customHeight="1" x14ac:dyDescent="0.45">
      <c r="A473" s="22"/>
      <c r="B473" s="12"/>
      <c r="C473" s="12"/>
      <c r="D473" s="155"/>
      <c r="E473" s="22"/>
      <c r="F473" s="22"/>
      <c r="G473" s="12"/>
      <c r="H473" s="22"/>
      <c r="I473" s="22"/>
      <c r="J473" s="22"/>
      <c r="K473" s="22"/>
      <c r="L473" s="22"/>
      <c r="M473" s="22"/>
      <c r="N473" s="22"/>
      <c r="O473" s="145"/>
      <c r="P473" s="145"/>
      <c r="Q473" s="145"/>
      <c r="R473" s="145"/>
      <c r="S473" s="22"/>
      <c r="T473" s="145"/>
      <c r="U473" s="145"/>
      <c r="V473" s="145"/>
      <c r="W473" s="145"/>
      <c r="X473" s="53"/>
      <c r="Y473" s="74"/>
      <c r="Z473" s="145"/>
      <c r="AA473" s="145"/>
      <c r="AB473" s="145"/>
      <c r="AC473" s="146"/>
      <c r="AD473" s="145"/>
      <c r="AE473" s="145"/>
      <c r="AF473" s="145"/>
      <c r="AG473" s="145"/>
      <c r="AH473" s="146"/>
      <c r="AI473" s="145"/>
      <c r="AJ473" s="145"/>
      <c r="AK473" s="145"/>
      <c r="AL473" s="145"/>
      <c r="AM473" s="145"/>
      <c r="AN473" s="145"/>
      <c r="AO473" s="145"/>
      <c r="AP473" s="74"/>
      <c r="AQ473" s="74"/>
      <c r="AR473" s="74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</row>
    <row r="474" spans="1:85" ht="15.75" customHeight="1" x14ac:dyDescent="0.45">
      <c r="A474" s="22"/>
      <c r="B474" s="12"/>
      <c r="C474" s="12"/>
      <c r="D474" s="155"/>
      <c r="E474" s="22"/>
      <c r="F474" s="22"/>
      <c r="G474" s="12"/>
      <c r="H474" s="22"/>
      <c r="I474" s="22"/>
      <c r="J474" s="22"/>
      <c r="K474" s="22"/>
      <c r="L474" s="22"/>
      <c r="M474" s="22"/>
      <c r="N474" s="22"/>
      <c r="O474" s="145"/>
      <c r="P474" s="145"/>
      <c r="Q474" s="145"/>
      <c r="R474" s="145"/>
      <c r="S474" s="22"/>
      <c r="T474" s="145"/>
      <c r="U474" s="145"/>
      <c r="V474" s="145"/>
      <c r="W474" s="145"/>
      <c r="X474" s="53"/>
      <c r="Y474" s="74"/>
      <c r="Z474" s="145"/>
      <c r="AA474" s="145"/>
      <c r="AB474" s="145"/>
      <c r="AC474" s="146"/>
      <c r="AD474" s="145"/>
      <c r="AE474" s="145"/>
      <c r="AF474" s="145"/>
      <c r="AG474" s="145"/>
      <c r="AH474" s="146"/>
      <c r="AI474" s="145"/>
      <c r="AJ474" s="145"/>
      <c r="AK474" s="145"/>
      <c r="AL474" s="145"/>
      <c r="AM474" s="145"/>
      <c r="AN474" s="145"/>
      <c r="AO474" s="145"/>
      <c r="AP474" s="74"/>
      <c r="AQ474" s="74"/>
      <c r="AR474" s="74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</row>
    <row r="475" spans="1:85" ht="15.75" customHeight="1" x14ac:dyDescent="0.45">
      <c r="A475" s="22"/>
      <c r="B475" s="12"/>
      <c r="C475" s="12"/>
      <c r="D475" s="155"/>
      <c r="E475" s="22"/>
      <c r="F475" s="22"/>
      <c r="G475" s="12"/>
      <c r="H475" s="22"/>
      <c r="I475" s="22"/>
      <c r="J475" s="22"/>
      <c r="K475" s="22"/>
      <c r="L475" s="22"/>
      <c r="M475" s="22"/>
      <c r="N475" s="22"/>
      <c r="O475" s="145"/>
      <c r="P475" s="145"/>
      <c r="Q475" s="145"/>
      <c r="R475" s="145"/>
      <c r="S475" s="22"/>
      <c r="T475" s="145"/>
      <c r="U475" s="145"/>
      <c r="V475" s="145"/>
      <c r="W475" s="145"/>
      <c r="X475" s="53"/>
      <c r="Y475" s="74"/>
      <c r="Z475" s="145"/>
      <c r="AA475" s="145"/>
      <c r="AB475" s="145"/>
      <c r="AC475" s="146"/>
      <c r="AD475" s="145"/>
      <c r="AE475" s="145"/>
      <c r="AF475" s="145"/>
      <c r="AG475" s="145"/>
      <c r="AH475" s="146"/>
      <c r="AI475" s="145"/>
      <c r="AJ475" s="145"/>
      <c r="AK475" s="145"/>
      <c r="AL475" s="145"/>
      <c r="AM475" s="145"/>
      <c r="AN475" s="145"/>
      <c r="AO475" s="145"/>
      <c r="AP475" s="74"/>
      <c r="AQ475" s="74"/>
      <c r="AR475" s="74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</row>
    <row r="476" spans="1:85" ht="15.75" customHeight="1" x14ac:dyDescent="0.45">
      <c r="A476" s="22"/>
      <c r="B476" s="12"/>
      <c r="C476" s="12"/>
      <c r="D476" s="155"/>
      <c r="E476" s="22"/>
      <c r="F476" s="22"/>
      <c r="G476" s="12"/>
      <c r="H476" s="22"/>
      <c r="I476" s="22"/>
      <c r="J476" s="22"/>
      <c r="K476" s="22"/>
      <c r="L476" s="22"/>
      <c r="M476" s="22"/>
      <c r="N476" s="22"/>
      <c r="O476" s="145"/>
      <c r="P476" s="145"/>
      <c r="Q476" s="145"/>
      <c r="R476" s="145"/>
      <c r="S476" s="22"/>
      <c r="T476" s="145"/>
      <c r="U476" s="145"/>
      <c r="V476" s="145"/>
      <c r="W476" s="145"/>
      <c r="X476" s="53"/>
      <c r="Y476" s="74"/>
      <c r="Z476" s="145"/>
      <c r="AA476" s="145"/>
      <c r="AB476" s="145"/>
      <c r="AC476" s="146"/>
      <c r="AD476" s="145"/>
      <c r="AE476" s="145"/>
      <c r="AF476" s="145"/>
      <c r="AG476" s="145"/>
      <c r="AH476" s="146"/>
      <c r="AI476" s="145"/>
      <c r="AJ476" s="145"/>
      <c r="AK476" s="145"/>
      <c r="AL476" s="145"/>
      <c r="AM476" s="145"/>
      <c r="AN476" s="145"/>
      <c r="AO476" s="145"/>
      <c r="AP476" s="74"/>
      <c r="AQ476" s="74"/>
      <c r="AR476" s="74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</row>
    <row r="477" spans="1:85" ht="15.75" customHeight="1" x14ac:dyDescent="0.45">
      <c r="A477" s="22"/>
      <c r="B477" s="12"/>
      <c r="C477" s="12"/>
      <c r="D477" s="155"/>
      <c r="E477" s="22"/>
      <c r="F477" s="22"/>
      <c r="G477" s="12"/>
      <c r="H477" s="22"/>
      <c r="I477" s="22"/>
      <c r="J477" s="22"/>
      <c r="K477" s="22"/>
      <c r="L477" s="22"/>
      <c r="M477" s="22"/>
      <c r="N477" s="22"/>
      <c r="O477" s="145"/>
      <c r="P477" s="145"/>
      <c r="Q477" s="145"/>
      <c r="R477" s="145"/>
      <c r="S477" s="22"/>
      <c r="T477" s="145"/>
      <c r="U477" s="145"/>
      <c r="V477" s="145"/>
      <c r="W477" s="145"/>
      <c r="X477" s="53"/>
      <c r="Y477" s="74"/>
      <c r="Z477" s="145"/>
      <c r="AA477" s="145"/>
      <c r="AB477" s="145"/>
      <c r="AC477" s="146"/>
      <c r="AD477" s="145"/>
      <c r="AE477" s="145"/>
      <c r="AF477" s="145"/>
      <c r="AG477" s="145"/>
      <c r="AH477" s="146"/>
      <c r="AI477" s="145"/>
      <c r="AJ477" s="145"/>
      <c r="AK477" s="145"/>
      <c r="AL477" s="145"/>
      <c r="AM477" s="145"/>
      <c r="AN477" s="145"/>
      <c r="AO477" s="145"/>
      <c r="AP477" s="74"/>
      <c r="AQ477" s="74"/>
      <c r="AR477" s="74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</row>
    <row r="478" spans="1:85" ht="15.75" customHeight="1" x14ac:dyDescent="0.45">
      <c r="A478" s="22"/>
      <c r="B478" s="12"/>
      <c r="C478" s="12"/>
      <c r="D478" s="155"/>
      <c r="E478" s="22"/>
      <c r="F478" s="22"/>
      <c r="G478" s="12"/>
      <c r="H478" s="22"/>
      <c r="I478" s="22"/>
      <c r="J478" s="22"/>
      <c r="K478" s="22"/>
      <c r="L478" s="22"/>
      <c r="M478" s="22"/>
      <c r="N478" s="22"/>
      <c r="O478" s="145"/>
      <c r="P478" s="145"/>
      <c r="Q478" s="145"/>
      <c r="R478" s="145"/>
      <c r="S478" s="22"/>
      <c r="T478" s="145"/>
      <c r="U478" s="145"/>
      <c r="V478" s="145"/>
      <c r="W478" s="145"/>
      <c r="X478" s="53"/>
      <c r="Y478" s="74"/>
      <c r="Z478" s="145"/>
      <c r="AA478" s="145"/>
      <c r="AB478" s="145"/>
      <c r="AC478" s="146"/>
      <c r="AD478" s="145"/>
      <c r="AE478" s="145"/>
      <c r="AF478" s="145"/>
      <c r="AG478" s="145"/>
      <c r="AH478" s="146"/>
      <c r="AI478" s="145"/>
      <c r="AJ478" s="145"/>
      <c r="AK478" s="145"/>
      <c r="AL478" s="145"/>
      <c r="AM478" s="145"/>
      <c r="AN478" s="145"/>
      <c r="AO478" s="145"/>
      <c r="AP478" s="74"/>
      <c r="AQ478" s="74"/>
      <c r="AR478" s="74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</row>
    <row r="479" spans="1:85" ht="15.75" customHeight="1" x14ac:dyDescent="0.45">
      <c r="A479" s="22"/>
      <c r="B479" s="12"/>
      <c r="C479" s="12"/>
      <c r="D479" s="155"/>
      <c r="E479" s="22"/>
      <c r="F479" s="22"/>
      <c r="G479" s="12"/>
      <c r="H479" s="22"/>
      <c r="I479" s="22"/>
      <c r="J479" s="22"/>
      <c r="K479" s="22"/>
      <c r="L479" s="22"/>
      <c r="M479" s="22"/>
      <c r="N479" s="22"/>
      <c r="O479" s="145"/>
      <c r="P479" s="145"/>
      <c r="Q479" s="145"/>
      <c r="R479" s="145"/>
      <c r="S479" s="22"/>
      <c r="T479" s="145"/>
      <c r="U479" s="145"/>
      <c r="V479" s="145"/>
      <c r="W479" s="145"/>
      <c r="X479" s="53"/>
      <c r="Y479" s="74"/>
      <c r="Z479" s="145"/>
      <c r="AA479" s="145"/>
      <c r="AB479" s="145"/>
      <c r="AC479" s="146"/>
      <c r="AD479" s="145"/>
      <c r="AE479" s="145"/>
      <c r="AF479" s="145"/>
      <c r="AG479" s="145"/>
      <c r="AH479" s="146"/>
      <c r="AI479" s="145"/>
      <c r="AJ479" s="145"/>
      <c r="AK479" s="145"/>
      <c r="AL479" s="145"/>
      <c r="AM479" s="145"/>
      <c r="AN479" s="145"/>
      <c r="AO479" s="145"/>
      <c r="AP479" s="74"/>
      <c r="AQ479" s="74"/>
      <c r="AR479" s="74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</row>
    <row r="480" spans="1:85" ht="15.75" customHeight="1" x14ac:dyDescent="0.45">
      <c r="A480" s="22"/>
      <c r="B480" s="12"/>
      <c r="C480" s="12"/>
      <c r="D480" s="155"/>
      <c r="E480" s="22"/>
      <c r="F480" s="22"/>
      <c r="G480" s="12"/>
      <c r="H480" s="22"/>
      <c r="I480" s="22"/>
      <c r="J480" s="22"/>
      <c r="K480" s="22"/>
      <c r="L480" s="22"/>
      <c r="M480" s="22"/>
      <c r="N480" s="22"/>
      <c r="O480" s="145"/>
      <c r="P480" s="145"/>
      <c r="Q480" s="145"/>
      <c r="R480" s="145"/>
      <c r="S480" s="22"/>
      <c r="T480" s="145"/>
      <c r="U480" s="145"/>
      <c r="V480" s="145"/>
      <c r="W480" s="145"/>
      <c r="X480" s="53"/>
      <c r="Y480" s="74"/>
      <c r="Z480" s="145"/>
      <c r="AA480" s="145"/>
      <c r="AB480" s="145"/>
      <c r="AC480" s="146"/>
      <c r="AD480" s="145"/>
      <c r="AE480" s="145"/>
      <c r="AF480" s="145"/>
      <c r="AG480" s="145"/>
      <c r="AH480" s="146"/>
      <c r="AI480" s="145"/>
      <c r="AJ480" s="145"/>
      <c r="AK480" s="145"/>
      <c r="AL480" s="145"/>
      <c r="AM480" s="145"/>
      <c r="AN480" s="145"/>
      <c r="AO480" s="145"/>
      <c r="AP480" s="74"/>
      <c r="AQ480" s="74"/>
      <c r="AR480" s="74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</row>
    <row r="481" spans="1:85" ht="15.75" customHeight="1" x14ac:dyDescent="0.45">
      <c r="A481" s="22"/>
      <c r="B481" s="12"/>
      <c r="C481" s="12"/>
      <c r="D481" s="155"/>
      <c r="E481" s="22"/>
      <c r="F481" s="22"/>
      <c r="G481" s="12"/>
      <c r="H481" s="22"/>
      <c r="I481" s="22"/>
      <c r="J481" s="22"/>
      <c r="K481" s="22"/>
      <c r="L481" s="22"/>
      <c r="M481" s="22"/>
      <c r="N481" s="22"/>
      <c r="O481" s="145"/>
      <c r="P481" s="145"/>
      <c r="Q481" s="145"/>
      <c r="R481" s="145"/>
      <c r="S481" s="22"/>
      <c r="T481" s="145"/>
      <c r="U481" s="145"/>
      <c r="V481" s="145"/>
      <c r="W481" s="145"/>
      <c r="X481" s="53"/>
      <c r="Y481" s="74"/>
      <c r="Z481" s="145"/>
      <c r="AA481" s="145"/>
      <c r="AB481" s="145"/>
      <c r="AC481" s="146"/>
      <c r="AD481" s="145"/>
      <c r="AE481" s="145"/>
      <c r="AF481" s="145"/>
      <c r="AG481" s="145"/>
      <c r="AH481" s="146"/>
      <c r="AI481" s="145"/>
      <c r="AJ481" s="145"/>
      <c r="AK481" s="145"/>
      <c r="AL481" s="145"/>
      <c r="AM481" s="145"/>
      <c r="AN481" s="145"/>
      <c r="AO481" s="145"/>
      <c r="AP481" s="74"/>
      <c r="AQ481" s="74"/>
      <c r="AR481" s="74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</row>
    <row r="482" spans="1:85" ht="15.75" customHeight="1" x14ac:dyDescent="0.45">
      <c r="A482" s="22"/>
      <c r="B482" s="12"/>
      <c r="C482" s="12"/>
      <c r="D482" s="155"/>
      <c r="E482" s="22"/>
      <c r="F482" s="22"/>
      <c r="G482" s="12"/>
      <c r="H482" s="22"/>
      <c r="I482" s="22"/>
      <c r="J482" s="22"/>
      <c r="K482" s="22"/>
      <c r="L482" s="22"/>
      <c r="M482" s="22"/>
      <c r="N482" s="22"/>
      <c r="O482" s="145"/>
      <c r="P482" s="145"/>
      <c r="Q482" s="145"/>
      <c r="R482" s="145"/>
      <c r="S482" s="22"/>
      <c r="T482" s="145"/>
      <c r="U482" s="145"/>
      <c r="V482" s="145"/>
      <c r="W482" s="145"/>
      <c r="X482" s="53"/>
      <c r="Y482" s="74"/>
      <c r="Z482" s="145"/>
      <c r="AA482" s="145"/>
      <c r="AB482" s="145"/>
      <c r="AC482" s="146"/>
      <c r="AD482" s="145"/>
      <c r="AE482" s="145"/>
      <c r="AF482" s="145"/>
      <c r="AG482" s="145"/>
      <c r="AH482" s="146"/>
      <c r="AI482" s="145"/>
      <c r="AJ482" s="145"/>
      <c r="AK482" s="145"/>
      <c r="AL482" s="145"/>
      <c r="AM482" s="145"/>
      <c r="AN482" s="145"/>
      <c r="AO482" s="145"/>
      <c r="AP482" s="74"/>
      <c r="AQ482" s="74"/>
      <c r="AR482" s="74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</row>
    <row r="483" spans="1:85" ht="15.75" customHeight="1" x14ac:dyDescent="0.45">
      <c r="A483" s="22"/>
      <c r="B483" s="12"/>
      <c r="C483" s="12"/>
      <c r="D483" s="155"/>
      <c r="E483" s="22"/>
      <c r="F483" s="22"/>
      <c r="G483" s="12"/>
      <c r="H483" s="22"/>
      <c r="I483" s="22"/>
      <c r="J483" s="22"/>
      <c r="K483" s="22"/>
      <c r="L483" s="22"/>
      <c r="M483" s="22"/>
      <c r="N483" s="22"/>
      <c r="O483" s="145"/>
      <c r="P483" s="145"/>
      <c r="Q483" s="145"/>
      <c r="R483" s="145"/>
      <c r="S483" s="22"/>
      <c r="T483" s="145"/>
      <c r="U483" s="145"/>
      <c r="V483" s="145"/>
      <c r="W483" s="145"/>
      <c r="X483" s="53"/>
      <c r="Y483" s="74"/>
      <c r="Z483" s="145"/>
      <c r="AA483" s="145"/>
      <c r="AB483" s="145"/>
      <c r="AC483" s="146"/>
      <c r="AD483" s="145"/>
      <c r="AE483" s="145"/>
      <c r="AF483" s="145"/>
      <c r="AG483" s="145"/>
      <c r="AH483" s="146"/>
      <c r="AI483" s="145"/>
      <c r="AJ483" s="145"/>
      <c r="AK483" s="145"/>
      <c r="AL483" s="145"/>
      <c r="AM483" s="145"/>
      <c r="AN483" s="145"/>
      <c r="AO483" s="145"/>
      <c r="AP483" s="74"/>
      <c r="AQ483" s="74"/>
      <c r="AR483" s="74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</row>
    <row r="484" spans="1:85" ht="15.75" customHeight="1" x14ac:dyDescent="0.45">
      <c r="A484" s="22"/>
      <c r="B484" s="12"/>
      <c r="C484" s="12"/>
      <c r="D484" s="155"/>
      <c r="E484" s="22"/>
      <c r="F484" s="22"/>
      <c r="G484" s="12"/>
      <c r="H484" s="22"/>
      <c r="I484" s="22"/>
      <c r="J484" s="22"/>
      <c r="K484" s="22"/>
      <c r="L484" s="22"/>
      <c r="M484" s="22"/>
      <c r="N484" s="22"/>
      <c r="O484" s="145"/>
      <c r="P484" s="145"/>
      <c r="Q484" s="145"/>
      <c r="R484" s="145"/>
      <c r="S484" s="22"/>
      <c r="T484" s="145"/>
      <c r="U484" s="145"/>
      <c r="V484" s="145"/>
      <c r="W484" s="145"/>
      <c r="X484" s="53"/>
      <c r="Y484" s="74"/>
      <c r="Z484" s="145"/>
      <c r="AA484" s="145"/>
      <c r="AB484" s="145"/>
      <c r="AC484" s="146"/>
      <c r="AD484" s="145"/>
      <c r="AE484" s="145"/>
      <c r="AF484" s="145"/>
      <c r="AG484" s="145"/>
      <c r="AH484" s="146"/>
      <c r="AI484" s="145"/>
      <c r="AJ484" s="145"/>
      <c r="AK484" s="145"/>
      <c r="AL484" s="145"/>
      <c r="AM484" s="145"/>
      <c r="AN484" s="145"/>
      <c r="AO484" s="145"/>
      <c r="AP484" s="74"/>
      <c r="AQ484" s="74"/>
      <c r="AR484" s="74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</row>
    <row r="485" spans="1:85" ht="15.75" customHeight="1" x14ac:dyDescent="0.45">
      <c r="A485" s="22"/>
      <c r="B485" s="12"/>
      <c r="C485" s="12"/>
      <c r="D485" s="155"/>
      <c r="E485" s="22"/>
      <c r="F485" s="22"/>
      <c r="G485" s="12"/>
      <c r="H485" s="22"/>
      <c r="I485" s="22"/>
      <c r="J485" s="22"/>
      <c r="K485" s="22"/>
      <c r="L485" s="22"/>
      <c r="M485" s="22"/>
      <c r="N485" s="22"/>
      <c r="O485" s="145"/>
      <c r="P485" s="145"/>
      <c r="Q485" s="145"/>
      <c r="R485" s="145"/>
      <c r="S485" s="22"/>
      <c r="T485" s="145"/>
      <c r="U485" s="145"/>
      <c r="V485" s="145"/>
      <c r="W485" s="145"/>
      <c r="X485" s="53"/>
      <c r="Y485" s="74"/>
      <c r="Z485" s="145"/>
      <c r="AA485" s="145"/>
      <c r="AB485" s="145"/>
      <c r="AC485" s="146"/>
      <c r="AD485" s="145"/>
      <c r="AE485" s="145"/>
      <c r="AF485" s="145"/>
      <c r="AG485" s="145"/>
      <c r="AH485" s="146"/>
      <c r="AI485" s="145"/>
      <c r="AJ485" s="145"/>
      <c r="AK485" s="145"/>
      <c r="AL485" s="145"/>
      <c r="AM485" s="145"/>
      <c r="AN485" s="145"/>
      <c r="AO485" s="145"/>
      <c r="AP485" s="74"/>
      <c r="AQ485" s="74"/>
      <c r="AR485" s="74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</row>
    <row r="486" spans="1:85" ht="15.75" customHeight="1" x14ac:dyDescent="0.45">
      <c r="A486" s="22"/>
      <c r="B486" s="12"/>
      <c r="C486" s="12"/>
      <c r="D486" s="155"/>
      <c r="E486" s="22"/>
      <c r="F486" s="22"/>
      <c r="G486" s="12"/>
      <c r="H486" s="22"/>
      <c r="I486" s="22"/>
      <c r="J486" s="22"/>
      <c r="K486" s="22"/>
      <c r="L486" s="22"/>
      <c r="M486" s="22"/>
      <c r="N486" s="22"/>
      <c r="O486" s="145"/>
      <c r="P486" s="145"/>
      <c r="Q486" s="145"/>
      <c r="R486" s="145"/>
      <c r="S486" s="22"/>
      <c r="T486" s="145"/>
      <c r="U486" s="145"/>
      <c r="V486" s="145"/>
      <c r="W486" s="145"/>
      <c r="X486" s="53"/>
      <c r="Y486" s="74"/>
      <c r="Z486" s="145"/>
      <c r="AA486" s="145"/>
      <c r="AB486" s="145"/>
      <c r="AC486" s="146"/>
      <c r="AD486" s="145"/>
      <c r="AE486" s="145"/>
      <c r="AF486" s="145"/>
      <c r="AG486" s="145"/>
      <c r="AH486" s="146"/>
      <c r="AI486" s="145"/>
      <c r="AJ486" s="145"/>
      <c r="AK486" s="145"/>
      <c r="AL486" s="145"/>
      <c r="AM486" s="145"/>
      <c r="AN486" s="145"/>
      <c r="AO486" s="145"/>
      <c r="AP486" s="74"/>
      <c r="AQ486" s="74"/>
      <c r="AR486" s="74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</row>
    <row r="487" spans="1:85" ht="15.75" customHeight="1" x14ac:dyDescent="0.45">
      <c r="A487" s="22"/>
      <c r="B487" s="12"/>
      <c r="C487" s="12"/>
      <c r="D487" s="155"/>
      <c r="E487" s="22"/>
      <c r="F487" s="22"/>
      <c r="G487" s="12"/>
      <c r="H487" s="22"/>
      <c r="I487" s="22"/>
      <c r="J487" s="22"/>
      <c r="K487" s="22"/>
      <c r="L487" s="22"/>
      <c r="M487" s="22"/>
      <c r="N487" s="22"/>
      <c r="O487" s="145"/>
      <c r="P487" s="145"/>
      <c r="Q487" s="145"/>
      <c r="R487" s="145"/>
      <c r="S487" s="22"/>
      <c r="T487" s="145"/>
      <c r="U487" s="145"/>
      <c r="V487" s="145"/>
      <c r="W487" s="145"/>
      <c r="X487" s="53"/>
      <c r="Y487" s="74"/>
      <c r="Z487" s="145"/>
      <c r="AA487" s="145"/>
      <c r="AB487" s="145"/>
      <c r="AC487" s="146"/>
      <c r="AD487" s="145"/>
      <c r="AE487" s="145"/>
      <c r="AF487" s="145"/>
      <c r="AG487" s="145"/>
      <c r="AH487" s="146"/>
      <c r="AI487" s="145"/>
      <c r="AJ487" s="145"/>
      <c r="AK487" s="145"/>
      <c r="AL487" s="145"/>
      <c r="AM487" s="145"/>
      <c r="AN487" s="145"/>
      <c r="AO487" s="145"/>
      <c r="AP487" s="74"/>
      <c r="AQ487" s="74"/>
      <c r="AR487" s="74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</row>
    <row r="488" spans="1:85" ht="15.75" customHeight="1" x14ac:dyDescent="0.45">
      <c r="A488" s="22"/>
      <c r="B488" s="12"/>
      <c r="C488" s="12"/>
      <c r="D488" s="155"/>
      <c r="E488" s="22"/>
      <c r="F488" s="22"/>
      <c r="G488" s="12"/>
      <c r="H488" s="22"/>
      <c r="I488" s="22"/>
      <c r="J488" s="22"/>
      <c r="K488" s="22"/>
      <c r="L488" s="22"/>
      <c r="M488" s="22"/>
      <c r="N488" s="22"/>
      <c r="O488" s="145"/>
      <c r="P488" s="145"/>
      <c r="Q488" s="145"/>
      <c r="R488" s="145"/>
      <c r="S488" s="22"/>
      <c r="T488" s="145"/>
      <c r="U488" s="145"/>
      <c r="V488" s="145"/>
      <c r="W488" s="145"/>
      <c r="X488" s="53"/>
      <c r="Y488" s="74"/>
      <c r="Z488" s="145"/>
      <c r="AA488" s="145"/>
      <c r="AB488" s="145"/>
      <c r="AC488" s="146"/>
      <c r="AD488" s="145"/>
      <c r="AE488" s="145"/>
      <c r="AF488" s="145"/>
      <c r="AG488" s="145"/>
      <c r="AH488" s="146"/>
      <c r="AI488" s="145"/>
      <c r="AJ488" s="145"/>
      <c r="AK488" s="145"/>
      <c r="AL488" s="145"/>
      <c r="AM488" s="145"/>
      <c r="AN488" s="145"/>
      <c r="AO488" s="145"/>
      <c r="AP488" s="74"/>
      <c r="AQ488" s="74"/>
      <c r="AR488" s="74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</row>
    <row r="489" spans="1:85" ht="15.75" customHeight="1" x14ac:dyDescent="0.45">
      <c r="A489" s="22"/>
      <c r="B489" s="12"/>
      <c r="C489" s="12"/>
      <c r="D489" s="155"/>
      <c r="E489" s="22"/>
      <c r="F489" s="22"/>
      <c r="G489" s="12"/>
      <c r="H489" s="22"/>
      <c r="I489" s="22"/>
      <c r="J489" s="22"/>
      <c r="K489" s="22"/>
      <c r="L489" s="22"/>
      <c r="M489" s="22"/>
      <c r="N489" s="22"/>
      <c r="O489" s="145"/>
      <c r="P489" s="145"/>
      <c r="Q489" s="145"/>
      <c r="R489" s="145"/>
      <c r="S489" s="22"/>
      <c r="T489" s="145"/>
      <c r="U489" s="145"/>
      <c r="V489" s="145"/>
      <c r="W489" s="145"/>
      <c r="X489" s="53"/>
      <c r="Y489" s="74"/>
      <c r="Z489" s="145"/>
      <c r="AA489" s="145"/>
      <c r="AB489" s="145"/>
      <c r="AC489" s="146"/>
      <c r="AD489" s="145"/>
      <c r="AE489" s="145"/>
      <c r="AF489" s="145"/>
      <c r="AG489" s="145"/>
      <c r="AH489" s="146"/>
      <c r="AI489" s="145"/>
      <c r="AJ489" s="145"/>
      <c r="AK489" s="145"/>
      <c r="AL489" s="145"/>
      <c r="AM489" s="145"/>
      <c r="AN489" s="145"/>
      <c r="AO489" s="145"/>
      <c r="AP489" s="74"/>
      <c r="AQ489" s="74"/>
      <c r="AR489" s="74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</row>
    <row r="490" spans="1:85" ht="15.75" customHeight="1" x14ac:dyDescent="0.45">
      <c r="A490" s="22"/>
      <c r="B490" s="12"/>
      <c r="C490" s="12"/>
      <c r="D490" s="155"/>
      <c r="E490" s="22"/>
      <c r="F490" s="22"/>
      <c r="G490" s="12"/>
      <c r="H490" s="22"/>
      <c r="I490" s="22"/>
      <c r="J490" s="22"/>
      <c r="K490" s="22"/>
      <c r="L490" s="22"/>
      <c r="M490" s="22"/>
      <c r="N490" s="22"/>
      <c r="O490" s="145"/>
      <c r="P490" s="145"/>
      <c r="Q490" s="145"/>
      <c r="R490" s="145"/>
      <c r="S490" s="22"/>
      <c r="T490" s="145"/>
      <c r="U490" s="145"/>
      <c r="V490" s="145"/>
      <c r="W490" s="145"/>
      <c r="X490" s="53"/>
      <c r="Y490" s="74"/>
      <c r="Z490" s="145"/>
      <c r="AA490" s="145"/>
      <c r="AB490" s="145"/>
      <c r="AC490" s="146"/>
      <c r="AD490" s="145"/>
      <c r="AE490" s="145"/>
      <c r="AF490" s="145"/>
      <c r="AG490" s="145"/>
      <c r="AH490" s="146"/>
      <c r="AI490" s="145"/>
      <c r="AJ490" s="145"/>
      <c r="AK490" s="145"/>
      <c r="AL490" s="145"/>
      <c r="AM490" s="145"/>
      <c r="AN490" s="145"/>
      <c r="AO490" s="145"/>
      <c r="AP490" s="74"/>
      <c r="AQ490" s="74"/>
      <c r="AR490" s="74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</row>
    <row r="491" spans="1:85" ht="15.75" customHeight="1" x14ac:dyDescent="0.45">
      <c r="A491" s="22"/>
      <c r="B491" s="12"/>
      <c r="C491" s="12"/>
      <c r="D491" s="155"/>
      <c r="E491" s="22"/>
      <c r="F491" s="22"/>
      <c r="G491" s="12"/>
      <c r="H491" s="22"/>
      <c r="I491" s="22"/>
      <c r="J491" s="22"/>
      <c r="K491" s="22"/>
      <c r="L491" s="22"/>
      <c r="M491" s="22"/>
      <c r="N491" s="22"/>
      <c r="O491" s="145"/>
      <c r="P491" s="145"/>
      <c r="Q491" s="145"/>
      <c r="R491" s="145"/>
      <c r="S491" s="22"/>
      <c r="T491" s="145"/>
      <c r="U491" s="145"/>
      <c r="V491" s="145"/>
      <c r="W491" s="145"/>
      <c r="X491" s="53"/>
      <c r="Y491" s="74"/>
      <c r="Z491" s="145"/>
      <c r="AA491" s="145"/>
      <c r="AB491" s="145"/>
      <c r="AC491" s="146"/>
      <c r="AD491" s="145"/>
      <c r="AE491" s="145"/>
      <c r="AF491" s="145"/>
      <c r="AG491" s="145"/>
      <c r="AH491" s="146"/>
      <c r="AI491" s="145"/>
      <c r="AJ491" s="145"/>
      <c r="AK491" s="145"/>
      <c r="AL491" s="145"/>
      <c r="AM491" s="145"/>
      <c r="AN491" s="145"/>
      <c r="AO491" s="145"/>
      <c r="AP491" s="74"/>
      <c r="AQ491" s="74"/>
      <c r="AR491" s="74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</row>
    <row r="492" spans="1:85" ht="15.75" customHeight="1" x14ac:dyDescent="0.45">
      <c r="A492" s="22"/>
      <c r="B492" s="12"/>
      <c r="C492" s="12"/>
      <c r="D492" s="155"/>
      <c r="E492" s="22"/>
      <c r="F492" s="22"/>
      <c r="G492" s="12"/>
      <c r="H492" s="22"/>
      <c r="I492" s="22"/>
      <c r="J492" s="22"/>
      <c r="K492" s="22"/>
      <c r="L492" s="22"/>
      <c r="M492" s="22"/>
      <c r="N492" s="22"/>
      <c r="O492" s="145"/>
      <c r="P492" s="145"/>
      <c r="Q492" s="145"/>
      <c r="R492" s="145"/>
      <c r="S492" s="22"/>
      <c r="T492" s="145"/>
      <c r="U492" s="145"/>
      <c r="V492" s="145"/>
      <c r="W492" s="145"/>
      <c r="X492" s="53"/>
      <c r="Y492" s="74"/>
      <c r="Z492" s="145"/>
      <c r="AA492" s="145"/>
      <c r="AB492" s="145"/>
      <c r="AC492" s="146"/>
      <c r="AD492" s="145"/>
      <c r="AE492" s="145"/>
      <c r="AF492" s="145"/>
      <c r="AG492" s="145"/>
      <c r="AH492" s="146"/>
      <c r="AI492" s="145"/>
      <c r="AJ492" s="145"/>
      <c r="AK492" s="145"/>
      <c r="AL492" s="145"/>
      <c r="AM492" s="145"/>
      <c r="AN492" s="145"/>
      <c r="AO492" s="145"/>
      <c r="AP492" s="74"/>
      <c r="AQ492" s="74"/>
      <c r="AR492" s="74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</row>
    <row r="493" spans="1:85" ht="15.75" customHeight="1" x14ac:dyDescent="0.45">
      <c r="A493" s="22"/>
      <c r="B493" s="12"/>
      <c r="C493" s="12"/>
      <c r="D493" s="155"/>
      <c r="E493" s="22"/>
      <c r="F493" s="22"/>
      <c r="G493" s="12"/>
      <c r="H493" s="22"/>
      <c r="I493" s="22"/>
      <c r="J493" s="22"/>
      <c r="K493" s="22"/>
      <c r="L493" s="22"/>
      <c r="M493" s="22"/>
      <c r="N493" s="22"/>
      <c r="O493" s="145"/>
      <c r="P493" s="145"/>
      <c r="Q493" s="145"/>
      <c r="R493" s="145"/>
      <c r="S493" s="22"/>
      <c r="T493" s="145"/>
      <c r="U493" s="145"/>
      <c r="V493" s="145"/>
      <c r="W493" s="145"/>
      <c r="X493" s="53"/>
      <c r="Y493" s="74"/>
      <c r="Z493" s="145"/>
      <c r="AA493" s="145"/>
      <c r="AB493" s="145"/>
      <c r="AC493" s="146"/>
      <c r="AD493" s="145"/>
      <c r="AE493" s="145"/>
      <c r="AF493" s="145"/>
      <c r="AG493" s="145"/>
      <c r="AH493" s="146"/>
      <c r="AI493" s="145"/>
      <c r="AJ493" s="145"/>
      <c r="AK493" s="145"/>
      <c r="AL493" s="145"/>
      <c r="AM493" s="145"/>
      <c r="AN493" s="145"/>
      <c r="AO493" s="145"/>
      <c r="AP493" s="74"/>
      <c r="AQ493" s="74"/>
      <c r="AR493" s="74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</row>
    <row r="494" spans="1:85" ht="15.75" customHeight="1" x14ac:dyDescent="0.45">
      <c r="A494" s="22"/>
      <c r="B494" s="12"/>
      <c r="C494" s="12"/>
      <c r="D494" s="155"/>
      <c r="E494" s="22"/>
      <c r="F494" s="22"/>
      <c r="G494" s="12"/>
      <c r="H494" s="22"/>
      <c r="I494" s="22"/>
      <c r="J494" s="22"/>
      <c r="K494" s="22"/>
      <c r="L494" s="22"/>
      <c r="M494" s="22"/>
      <c r="N494" s="22"/>
      <c r="O494" s="145"/>
      <c r="P494" s="145"/>
      <c r="Q494" s="145"/>
      <c r="R494" s="145"/>
      <c r="S494" s="22"/>
      <c r="T494" s="145"/>
      <c r="U494" s="145"/>
      <c r="V494" s="145"/>
      <c r="W494" s="145"/>
      <c r="X494" s="53"/>
      <c r="Y494" s="74"/>
      <c r="Z494" s="145"/>
      <c r="AA494" s="145"/>
      <c r="AB494" s="145"/>
      <c r="AC494" s="146"/>
      <c r="AD494" s="145"/>
      <c r="AE494" s="145"/>
      <c r="AF494" s="145"/>
      <c r="AG494" s="145"/>
      <c r="AH494" s="146"/>
      <c r="AI494" s="145"/>
      <c r="AJ494" s="145"/>
      <c r="AK494" s="145"/>
      <c r="AL494" s="145"/>
      <c r="AM494" s="145"/>
      <c r="AN494" s="145"/>
      <c r="AO494" s="145"/>
      <c r="AP494" s="74"/>
      <c r="AQ494" s="74"/>
      <c r="AR494" s="74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</row>
    <row r="495" spans="1:85" ht="15.75" customHeight="1" x14ac:dyDescent="0.45">
      <c r="A495" s="22"/>
      <c r="B495" s="12"/>
      <c r="C495" s="12"/>
      <c r="D495" s="155"/>
      <c r="E495" s="22"/>
      <c r="F495" s="22"/>
      <c r="G495" s="12"/>
      <c r="H495" s="22"/>
      <c r="I495" s="22"/>
      <c r="J495" s="22"/>
      <c r="K495" s="22"/>
      <c r="L495" s="22"/>
      <c r="M495" s="22"/>
      <c r="N495" s="22"/>
      <c r="O495" s="145"/>
      <c r="P495" s="145"/>
      <c r="Q495" s="145"/>
      <c r="R495" s="145"/>
      <c r="S495" s="22"/>
      <c r="T495" s="145"/>
      <c r="U495" s="145"/>
      <c r="V495" s="145"/>
      <c r="W495" s="145"/>
      <c r="X495" s="53"/>
      <c r="Y495" s="74"/>
      <c r="Z495" s="145"/>
      <c r="AA495" s="145"/>
      <c r="AB495" s="145"/>
      <c r="AC495" s="146"/>
      <c r="AD495" s="145"/>
      <c r="AE495" s="145"/>
      <c r="AF495" s="145"/>
      <c r="AG495" s="145"/>
      <c r="AH495" s="146"/>
      <c r="AI495" s="145"/>
      <c r="AJ495" s="145"/>
      <c r="AK495" s="145"/>
      <c r="AL495" s="145"/>
      <c r="AM495" s="145"/>
      <c r="AN495" s="145"/>
      <c r="AO495" s="145"/>
      <c r="AP495" s="74"/>
      <c r="AQ495" s="74"/>
      <c r="AR495" s="74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</row>
    <row r="496" spans="1:85" ht="15.75" customHeight="1" x14ac:dyDescent="0.45">
      <c r="A496" s="22"/>
      <c r="B496" s="12"/>
      <c r="C496" s="12"/>
      <c r="D496" s="155"/>
      <c r="E496" s="22"/>
      <c r="F496" s="22"/>
      <c r="G496" s="12"/>
      <c r="H496" s="22"/>
      <c r="I496" s="22"/>
      <c r="J496" s="22"/>
      <c r="K496" s="22"/>
      <c r="L496" s="22"/>
      <c r="M496" s="22"/>
      <c r="N496" s="22"/>
      <c r="O496" s="145"/>
      <c r="P496" s="145"/>
      <c r="Q496" s="145"/>
      <c r="R496" s="145"/>
      <c r="S496" s="22"/>
      <c r="T496" s="145"/>
      <c r="U496" s="145"/>
      <c r="V496" s="145"/>
      <c r="W496" s="145"/>
      <c r="X496" s="53"/>
      <c r="Y496" s="74"/>
      <c r="Z496" s="145"/>
      <c r="AA496" s="145"/>
      <c r="AB496" s="145"/>
      <c r="AC496" s="146"/>
      <c r="AD496" s="145"/>
      <c r="AE496" s="145"/>
      <c r="AF496" s="145"/>
      <c r="AG496" s="145"/>
      <c r="AH496" s="146"/>
      <c r="AI496" s="145"/>
      <c r="AJ496" s="145"/>
      <c r="AK496" s="145"/>
      <c r="AL496" s="145"/>
      <c r="AM496" s="145"/>
      <c r="AN496" s="145"/>
      <c r="AO496" s="145"/>
      <c r="AP496" s="74"/>
      <c r="AQ496" s="74"/>
      <c r="AR496" s="74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</row>
    <row r="497" spans="1:85" ht="15.75" customHeight="1" x14ac:dyDescent="0.45">
      <c r="A497" s="22"/>
      <c r="B497" s="12"/>
      <c r="C497" s="12"/>
      <c r="D497" s="155"/>
      <c r="E497" s="22"/>
      <c r="F497" s="22"/>
      <c r="G497" s="12"/>
      <c r="H497" s="22"/>
      <c r="I497" s="22"/>
      <c r="J497" s="22"/>
      <c r="K497" s="22"/>
      <c r="L497" s="22"/>
      <c r="M497" s="22"/>
      <c r="N497" s="22"/>
      <c r="O497" s="145"/>
      <c r="P497" s="145"/>
      <c r="Q497" s="145"/>
      <c r="R497" s="145"/>
      <c r="S497" s="22"/>
      <c r="T497" s="145"/>
      <c r="U497" s="145"/>
      <c r="V497" s="145"/>
      <c r="W497" s="145"/>
      <c r="X497" s="53"/>
      <c r="Y497" s="74"/>
      <c r="Z497" s="145"/>
      <c r="AA497" s="145"/>
      <c r="AB497" s="145"/>
      <c r="AC497" s="146"/>
      <c r="AD497" s="145"/>
      <c r="AE497" s="145"/>
      <c r="AF497" s="145"/>
      <c r="AG497" s="145"/>
      <c r="AH497" s="146"/>
      <c r="AI497" s="145"/>
      <c r="AJ497" s="145"/>
      <c r="AK497" s="145"/>
      <c r="AL497" s="145"/>
      <c r="AM497" s="145"/>
      <c r="AN497" s="145"/>
      <c r="AO497" s="145"/>
      <c r="AP497" s="74"/>
      <c r="AQ497" s="74"/>
      <c r="AR497" s="74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</row>
    <row r="498" spans="1:85" ht="15.75" customHeight="1" x14ac:dyDescent="0.45">
      <c r="A498" s="22"/>
      <c r="B498" s="12"/>
      <c r="C498" s="12"/>
      <c r="D498" s="155"/>
      <c r="E498" s="22"/>
      <c r="F498" s="22"/>
      <c r="G498" s="12"/>
      <c r="H498" s="22"/>
      <c r="I498" s="22"/>
      <c r="J498" s="22"/>
      <c r="K498" s="22"/>
      <c r="L498" s="22"/>
      <c r="M498" s="22"/>
      <c r="N498" s="22"/>
      <c r="O498" s="145"/>
      <c r="P498" s="145"/>
      <c r="Q498" s="145"/>
      <c r="R498" s="145"/>
      <c r="S498" s="22"/>
      <c r="T498" s="145"/>
      <c r="U498" s="145"/>
      <c r="V498" s="145"/>
      <c r="W498" s="145"/>
      <c r="X498" s="53"/>
      <c r="Y498" s="74"/>
      <c r="Z498" s="145"/>
      <c r="AA498" s="145"/>
      <c r="AB498" s="145"/>
      <c r="AC498" s="146"/>
      <c r="AD498" s="145"/>
      <c r="AE498" s="145"/>
      <c r="AF498" s="145"/>
      <c r="AG498" s="145"/>
      <c r="AH498" s="146"/>
      <c r="AI498" s="145"/>
      <c r="AJ498" s="145"/>
      <c r="AK498" s="145"/>
      <c r="AL498" s="145"/>
      <c r="AM498" s="145"/>
      <c r="AN498" s="145"/>
      <c r="AO498" s="145"/>
      <c r="AP498" s="74"/>
      <c r="AQ498" s="74"/>
      <c r="AR498" s="74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</row>
    <row r="499" spans="1:85" ht="15.75" customHeight="1" x14ac:dyDescent="0.45">
      <c r="A499" s="22"/>
      <c r="B499" s="12"/>
      <c r="C499" s="12"/>
      <c r="D499" s="155"/>
      <c r="E499" s="22"/>
      <c r="F499" s="22"/>
      <c r="G499" s="12"/>
      <c r="H499" s="22"/>
      <c r="I499" s="22"/>
      <c r="J499" s="22"/>
      <c r="K499" s="22"/>
      <c r="L499" s="22"/>
      <c r="M499" s="22"/>
      <c r="N499" s="22"/>
      <c r="O499" s="145"/>
      <c r="P499" s="145"/>
      <c r="Q499" s="145"/>
      <c r="R499" s="145"/>
      <c r="S499" s="22"/>
      <c r="T499" s="145"/>
      <c r="U499" s="145"/>
      <c r="V499" s="145"/>
      <c r="W499" s="145"/>
      <c r="X499" s="53"/>
      <c r="Y499" s="74"/>
      <c r="Z499" s="145"/>
      <c r="AA499" s="145"/>
      <c r="AB499" s="145"/>
      <c r="AC499" s="146"/>
      <c r="AD499" s="145"/>
      <c r="AE499" s="145"/>
      <c r="AF499" s="145"/>
      <c r="AG499" s="145"/>
      <c r="AH499" s="146"/>
      <c r="AI499" s="145"/>
      <c r="AJ499" s="145"/>
      <c r="AK499" s="145"/>
      <c r="AL499" s="145"/>
      <c r="AM499" s="145"/>
      <c r="AN499" s="145"/>
      <c r="AO499" s="145"/>
      <c r="AP499" s="74"/>
      <c r="AQ499" s="74"/>
      <c r="AR499" s="74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</row>
    <row r="500" spans="1:85" ht="15.75" customHeight="1" x14ac:dyDescent="0.45">
      <c r="A500" s="22"/>
      <c r="B500" s="12"/>
      <c r="C500" s="12"/>
      <c r="D500" s="155"/>
      <c r="E500" s="22"/>
      <c r="F500" s="22"/>
      <c r="G500" s="12"/>
      <c r="H500" s="22"/>
      <c r="I500" s="22"/>
      <c r="J500" s="22"/>
      <c r="K500" s="22"/>
      <c r="L500" s="22"/>
      <c r="M500" s="22"/>
      <c r="N500" s="22"/>
      <c r="O500" s="145"/>
      <c r="P500" s="145"/>
      <c r="Q500" s="145"/>
      <c r="R500" s="145"/>
      <c r="S500" s="22"/>
      <c r="T500" s="145"/>
      <c r="U500" s="145"/>
      <c r="V500" s="145"/>
      <c r="W500" s="145"/>
      <c r="X500" s="53"/>
      <c r="Y500" s="74"/>
      <c r="Z500" s="145"/>
      <c r="AA500" s="145"/>
      <c r="AB500" s="145"/>
      <c r="AC500" s="146"/>
      <c r="AD500" s="145"/>
      <c r="AE500" s="145"/>
      <c r="AF500" s="145"/>
      <c r="AG500" s="145"/>
      <c r="AH500" s="146"/>
      <c r="AI500" s="145"/>
      <c r="AJ500" s="145"/>
      <c r="AK500" s="145"/>
      <c r="AL500" s="145"/>
      <c r="AM500" s="145"/>
      <c r="AN500" s="145"/>
      <c r="AO500" s="145"/>
      <c r="AP500" s="74"/>
      <c r="AQ500" s="74"/>
      <c r="AR500" s="74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</row>
    <row r="501" spans="1:85" ht="15.75" customHeight="1" x14ac:dyDescent="0.45">
      <c r="A501" s="22"/>
      <c r="B501" s="12"/>
      <c r="C501" s="12"/>
      <c r="D501" s="155"/>
      <c r="E501" s="22"/>
      <c r="F501" s="22"/>
      <c r="G501" s="12"/>
      <c r="H501" s="22"/>
      <c r="I501" s="22"/>
      <c r="J501" s="22"/>
      <c r="K501" s="22"/>
      <c r="L501" s="22"/>
      <c r="M501" s="22"/>
      <c r="N501" s="22"/>
      <c r="O501" s="145"/>
      <c r="P501" s="145"/>
      <c r="Q501" s="145"/>
      <c r="R501" s="145"/>
      <c r="S501" s="22"/>
      <c r="T501" s="145"/>
      <c r="U501" s="145"/>
      <c r="V501" s="145"/>
      <c r="W501" s="145"/>
      <c r="X501" s="53"/>
      <c r="Y501" s="74"/>
      <c r="Z501" s="145"/>
      <c r="AA501" s="145"/>
      <c r="AB501" s="145"/>
      <c r="AC501" s="146"/>
      <c r="AD501" s="145"/>
      <c r="AE501" s="145"/>
      <c r="AF501" s="145"/>
      <c r="AG501" s="145"/>
      <c r="AH501" s="146"/>
      <c r="AI501" s="145"/>
      <c r="AJ501" s="145"/>
      <c r="AK501" s="145"/>
      <c r="AL501" s="145"/>
      <c r="AM501" s="145"/>
      <c r="AN501" s="145"/>
      <c r="AO501" s="145"/>
      <c r="AP501" s="74"/>
      <c r="AQ501" s="74"/>
      <c r="AR501" s="74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</row>
    <row r="502" spans="1:85" ht="15.75" customHeight="1" x14ac:dyDescent="0.45">
      <c r="A502" s="22"/>
      <c r="B502" s="12"/>
      <c r="C502" s="12"/>
      <c r="D502" s="155"/>
      <c r="E502" s="22"/>
      <c r="F502" s="22"/>
      <c r="G502" s="12"/>
      <c r="H502" s="22"/>
      <c r="I502" s="22"/>
      <c r="J502" s="22"/>
      <c r="K502" s="22"/>
      <c r="L502" s="22"/>
      <c r="M502" s="22"/>
      <c r="N502" s="22"/>
      <c r="O502" s="145"/>
      <c r="P502" s="145"/>
      <c r="Q502" s="145"/>
      <c r="R502" s="145"/>
      <c r="S502" s="22"/>
      <c r="T502" s="145"/>
      <c r="U502" s="145"/>
      <c r="V502" s="145"/>
      <c r="W502" s="145"/>
      <c r="X502" s="53"/>
      <c r="Y502" s="74"/>
      <c r="Z502" s="145"/>
      <c r="AA502" s="145"/>
      <c r="AB502" s="145"/>
      <c r="AC502" s="146"/>
      <c r="AD502" s="145"/>
      <c r="AE502" s="145"/>
      <c r="AF502" s="145"/>
      <c r="AG502" s="145"/>
      <c r="AH502" s="146"/>
      <c r="AI502" s="145"/>
      <c r="AJ502" s="145"/>
      <c r="AK502" s="145"/>
      <c r="AL502" s="145"/>
      <c r="AM502" s="145"/>
      <c r="AN502" s="145"/>
      <c r="AO502" s="145"/>
      <c r="AP502" s="74"/>
      <c r="AQ502" s="74"/>
      <c r="AR502" s="74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</row>
    <row r="503" spans="1:85" ht="15.75" customHeight="1" x14ac:dyDescent="0.45">
      <c r="A503" s="22"/>
      <c r="B503" s="12"/>
      <c r="C503" s="12"/>
      <c r="D503" s="155"/>
      <c r="E503" s="22"/>
      <c r="F503" s="22"/>
      <c r="G503" s="12"/>
      <c r="H503" s="22"/>
      <c r="I503" s="22"/>
      <c r="J503" s="22"/>
      <c r="K503" s="22"/>
      <c r="L503" s="22"/>
      <c r="M503" s="22"/>
      <c r="N503" s="22"/>
      <c r="O503" s="145"/>
      <c r="P503" s="145"/>
      <c r="Q503" s="145"/>
      <c r="R503" s="145"/>
      <c r="S503" s="22"/>
      <c r="T503" s="145"/>
      <c r="U503" s="145"/>
      <c r="V503" s="145"/>
      <c r="W503" s="145"/>
      <c r="X503" s="53"/>
      <c r="Y503" s="74"/>
      <c r="Z503" s="145"/>
      <c r="AA503" s="145"/>
      <c r="AB503" s="145"/>
      <c r="AC503" s="146"/>
      <c r="AD503" s="145"/>
      <c r="AE503" s="145"/>
      <c r="AF503" s="145"/>
      <c r="AG503" s="145"/>
      <c r="AH503" s="146"/>
      <c r="AI503" s="145"/>
      <c r="AJ503" s="145"/>
      <c r="AK503" s="145"/>
      <c r="AL503" s="145"/>
      <c r="AM503" s="145"/>
      <c r="AN503" s="145"/>
      <c r="AO503" s="145"/>
      <c r="AP503" s="74"/>
      <c r="AQ503" s="74"/>
      <c r="AR503" s="74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</row>
    <row r="504" spans="1:85" ht="15.75" customHeight="1" x14ac:dyDescent="0.45">
      <c r="A504" s="22"/>
      <c r="B504" s="12"/>
      <c r="C504" s="12"/>
      <c r="D504" s="155"/>
      <c r="E504" s="22"/>
      <c r="F504" s="22"/>
      <c r="G504" s="12"/>
      <c r="H504" s="22"/>
      <c r="I504" s="22"/>
      <c r="J504" s="22"/>
      <c r="K504" s="22"/>
      <c r="L504" s="22"/>
      <c r="M504" s="22"/>
      <c r="N504" s="22"/>
      <c r="O504" s="145"/>
      <c r="P504" s="145"/>
      <c r="Q504" s="145"/>
      <c r="R504" s="145"/>
      <c r="S504" s="22"/>
      <c r="T504" s="145"/>
      <c r="U504" s="145"/>
      <c r="V504" s="145"/>
      <c r="W504" s="145"/>
      <c r="X504" s="53"/>
      <c r="Y504" s="74"/>
      <c r="Z504" s="145"/>
      <c r="AA504" s="145"/>
      <c r="AB504" s="145"/>
      <c r="AC504" s="146"/>
      <c r="AD504" s="145"/>
      <c r="AE504" s="145"/>
      <c r="AF504" s="145"/>
      <c r="AG504" s="145"/>
      <c r="AH504" s="146"/>
      <c r="AI504" s="145"/>
      <c r="AJ504" s="145"/>
      <c r="AK504" s="145"/>
      <c r="AL504" s="145"/>
      <c r="AM504" s="145"/>
      <c r="AN504" s="145"/>
      <c r="AO504" s="145"/>
      <c r="AP504" s="74"/>
      <c r="AQ504" s="74"/>
      <c r="AR504" s="74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</row>
    <row r="505" spans="1:85" ht="15.75" customHeight="1" x14ac:dyDescent="0.45">
      <c r="A505" s="22"/>
      <c r="B505" s="12"/>
      <c r="C505" s="12"/>
      <c r="D505" s="155"/>
      <c r="E505" s="22"/>
      <c r="F505" s="22"/>
      <c r="G505" s="12"/>
      <c r="H505" s="22"/>
      <c r="I505" s="22"/>
      <c r="J505" s="22"/>
      <c r="K505" s="22"/>
      <c r="L505" s="22"/>
      <c r="M505" s="22"/>
      <c r="N505" s="22"/>
      <c r="O505" s="145"/>
      <c r="P505" s="145"/>
      <c r="Q505" s="145"/>
      <c r="R505" s="145"/>
      <c r="S505" s="22"/>
      <c r="T505" s="145"/>
      <c r="U505" s="145"/>
      <c r="V505" s="145"/>
      <c r="W505" s="145"/>
      <c r="X505" s="53"/>
      <c r="Y505" s="74"/>
      <c r="Z505" s="145"/>
      <c r="AA505" s="145"/>
      <c r="AB505" s="145"/>
      <c r="AC505" s="146"/>
      <c r="AD505" s="145"/>
      <c r="AE505" s="145"/>
      <c r="AF505" s="145"/>
      <c r="AG505" s="145"/>
      <c r="AH505" s="146"/>
      <c r="AI505" s="145"/>
      <c r="AJ505" s="145"/>
      <c r="AK505" s="145"/>
      <c r="AL505" s="145"/>
      <c r="AM505" s="145"/>
      <c r="AN505" s="145"/>
      <c r="AO505" s="145"/>
      <c r="AP505" s="74"/>
      <c r="AQ505" s="74"/>
      <c r="AR505" s="74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</row>
    <row r="506" spans="1:85" ht="15.75" customHeight="1" x14ac:dyDescent="0.45">
      <c r="A506" s="22"/>
      <c r="B506" s="12"/>
      <c r="C506" s="12"/>
      <c r="D506" s="155"/>
      <c r="E506" s="22"/>
      <c r="F506" s="22"/>
      <c r="G506" s="12"/>
      <c r="H506" s="22"/>
      <c r="I506" s="22"/>
      <c r="J506" s="22"/>
      <c r="K506" s="22"/>
      <c r="L506" s="22"/>
      <c r="M506" s="22"/>
      <c r="N506" s="22"/>
      <c r="O506" s="145"/>
      <c r="P506" s="145"/>
      <c r="Q506" s="145"/>
      <c r="R506" s="145"/>
      <c r="S506" s="22"/>
      <c r="T506" s="145"/>
      <c r="U506" s="145"/>
      <c r="V506" s="145"/>
      <c r="W506" s="145"/>
      <c r="X506" s="53"/>
      <c r="Y506" s="74"/>
      <c r="Z506" s="145"/>
      <c r="AA506" s="145"/>
      <c r="AB506" s="145"/>
      <c r="AC506" s="146"/>
      <c r="AD506" s="145"/>
      <c r="AE506" s="145"/>
      <c r="AF506" s="145"/>
      <c r="AG506" s="145"/>
      <c r="AH506" s="146"/>
      <c r="AI506" s="145"/>
      <c r="AJ506" s="145"/>
      <c r="AK506" s="145"/>
      <c r="AL506" s="145"/>
      <c r="AM506" s="145"/>
      <c r="AN506" s="145"/>
      <c r="AO506" s="145"/>
      <c r="AP506" s="74"/>
      <c r="AQ506" s="74"/>
      <c r="AR506" s="74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</row>
    <row r="507" spans="1:85" ht="15.75" customHeight="1" x14ac:dyDescent="0.45">
      <c r="A507" s="22"/>
      <c r="B507" s="12"/>
      <c r="C507" s="12"/>
      <c r="D507" s="155"/>
      <c r="E507" s="22"/>
      <c r="F507" s="22"/>
      <c r="G507" s="12"/>
      <c r="H507" s="22"/>
      <c r="I507" s="22"/>
      <c r="J507" s="22"/>
      <c r="K507" s="22"/>
      <c r="L507" s="22"/>
      <c r="M507" s="22"/>
      <c r="N507" s="22"/>
      <c r="O507" s="145"/>
      <c r="P507" s="145"/>
      <c r="Q507" s="145"/>
      <c r="R507" s="145"/>
      <c r="S507" s="22"/>
      <c r="T507" s="145"/>
      <c r="U507" s="145"/>
      <c r="V507" s="145"/>
      <c r="W507" s="145"/>
      <c r="X507" s="53"/>
      <c r="Y507" s="74"/>
      <c r="Z507" s="145"/>
      <c r="AA507" s="145"/>
      <c r="AB507" s="145"/>
      <c r="AC507" s="146"/>
      <c r="AD507" s="145"/>
      <c r="AE507" s="145"/>
      <c r="AF507" s="145"/>
      <c r="AG507" s="145"/>
      <c r="AH507" s="146"/>
      <c r="AI507" s="145"/>
      <c r="AJ507" s="145"/>
      <c r="AK507" s="145"/>
      <c r="AL507" s="145"/>
      <c r="AM507" s="145"/>
      <c r="AN507" s="145"/>
      <c r="AO507" s="145"/>
      <c r="AP507" s="74"/>
      <c r="AQ507" s="74"/>
      <c r="AR507" s="74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</row>
    <row r="508" spans="1:85" ht="15.75" customHeight="1" x14ac:dyDescent="0.45">
      <c r="A508" s="22"/>
      <c r="B508" s="12"/>
      <c r="C508" s="12"/>
      <c r="D508" s="155"/>
      <c r="E508" s="22"/>
      <c r="F508" s="22"/>
      <c r="G508" s="12"/>
      <c r="H508" s="22"/>
      <c r="I508" s="22"/>
      <c r="J508" s="22"/>
      <c r="K508" s="22"/>
      <c r="L508" s="22"/>
      <c r="M508" s="22"/>
      <c r="N508" s="22"/>
      <c r="O508" s="145"/>
      <c r="P508" s="145"/>
      <c r="Q508" s="145"/>
      <c r="R508" s="145"/>
      <c r="S508" s="22"/>
      <c r="T508" s="145"/>
      <c r="U508" s="145"/>
      <c r="V508" s="145"/>
      <c r="W508" s="145"/>
      <c r="X508" s="53"/>
      <c r="Y508" s="74"/>
      <c r="Z508" s="145"/>
      <c r="AA508" s="145"/>
      <c r="AB508" s="145"/>
      <c r="AC508" s="146"/>
      <c r="AD508" s="145"/>
      <c r="AE508" s="145"/>
      <c r="AF508" s="145"/>
      <c r="AG508" s="145"/>
      <c r="AH508" s="146"/>
      <c r="AI508" s="145"/>
      <c r="AJ508" s="145"/>
      <c r="AK508" s="145"/>
      <c r="AL508" s="145"/>
      <c r="AM508" s="145"/>
      <c r="AN508" s="145"/>
      <c r="AO508" s="145"/>
      <c r="AP508" s="74"/>
      <c r="AQ508" s="74"/>
      <c r="AR508" s="74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</row>
    <row r="509" spans="1:85" ht="15.75" customHeight="1" x14ac:dyDescent="0.45">
      <c r="A509" s="22"/>
      <c r="B509" s="12"/>
      <c r="C509" s="12"/>
      <c r="D509" s="155"/>
      <c r="E509" s="22"/>
      <c r="F509" s="22"/>
      <c r="G509" s="12"/>
      <c r="H509" s="22"/>
      <c r="I509" s="22"/>
      <c r="J509" s="22"/>
      <c r="K509" s="22"/>
      <c r="L509" s="22"/>
      <c r="M509" s="22"/>
      <c r="N509" s="22"/>
      <c r="O509" s="145"/>
      <c r="P509" s="145"/>
      <c r="Q509" s="145"/>
      <c r="R509" s="145"/>
      <c r="S509" s="22"/>
      <c r="T509" s="145"/>
      <c r="U509" s="145"/>
      <c r="V509" s="145"/>
      <c r="W509" s="145"/>
      <c r="X509" s="53"/>
      <c r="Y509" s="74"/>
      <c r="Z509" s="145"/>
      <c r="AA509" s="145"/>
      <c r="AB509" s="145"/>
      <c r="AC509" s="146"/>
      <c r="AD509" s="145"/>
      <c r="AE509" s="145"/>
      <c r="AF509" s="145"/>
      <c r="AG509" s="145"/>
      <c r="AH509" s="146"/>
      <c r="AI509" s="145"/>
      <c r="AJ509" s="145"/>
      <c r="AK509" s="145"/>
      <c r="AL509" s="145"/>
      <c r="AM509" s="145"/>
      <c r="AN509" s="145"/>
      <c r="AO509" s="145"/>
      <c r="AP509" s="74"/>
      <c r="AQ509" s="74"/>
      <c r="AR509" s="74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</row>
    <row r="510" spans="1:85" ht="15.75" customHeight="1" x14ac:dyDescent="0.45">
      <c r="A510" s="22"/>
      <c r="B510" s="12"/>
      <c r="C510" s="12"/>
      <c r="D510" s="155"/>
      <c r="E510" s="22"/>
      <c r="F510" s="22"/>
      <c r="G510" s="12"/>
      <c r="H510" s="22"/>
      <c r="I510" s="22"/>
      <c r="J510" s="22"/>
      <c r="K510" s="22"/>
      <c r="L510" s="22"/>
      <c r="M510" s="22"/>
      <c r="N510" s="22"/>
      <c r="O510" s="145"/>
      <c r="P510" s="145"/>
      <c r="Q510" s="145"/>
      <c r="R510" s="145"/>
      <c r="S510" s="22"/>
      <c r="T510" s="145"/>
      <c r="U510" s="145"/>
      <c r="V510" s="145"/>
      <c r="W510" s="145"/>
      <c r="X510" s="53"/>
      <c r="Y510" s="74"/>
      <c r="Z510" s="145"/>
      <c r="AA510" s="145"/>
      <c r="AB510" s="145"/>
      <c r="AC510" s="146"/>
      <c r="AD510" s="145"/>
      <c r="AE510" s="145"/>
      <c r="AF510" s="145"/>
      <c r="AG510" s="145"/>
      <c r="AH510" s="146"/>
      <c r="AI510" s="145"/>
      <c r="AJ510" s="145"/>
      <c r="AK510" s="145"/>
      <c r="AL510" s="145"/>
      <c r="AM510" s="145"/>
      <c r="AN510" s="145"/>
      <c r="AO510" s="145"/>
      <c r="AP510" s="74"/>
      <c r="AQ510" s="74"/>
      <c r="AR510" s="74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</row>
    <row r="511" spans="1:85" ht="15.75" customHeight="1" x14ac:dyDescent="0.45">
      <c r="A511" s="22"/>
      <c r="B511" s="12"/>
      <c r="C511" s="12"/>
      <c r="D511" s="155"/>
      <c r="E511" s="22"/>
      <c r="F511" s="22"/>
      <c r="G511" s="12"/>
      <c r="H511" s="22"/>
      <c r="I511" s="22"/>
      <c r="J511" s="22"/>
      <c r="K511" s="22"/>
      <c r="L511" s="22"/>
      <c r="M511" s="22"/>
      <c r="N511" s="22"/>
      <c r="O511" s="145"/>
      <c r="P511" s="145"/>
      <c r="Q511" s="145"/>
      <c r="R511" s="145"/>
      <c r="S511" s="22"/>
      <c r="T511" s="145"/>
      <c r="U511" s="145"/>
      <c r="V511" s="145"/>
      <c r="W511" s="145"/>
      <c r="X511" s="53"/>
      <c r="Y511" s="74"/>
      <c r="Z511" s="145"/>
      <c r="AA511" s="145"/>
      <c r="AB511" s="145"/>
      <c r="AC511" s="146"/>
      <c r="AD511" s="145"/>
      <c r="AE511" s="145"/>
      <c r="AF511" s="145"/>
      <c r="AG511" s="145"/>
      <c r="AH511" s="146"/>
      <c r="AI511" s="145"/>
      <c r="AJ511" s="145"/>
      <c r="AK511" s="145"/>
      <c r="AL511" s="145"/>
      <c r="AM511" s="145"/>
      <c r="AN511" s="145"/>
      <c r="AO511" s="145"/>
      <c r="AP511" s="74"/>
      <c r="AQ511" s="74"/>
      <c r="AR511" s="74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</row>
    <row r="512" spans="1:85" ht="15.75" customHeight="1" x14ac:dyDescent="0.45">
      <c r="A512" s="22"/>
      <c r="B512" s="12"/>
      <c r="C512" s="12"/>
      <c r="D512" s="155"/>
      <c r="E512" s="22"/>
      <c r="F512" s="22"/>
      <c r="G512" s="12"/>
      <c r="H512" s="22"/>
      <c r="I512" s="22"/>
      <c r="J512" s="22"/>
      <c r="K512" s="22"/>
      <c r="L512" s="22"/>
      <c r="M512" s="22"/>
      <c r="N512" s="22"/>
      <c r="O512" s="145"/>
      <c r="P512" s="145"/>
      <c r="Q512" s="145"/>
      <c r="R512" s="145"/>
      <c r="S512" s="22"/>
      <c r="T512" s="145"/>
      <c r="U512" s="145"/>
      <c r="V512" s="145"/>
      <c r="W512" s="145"/>
      <c r="X512" s="53"/>
      <c r="Y512" s="74"/>
      <c r="Z512" s="145"/>
      <c r="AA512" s="145"/>
      <c r="AB512" s="145"/>
      <c r="AC512" s="146"/>
      <c r="AD512" s="145"/>
      <c r="AE512" s="145"/>
      <c r="AF512" s="145"/>
      <c r="AG512" s="145"/>
      <c r="AH512" s="146"/>
      <c r="AI512" s="145"/>
      <c r="AJ512" s="145"/>
      <c r="AK512" s="145"/>
      <c r="AL512" s="145"/>
      <c r="AM512" s="145"/>
      <c r="AN512" s="145"/>
      <c r="AO512" s="145"/>
      <c r="AP512" s="74"/>
      <c r="AQ512" s="74"/>
      <c r="AR512" s="74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</row>
    <row r="513" spans="1:85" ht="15.75" customHeight="1" x14ac:dyDescent="0.45">
      <c r="A513" s="22"/>
      <c r="B513" s="12"/>
      <c r="C513" s="12"/>
      <c r="D513" s="155"/>
      <c r="E513" s="22"/>
      <c r="F513" s="22"/>
      <c r="G513" s="12"/>
      <c r="H513" s="22"/>
      <c r="I513" s="22"/>
      <c r="J513" s="22"/>
      <c r="K513" s="22"/>
      <c r="L513" s="22"/>
      <c r="M513" s="22"/>
      <c r="N513" s="22"/>
      <c r="O513" s="145"/>
      <c r="P513" s="145"/>
      <c r="Q513" s="145"/>
      <c r="R513" s="145"/>
      <c r="S513" s="22"/>
      <c r="T513" s="145"/>
      <c r="U513" s="145"/>
      <c r="V513" s="145"/>
      <c r="W513" s="145"/>
      <c r="X513" s="53"/>
      <c r="Y513" s="74"/>
      <c r="Z513" s="145"/>
      <c r="AA513" s="145"/>
      <c r="AB513" s="145"/>
      <c r="AC513" s="146"/>
      <c r="AD513" s="145"/>
      <c r="AE513" s="145"/>
      <c r="AF513" s="145"/>
      <c r="AG513" s="145"/>
      <c r="AH513" s="146"/>
      <c r="AI513" s="145"/>
      <c r="AJ513" s="145"/>
      <c r="AK513" s="145"/>
      <c r="AL513" s="145"/>
      <c r="AM513" s="145"/>
      <c r="AN513" s="145"/>
      <c r="AO513" s="145"/>
      <c r="AP513" s="74"/>
      <c r="AQ513" s="74"/>
      <c r="AR513" s="74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</row>
    <row r="514" spans="1:85" ht="15.75" customHeight="1" x14ac:dyDescent="0.45">
      <c r="A514" s="22"/>
      <c r="B514" s="12"/>
      <c r="C514" s="12"/>
      <c r="D514" s="155"/>
      <c r="E514" s="22"/>
      <c r="F514" s="22"/>
      <c r="G514" s="12"/>
      <c r="H514" s="22"/>
      <c r="I514" s="22"/>
      <c r="J514" s="22"/>
      <c r="K514" s="22"/>
      <c r="L514" s="22"/>
      <c r="M514" s="22"/>
      <c r="N514" s="22"/>
      <c r="O514" s="145"/>
      <c r="P514" s="145"/>
      <c r="Q514" s="145"/>
      <c r="R514" s="145"/>
      <c r="S514" s="22"/>
      <c r="T514" s="145"/>
      <c r="U514" s="145"/>
      <c r="V514" s="145"/>
      <c r="W514" s="145"/>
      <c r="X514" s="53"/>
      <c r="Y514" s="74"/>
      <c r="Z514" s="145"/>
      <c r="AA514" s="145"/>
      <c r="AB514" s="145"/>
      <c r="AC514" s="146"/>
      <c r="AD514" s="145"/>
      <c r="AE514" s="145"/>
      <c r="AF514" s="145"/>
      <c r="AG514" s="145"/>
      <c r="AH514" s="146"/>
      <c r="AI514" s="145"/>
      <c r="AJ514" s="145"/>
      <c r="AK514" s="145"/>
      <c r="AL514" s="145"/>
      <c r="AM514" s="145"/>
      <c r="AN514" s="145"/>
      <c r="AO514" s="145"/>
      <c r="AP514" s="74"/>
      <c r="AQ514" s="74"/>
      <c r="AR514" s="74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</row>
    <row r="515" spans="1:85" ht="15.75" customHeight="1" x14ac:dyDescent="0.45">
      <c r="A515" s="22"/>
      <c r="B515" s="12"/>
      <c r="C515" s="12"/>
      <c r="D515" s="155"/>
      <c r="E515" s="22"/>
      <c r="F515" s="22"/>
      <c r="G515" s="12"/>
      <c r="H515" s="22"/>
      <c r="I515" s="22"/>
      <c r="J515" s="22"/>
      <c r="K515" s="22"/>
      <c r="L515" s="22"/>
      <c r="M515" s="22"/>
      <c r="N515" s="22"/>
      <c r="O515" s="145"/>
      <c r="P515" s="145"/>
      <c r="Q515" s="145"/>
      <c r="R515" s="145"/>
      <c r="S515" s="22"/>
      <c r="T515" s="145"/>
      <c r="U515" s="145"/>
      <c r="V515" s="145"/>
      <c r="W515" s="145"/>
      <c r="X515" s="53"/>
      <c r="Y515" s="74"/>
      <c r="Z515" s="145"/>
      <c r="AA515" s="145"/>
      <c r="AB515" s="145"/>
      <c r="AC515" s="146"/>
      <c r="AD515" s="145"/>
      <c r="AE515" s="145"/>
      <c r="AF515" s="145"/>
      <c r="AG515" s="145"/>
      <c r="AH515" s="146"/>
      <c r="AI515" s="145"/>
      <c r="AJ515" s="145"/>
      <c r="AK515" s="145"/>
      <c r="AL515" s="145"/>
      <c r="AM515" s="145"/>
      <c r="AN515" s="145"/>
      <c r="AO515" s="145"/>
      <c r="AP515" s="74"/>
      <c r="AQ515" s="74"/>
      <c r="AR515" s="74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</row>
    <row r="516" spans="1:85" ht="15.75" customHeight="1" x14ac:dyDescent="0.45">
      <c r="A516" s="22"/>
      <c r="B516" s="12"/>
      <c r="C516" s="12"/>
      <c r="D516" s="155"/>
      <c r="E516" s="22"/>
      <c r="F516" s="22"/>
      <c r="G516" s="12"/>
      <c r="H516" s="22"/>
      <c r="I516" s="22"/>
      <c r="J516" s="22"/>
      <c r="K516" s="22"/>
      <c r="L516" s="22"/>
      <c r="M516" s="22"/>
      <c r="N516" s="22"/>
      <c r="O516" s="145"/>
      <c r="P516" s="145"/>
      <c r="Q516" s="145"/>
      <c r="R516" s="145"/>
      <c r="S516" s="22"/>
      <c r="T516" s="145"/>
      <c r="U516" s="145"/>
      <c r="V516" s="145"/>
      <c r="W516" s="145"/>
      <c r="X516" s="53"/>
      <c r="Y516" s="74"/>
      <c r="Z516" s="145"/>
      <c r="AA516" s="145"/>
      <c r="AB516" s="145"/>
      <c r="AC516" s="146"/>
      <c r="AD516" s="145"/>
      <c r="AE516" s="145"/>
      <c r="AF516" s="145"/>
      <c r="AG516" s="145"/>
      <c r="AH516" s="146"/>
      <c r="AI516" s="145"/>
      <c r="AJ516" s="145"/>
      <c r="AK516" s="145"/>
      <c r="AL516" s="145"/>
      <c r="AM516" s="145"/>
      <c r="AN516" s="145"/>
      <c r="AO516" s="145"/>
      <c r="AP516" s="74"/>
      <c r="AQ516" s="74"/>
      <c r="AR516" s="74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</row>
    <row r="517" spans="1:85" ht="15.75" customHeight="1" x14ac:dyDescent="0.45">
      <c r="A517" s="22"/>
      <c r="B517" s="12"/>
      <c r="C517" s="12"/>
      <c r="D517" s="155"/>
      <c r="E517" s="22"/>
      <c r="F517" s="22"/>
      <c r="G517" s="12"/>
      <c r="H517" s="22"/>
      <c r="I517" s="22"/>
      <c r="J517" s="22"/>
      <c r="K517" s="22"/>
      <c r="L517" s="22"/>
      <c r="M517" s="22"/>
      <c r="N517" s="22"/>
      <c r="O517" s="145"/>
      <c r="P517" s="145"/>
      <c r="Q517" s="145"/>
      <c r="R517" s="145"/>
      <c r="S517" s="22"/>
      <c r="T517" s="145"/>
      <c r="U517" s="145"/>
      <c r="V517" s="145"/>
      <c r="W517" s="145"/>
      <c r="X517" s="53"/>
      <c r="Y517" s="74"/>
      <c r="Z517" s="145"/>
      <c r="AA517" s="145"/>
      <c r="AB517" s="145"/>
      <c r="AC517" s="146"/>
      <c r="AD517" s="145"/>
      <c r="AE517" s="145"/>
      <c r="AF517" s="145"/>
      <c r="AG517" s="145"/>
      <c r="AH517" s="146"/>
      <c r="AI517" s="145"/>
      <c r="AJ517" s="145"/>
      <c r="AK517" s="145"/>
      <c r="AL517" s="145"/>
      <c r="AM517" s="145"/>
      <c r="AN517" s="145"/>
      <c r="AO517" s="145"/>
      <c r="AP517" s="74"/>
      <c r="AQ517" s="74"/>
      <c r="AR517" s="74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</row>
    <row r="518" spans="1:85" ht="15.75" customHeight="1" x14ac:dyDescent="0.45">
      <c r="A518" s="22"/>
      <c r="B518" s="12"/>
      <c r="C518" s="12"/>
      <c r="D518" s="155"/>
      <c r="E518" s="22"/>
      <c r="F518" s="22"/>
      <c r="G518" s="12"/>
      <c r="H518" s="22"/>
      <c r="I518" s="22"/>
      <c r="J518" s="22"/>
      <c r="K518" s="22"/>
      <c r="L518" s="22"/>
      <c r="M518" s="22"/>
      <c r="N518" s="22"/>
      <c r="O518" s="145"/>
      <c r="P518" s="145"/>
      <c r="Q518" s="145"/>
      <c r="R518" s="145"/>
      <c r="S518" s="22"/>
      <c r="T518" s="145"/>
      <c r="U518" s="145"/>
      <c r="V518" s="145"/>
      <c r="W518" s="145"/>
      <c r="X518" s="53"/>
      <c r="Y518" s="74"/>
      <c r="Z518" s="145"/>
      <c r="AA518" s="145"/>
      <c r="AB518" s="145"/>
      <c r="AC518" s="146"/>
      <c r="AD518" s="145"/>
      <c r="AE518" s="145"/>
      <c r="AF518" s="145"/>
      <c r="AG518" s="145"/>
      <c r="AH518" s="146"/>
      <c r="AI518" s="145"/>
      <c r="AJ518" s="145"/>
      <c r="AK518" s="145"/>
      <c r="AL518" s="145"/>
      <c r="AM518" s="145"/>
      <c r="AN518" s="145"/>
      <c r="AO518" s="145"/>
      <c r="AP518" s="74"/>
      <c r="AQ518" s="74"/>
      <c r="AR518" s="74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</row>
    <row r="519" spans="1:85" ht="15.75" customHeight="1" x14ac:dyDescent="0.45">
      <c r="A519" s="22"/>
      <c r="B519" s="12"/>
      <c r="C519" s="12"/>
      <c r="D519" s="155"/>
      <c r="E519" s="22"/>
      <c r="F519" s="22"/>
      <c r="G519" s="12"/>
      <c r="H519" s="22"/>
      <c r="I519" s="22"/>
      <c r="J519" s="22"/>
      <c r="K519" s="22"/>
      <c r="L519" s="22"/>
      <c r="M519" s="22"/>
      <c r="N519" s="22"/>
      <c r="O519" s="145"/>
      <c r="P519" s="145"/>
      <c r="Q519" s="145"/>
      <c r="R519" s="145"/>
      <c r="S519" s="22"/>
      <c r="T519" s="145"/>
      <c r="U519" s="145"/>
      <c r="V519" s="145"/>
      <c r="W519" s="145"/>
      <c r="X519" s="53"/>
      <c r="Y519" s="74"/>
      <c r="Z519" s="145"/>
      <c r="AA519" s="145"/>
      <c r="AB519" s="145"/>
      <c r="AC519" s="146"/>
      <c r="AD519" s="145"/>
      <c r="AE519" s="145"/>
      <c r="AF519" s="145"/>
      <c r="AG519" s="145"/>
      <c r="AH519" s="146"/>
      <c r="AI519" s="145"/>
      <c r="AJ519" s="145"/>
      <c r="AK519" s="145"/>
      <c r="AL519" s="145"/>
      <c r="AM519" s="145"/>
      <c r="AN519" s="145"/>
      <c r="AO519" s="145"/>
      <c r="AP519" s="74"/>
      <c r="AQ519" s="74"/>
      <c r="AR519" s="74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</row>
    <row r="520" spans="1:85" ht="15.75" customHeight="1" x14ac:dyDescent="0.45">
      <c r="A520" s="22"/>
      <c r="B520" s="12"/>
      <c r="C520" s="12"/>
      <c r="D520" s="155"/>
      <c r="E520" s="22"/>
      <c r="F520" s="22"/>
      <c r="G520" s="12"/>
      <c r="H520" s="22"/>
      <c r="I520" s="22"/>
      <c r="J520" s="22"/>
      <c r="K520" s="22"/>
      <c r="L520" s="22"/>
      <c r="M520" s="22"/>
      <c r="N520" s="22"/>
      <c r="O520" s="145"/>
      <c r="P520" s="145"/>
      <c r="Q520" s="145"/>
      <c r="R520" s="145"/>
      <c r="S520" s="22"/>
      <c r="T520" s="145"/>
      <c r="U520" s="145"/>
      <c r="V520" s="145"/>
      <c r="W520" s="145"/>
      <c r="X520" s="53"/>
      <c r="Y520" s="74"/>
      <c r="Z520" s="145"/>
      <c r="AA520" s="145"/>
      <c r="AB520" s="145"/>
      <c r="AC520" s="146"/>
      <c r="AD520" s="145"/>
      <c r="AE520" s="145"/>
      <c r="AF520" s="145"/>
      <c r="AG520" s="145"/>
      <c r="AH520" s="146"/>
      <c r="AI520" s="145"/>
      <c r="AJ520" s="145"/>
      <c r="AK520" s="145"/>
      <c r="AL520" s="145"/>
      <c r="AM520" s="145"/>
      <c r="AN520" s="145"/>
      <c r="AO520" s="145"/>
      <c r="AP520" s="74"/>
      <c r="AQ520" s="74"/>
      <c r="AR520" s="74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</row>
    <row r="521" spans="1:85" ht="15.75" customHeight="1" x14ac:dyDescent="0.45">
      <c r="A521" s="22"/>
      <c r="B521" s="12"/>
      <c r="C521" s="12"/>
      <c r="D521" s="155"/>
      <c r="E521" s="22"/>
      <c r="F521" s="22"/>
      <c r="G521" s="12"/>
      <c r="H521" s="22"/>
      <c r="I521" s="22"/>
      <c r="J521" s="22"/>
      <c r="K521" s="22"/>
      <c r="L521" s="22"/>
      <c r="M521" s="22"/>
      <c r="N521" s="22"/>
      <c r="O521" s="145"/>
      <c r="P521" s="145"/>
      <c r="Q521" s="145"/>
      <c r="R521" s="145"/>
      <c r="S521" s="22"/>
      <c r="T521" s="145"/>
      <c r="U521" s="145"/>
      <c r="V521" s="145"/>
      <c r="W521" s="145"/>
      <c r="X521" s="53"/>
      <c r="Y521" s="74"/>
      <c r="Z521" s="145"/>
      <c r="AA521" s="145"/>
      <c r="AB521" s="145"/>
      <c r="AC521" s="146"/>
      <c r="AD521" s="145"/>
      <c r="AE521" s="145"/>
      <c r="AF521" s="145"/>
      <c r="AG521" s="145"/>
      <c r="AH521" s="146"/>
      <c r="AI521" s="145"/>
      <c r="AJ521" s="145"/>
      <c r="AK521" s="145"/>
      <c r="AL521" s="145"/>
      <c r="AM521" s="145"/>
      <c r="AN521" s="145"/>
      <c r="AO521" s="145"/>
      <c r="AP521" s="74"/>
      <c r="AQ521" s="74"/>
      <c r="AR521" s="74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</row>
    <row r="522" spans="1:85" ht="15.75" customHeight="1" x14ac:dyDescent="0.45">
      <c r="A522" s="22"/>
      <c r="B522" s="12"/>
      <c r="C522" s="12"/>
      <c r="D522" s="155"/>
      <c r="E522" s="22"/>
      <c r="F522" s="22"/>
      <c r="G522" s="12"/>
      <c r="H522" s="22"/>
      <c r="I522" s="22"/>
      <c r="J522" s="22"/>
      <c r="K522" s="22"/>
      <c r="L522" s="22"/>
      <c r="M522" s="22"/>
      <c r="N522" s="22"/>
      <c r="O522" s="145"/>
      <c r="P522" s="145"/>
      <c r="Q522" s="145"/>
      <c r="R522" s="145"/>
      <c r="S522" s="22"/>
      <c r="T522" s="145"/>
      <c r="U522" s="145"/>
      <c r="V522" s="145"/>
      <c r="W522" s="145"/>
      <c r="X522" s="53"/>
      <c r="Y522" s="74"/>
      <c r="Z522" s="145"/>
      <c r="AA522" s="145"/>
      <c r="AB522" s="145"/>
      <c r="AC522" s="146"/>
      <c r="AD522" s="145"/>
      <c r="AE522" s="145"/>
      <c r="AF522" s="145"/>
      <c r="AG522" s="145"/>
      <c r="AH522" s="146"/>
      <c r="AI522" s="145"/>
      <c r="AJ522" s="145"/>
      <c r="AK522" s="145"/>
      <c r="AL522" s="145"/>
      <c r="AM522" s="145"/>
      <c r="AN522" s="145"/>
      <c r="AO522" s="145"/>
      <c r="AP522" s="74"/>
      <c r="AQ522" s="74"/>
      <c r="AR522" s="74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</row>
    <row r="523" spans="1:85" ht="15.75" customHeight="1" x14ac:dyDescent="0.45">
      <c r="A523" s="22"/>
      <c r="B523" s="12"/>
      <c r="C523" s="12"/>
      <c r="D523" s="155"/>
      <c r="E523" s="22"/>
      <c r="F523" s="22"/>
      <c r="G523" s="12"/>
      <c r="H523" s="22"/>
      <c r="I523" s="22"/>
      <c r="J523" s="22"/>
      <c r="K523" s="22"/>
      <c r="L523" s="22"/>
      <c r="M523" s="22"/>
      <c r="N523" s="22"/>
      <c r="O523" s="145"/>
      <c r="P523" s="145"/>
      <c r="Q523" s="145"/>
      <c r="R523" s="145"/>
      <c r="S523" s="22"/>
      <c r="T523" s="145"/>
      <c r="U523" s="145"/>
      <c r="V523" s="145"/>
      <c r="W523" s="145"/>
      <c r="X523" s="53"/>
      <c r="Y523" s="74"/>
      <c r="Z523" s="145"/>
      <c r="AA523" s="145"/>
      <c r="AB523" s="145"/>
      <c r="AC523" s="146"/>
      <c r="AD523" s="145"/>
      <c r="AE523" s="145"/>
      <c r="AF523" s="145"/>
      <c r="AG523" s="145"/>
      <c r="AH523" s="146"/>
      <c r="AI523" s="145"/>
      <c r="AJ523" s="145"/>
      <c r="AK523" s="145"/>
      <c r="AL523" s="145"/>
      <c r="AM523" s="145"/>
      <c r="AN523" s="145"/>
      <c r="AO523" s="145"/>
      <c r="AP523" s="74"/>
      <c r="AQ523" s="74"/>
      <c r="AR523" s="74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</row>
    <row r="524" spans="1:85" ht="15.75" customHeight="1" x14ac:dyDescent="0.45">
      <c r="A524" s="22"/>
      <c r="B524" s="12"/>
      <c r="C524" s="12"/>
      <c r="D524" s="155"/>
      <c r="E524" s="22"/>
      <c r="F524" s="22"/>
      <c r="G524" s="12"/>
      <c r="H524" s="22"/>
      <c r="I524" s="22"/>
      <c r="J524" s="22"/>
      <c r="K524" s="22"/>
      <c r="L524" s="22"/>
      <c r="M524" s="22"/>
      <c r="N524" s="22"/>
      <c r="O524" s="145"/>
      <c r="P524" s="145"/>
      <c r="Q524" s="145"/>
      <c r="R524" s="145"/>
      <c r="S524" s="22"/>
      <c r="T524" s="145"/>
      <c r="U524" s="145"/>
      <c r="V524" s="145"/>
      <c r="W524" s="145"/>
      <c r="X524" s="53"/>
      <c r="Y524" s="74"/>
      <c r="Z524" s="145"/>
      <c r="AA524" s="145"/>
      <c r="AB524" s="145"/>
      <c r="AC524" s="146"/>
      <c r="AD524" s="145"/>
      <c r="AE524" s="145"/>
      <c r="AF524" s="145"/>
      <c r="AG524" s="145"/>
      <c r="AH524" s="146"/>
      <c r="AI524" s="145"/>
      <c r="AJ524" s="145"/>
      <c r="AK524" s="145"/>
      <c r="AL524" s="145"/>
      <c r="AM524" s="145"/>
      <c r="AN524" s="145"/>
      <c r="AO524" s="145"/>
      <c r="AP524" s="74"/>
      <c r="AQ524" s="74"/>
      <c r="AR524" s="74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</row>
    <row r="525" spans="1:85" ht="15.75" customHeight="1" x14ac:dyDescent="0.45">
      <c r="A525" s="22"/>
      <c r="B525" s="12"/>
      <c r="C525" s="12"/>
      <c r="D525" s="155"/>
      <c r="E525" s="22"/>
      <c r="F525" s="22"/>
      <c r="G525" s="12"/>
      <c r="H525" s="22"/>
      <c r="I525" s="22"/>
      <c r="J525" s="22"/>
      <c r="K525" s="22"/>
      <c r="L525" s="22"/>
      <c r="M525" s="22"/>
      <c r="N525" s="22"/>
      <c r="O525" s="145"/>
      <c r="P525" s="145"/>
      <c r="Q525" s="145"/>
      <c r="R525" s="145"/>
      <c r="S525" s="22"/>
      <c r="T525" s="145"/>
      <c r="U525" s="145"/>
      <c r="V525" s="145"/>
      <c r="W525" s="145"/>
      <c r="X525" s="53"/>
      <c r="Y525" s="74"/>
      <c r="Z525" s="145"/>
      <c r="AA525" s="145"/>
      <c r="AB525" s="145"/>
      <c r="AC525" s="146"/>
      <c r="AD525" s="145"/>
      <c r="AE525" s="145"/>
      <c r="AF525" s="145"/>
      <c r="AG525" s="145"/>
      <c r="AH525" s="146"/>
      <c r="AI525" s="145"/>
      <c r="AJ525" s="145"/>
      <c r="AK525" s="145"/>
      <c r="AL525" s="145"/>
      <c r="AM525" s="145"/>
      <c r="AN525" s="145"/>
      <c r="AO525" s="145"/>
      <c r="AP525" s="74"/>
      <c r="AQ525" s="74"/>
      <c r="AR525" s="74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</row>
    <row r="526" spans="1:85" ht="15.75" customHeight="1" x14ac:dyDescent="0.45">
      <c r="A526" s="22"/>
      <c r="B526" s="12"/>
      <c r="C526" s="12"/>
      <c r="D526" s="155"/>
      <c r="E526" s="22"/>
      <c r="F526" s="22"/>
      <c r="G526" s="12"/>
      <c r="H526" s="22"/>
      <c r="I526" s="22"/>
      <c r="J526" s="22"/>
      <c r="K526" s="22"/>
      <c r="L526" s="22"/>
      <c r="M526" s="22"/>
      <c r="N526" s="22"/>
      <c r="O526" s="145"/>
      <c r="P526" s="145"/>
      <c r="Q526" s="145"/>
      <c r="R526" s="145"/>
      <c r="S526" s="22"/>
      <c r="T526" s="145"/>
      <c r="U526" s="145"/>
      <c r="V526" s="145"/>
      <c r="W526" s="145"/>
      <c r="X526" s="53"/>
      <c r="Y526" s="74"/>
      <c r="Z526" s="145"/>
      <c r="AA526" s="145"/>
      <c r="AB526" s="145"/>
      <c r="AC526" s="146"/>
      <c r="AD526" s="145"/>
      <c r="AE526" s="145"/>
      <c r="AF526" s="145"/>
      <c r="AG526" s="145"/>
      <c r="AH526" s="146"/>
      <c r="AI526" s="145"/>
      <c r="AJ526" s="145"/>
      <c r="AK526" s="145"/>
      <c r="AL526" s="145"/>
      <c r="AM526" s="145"/>
      <c r="AN526" s="145"/>
      <c r="AO526" s="145"/>
      <c r="AP526" s="74"/>
      <c r="AQ526" s="74"/>
      <c r="AR526" s="74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</row>
    <row r="527" spans="1:85" ht="15.75" customHeight="1" x14ac:dyDescent="0.45">
      <c r="A527" s="22"/>
      <c r="B527" s="12"/>
      <c r="C527" s="12"/>
      <c r="D527" s="155"/>
      <c r="E527" s="22"/>
      <c r="F527" s="22"/>
      <c r="G527" s="12"/>
      <c r="H527" s="22"/>
      <c r="I527" s="22"/>
      <c r="J527" s="22"/>
      <c r="K527" s="22"/>
      <c r="L527" s="22"/>
      <c r="M527" s="22"/>
      <c r="N527" s="22"/>
      <c r="O527" s="145"/>
      <c r="P527" s="145"/>
      <c r="Q527" s="145"/>
      <c r="R527" s="145"/>
      <c r="S527" s="22"/>
      <c r="T527" s="145"/>
      <c r="U527" s="145"/>
      <c r="V527" s="145"/>
      <c r="W527" s="145"/>
      <c r="X527" s="53"/>
      <c r="Y527" s="74"/>
      <c r="Z527" s="145"/>
      <c r="AA527" s="145"/>
      <c r="AB527" s="145"/>
      <c r="AC527" s="146"/>
      <c r="AD527" s="145"/>
      <c r="AE527" s="145"/>
      <c r="AF527" s="145"/>
      <c r="AG527" s="145"/>
      <c r="AH527" s="146"/>
      <c r="AI527" s="145"/>
      <c r="AJ527" s="145"/>
      <c r="AK527" s="145"/>
      <c r="AL527" s="145"/>
      <c r="AM527" s="145"/>
      <c r="AN527" s="145"/>
      <c r="AO527" s="145"/>
      <c r="AP527" s="74"/>
      <c r="AQ527" s="74"/>
      <c r="AR527" s="74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</row>
    <row r="528" spans="1:85" ht="15.75" customHeight="1" x14ac:dyDescent="0.45">
      <c r="A528" s="22"/>
      <c r="B528" s="12"/>
      <c r="C528" s="12"/>
      <c r="D528" s="155"/>
      <c r="E528" s="22"/>
      <c r="F528" s="22"/>
      <c r="G528" s="12"/>
      <c r="H528" s="22"/>
      <c r="I528" s="22"/>
      <c r="J528" s="22"/>
      <c r="K528" s="22"/>
      <c r="L528" s="22"/>
      <c r="M528" s="22"/>
      <c r="N528" s="22"/>
      <c r="O528" s="145"/>
      <c r="P528" s="145"/>
      <c r="Q528" s="145"/>
      <c r="R528" s="145"/>
      <c r="S528" s="22"/>
      <c r="T528" s="145"/>
      <c r="U528" s="145"/>
      <c r="V528" s="145"/>
      <c r="W528" s="145"/>
      <c r="X528" s="53"/>
      <c r="Y528" s="74"/>
      <c r="Z528" s="145"/>
      <c r="AA528" s="145"/>
      <c r="AB528" s="145"/>
      <c r="AC528" s="146"/>
      <c r="AD528" s="145"/>
      <c r="AE528" s="145"/>
      <c r="AF528" s="145"/>
      <c r="AG528" s="145"/>
      <c r="AH528" s="146"/>
      <c r="AI528" s="145"/>
      <c r="AJ528" s="145"/>
      <c r="AK528" s="145"/>
      <c r="AL528" s="145"/>
      <c r="AM528" s="145"/>
      <c r="AN528" s="145"/>
      <c r="AO528" s="145"/>
      <c r="AP528" s="74"/>
      <c r="AQ528" s="74"/>
      <c r="AR528" s="74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</row>
    <row r="529" spans="1:85" ht="15.75" customHeight="1" x14ac:dyDescent="0.45">
      <c r="A529" s="22"/>
      <c r="B529" s="12"/>
      <c r="C529" s="12"/>
      <c r="D529" s="155"/>
      <c r="E529" s="22"/>
      <c r="F529" s="22"/>
      <c r="G529" s="12"/>
      <c r="H529" s="22"/>
      <c r="I529" s="22"/>
      <c r="J529" s="22"/>
      <c r="K529" s="22"/>
      <c r="L529" s="22"/>
      <c r="M529" s="22"/>
      <c r="N529" s="22"/>
      <c r="O529" s="145"/>
      <c r="P529" s="145"/>
      <c r="Q529" s="145"/>
      <c r="R529" s="145"/>
      <c r="S529" s="22"/>
      <c r="T529" s="145"/>
      <c r="U529" s="145"/>
      <c r="V529" s="145"/>
      <c r="W529" s="145"/>
      <c r="X529" s="53"/>
      <c r="Y529" s="74"/>
      <c r="Z529" s="145"/>
      <c r="AA529" s="145"/>
      <c r="AB529" s="145"/>
      <c r="AC529" s="146"/>
      <c r="AD529" s="145"/>
      <c r="AE529" s="145"/>
      <c r="AF529" s="145"/>
      <c r="AG529" s="145"/>
      <c r="AH529" s="146"/>
      <c r="AI529" s="145"/>
      <c r="AJ529" s="145"/>
      <c r="AK529" s="145"/>
      <c r="AL529" s="145"/>
      <c r="AM529" s="145"/>
      <c r="AN529" s="145"/>
      <c r="AO529" s="145"/>
      <c r="AP529" s="74"/>
      <c r="AQ529" s="74"/>
      <c r="AR529" s="74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</row>
    <row r="530" spans="1:85" ht="15.75" customHeight="1" x14ac:dyDescent="0.45">
      <c r="A530" s="22"/>
      <c r="B530" s="12"/>
      <c r="C530" s="12"/>
      <c r="D530" s="155"/>
      <c r="E530" s="22"/>
      <c r="F530" s="22"/>
      <c r="G530" s="12"/>
      <c r="H530" s="22"/>
      <c r="I530" s="22"/>
      <c r="J530" s="22"/>
      <c r="K530" s="22"/>
      <c r="L530" s="22"/>
      <c r="M530" s="22"/>
      <c r="N530" s="22"/>
      <c r="O530" s="145"/>
      <c r="P530" s="145"/>
      <c r="Q530" s="145"/>
      <c r="R530" s="145"/>
      <c r="S530" s="22"/>
      <c r="T530" s="145"/>
      <c r="U530" s="145"/>
      <c r="V530" s="145"/>
      <c r="W530" s="145"/>
      <c r="X530" s="53"/>
      <c r="Y530" s="74"/>
      <c r="Z530" s="145"/>
      <c r="AA530" s="145"/>
      <c r="AB530" s="145"/>
      <c r="AC530" s="146"/>
      <c r="AD530" s="145"/>
      <c r="AE530" s="145"/>
      <c r="AF530" s="145"/>
      <c r="AG530" s="145"/>
      <c r="AH530" s="146"/>
      <c r="AI530" s="145"/>
      <c r="AJ530" s="145"/>
      <c r="AK530" s="145"/>
      <c r="AL530" s="145"/>
      <c r="AM530" s="145"/>
      <c r="AN530" s="145"/>
      <c r="AO530" s="145"/>
      <c r="AP530" s="74"/>
      <c r="AQ530" s="74"/>
      <c r="AR530" s="74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</row>
    <row r="531" spans="1:85" ht="15.75" customHeight="1" x14ac:dyDescent="0.45">
      <c r="A531" s="22"/>
      <c r="B531" s="12"/>
      <c r="C531" s="12"/>
      <c r="D531" s="155"/>
      <c r="E531" s="22"/>
      <c r="F531" s="22"/>
      <c r="G531" s="12"/>
      <c r="H531" s="22"/>
      <c r="I531" s="22"/>
      <c r="J531" s="22"/>
      <c r="K531" s="22"/>
      <c r="L531" s="22"/>
      <c r="M531" s="22"/>
      <c r="N531" s="22"/>
      <c r="O531" s="145"/>
      <c r="P531" s="145"/>
      <c r="Q531" s="145"/>
      <c r="R531" s="145"/>
      <c r="S531" s="22"/>
      <c r="T531" s="145"/>
      <c r="U531" s="145"/>
      <c r="V531" s="145"/>
      <c r="W531" s="145"/>
      <c r="X531" s="53"/>
      <c r="Y531" s="74"/>
      <c r="Z531" s="145"/>
      <c r="AA531" s="145"/>
      <c r="AB531" s="145"/>
      <c r="AC531" s="146"/>
      <c r="AD531" s="145"/>
      <c r="AE531" s="145"/>
      <c r="AF531" s="145"/>
      <c r="AG531" s="145"/>
      <c r="AH531" s="146"/>
      <c r="AI531" s="145"/>
      <c r="AJ531" s="145"/>
      <c r="AK531" s="145"/>
      <c r="AL531" s="145"/>
      <c r="AM531" s="145"/>
      <c r="AN531" s="145"/>
      <c r="AO531" s="145"/>
      <c r="AP531" s="74"/>
      <c r="AQ531" s="74"/>
      <c r="AR531" s="74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</row>
    <row r="532" spans="1:85" ht="15.75" customHeight="1" x14ac:dyDescent="0.45">
      <c r="A532" s="22"/>
      <c r="B532" s="12"/>
      <c r="C532" s="12"/>
      <c r="D532" s="155"/>
      <c r="E532" s="22"/>
      <c r="F532" s="22"/>
      <c r="G532" s="12"/>
      <c r="H532" s="22"/>
      <c r="I532" s="22"/>
      <c r="J532" s="22"/>
      <c r="K532" s="22"/>
      <c r="L532" s="22"/>
      <c r="M532" s="22"/>
      <c r="N532" s="22"/>
      <c r="O532" s="145"/>
      <c r="P532" s="145"/>
      <c r="Q532" s="145"/>
      <c r="R532" s="145"/>
      <c r="S532" s="22"/>
      <c r="T532" s="145"/>
      <c r="U532" s="145"/>
      <c r="V532" s="145"/>
      <c r="W532" s="145"/>
      <c r="X532" s="53"/>
      <c r="Y532" s="74"/>
      <c r="Z532" s="145"/>
      <c r="AA532" s="145"/>
      <c r="AB532" s="145"/>
      <c r="AC532" s="146"/>
      <c r="AD532" s="145"/>
      <c r="AE532" s="145"/>
      <c r="AF532" s="145"/>
      <c r="AG532" s="145"/>
      <c r="AH532" s="146"/>
      <c r="AI532" s="145"/>
      <c r="AJ532" s="145"/>
      <c r="AK532" s="145"/>
      <c r="AL532" s="145"/>
      <c r="AM532" s="145"/>
      <c r="AN532" s="145"/>
      <c r="AO532" s="145"/>
      <c r="AP532" s="74"/>
      <c r="AQ532" s="74"/>
      <c r="AR532" s="74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</row>
    <row r="533" spans="1:85" ht="15.75" customHeight="1" x14ac:dyDescent="0.45">
      <c r="A533" s="22"/>
      <c r="B533" s="12"/>
      <c r="C533" s="12"/>
      <c r="D533" s="155"/>
      <c r="E533" s="22"/>
      <c r="F533" s="22"/>
      <c r="G533" s="12"/>
      <c r="H533" s="22"/>
      <c r="I533" s="22"/>
      <c r="J533" s="22"/>
      <c r="K533" s="22"/>
      <c r="L533" s="22"/>
      <c r="M533" s="22"/>
      <c r="N533" s="22"/>
      <c r="O533" s="145"/>
      <c r="P533" s="145"/>
      <c r="Q533" s="145"/>
      <c r="R533" s="145"/>
      <c r="S533" s="22"/>
      <c r="T533" s="145"/>
      <c r="U533" s="145"/>
      <c r="V533" s="145"/>
      <c r="W533" s="145"/>
      <c r="X533" s="53"/>
      <c r="Y533" s="74"/>
      <c r="Z533" s="145"/>
      <c r="AA533" s="145"/>
      <c r="AB533" s="145"/>
      <c r="AC533" s="146"/>
      <c r="AD533" s="145"/>
      <c r="AE533" s="145"/>
      <c r="AF533" s="145"/>
      <c r="AG533" s="145"/>
      <c r="AH533" s="146"/>
      <c r="AI533" s="145"/>
      <c r="AJ533" s="145"/>
      <c r="AK533" s="145"/>
      <c r="AL533" s="145"/>
      <c r="AM533" s="145"/>
      <c r="AN533" s="145"/>
      <c r="AO533" s="145"/>
      <c r="AP533" s="74"/>
      <c r="AQ533" s="74"/>
      <c r="AR533" s="74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</row>
    <row r="534" spans="1:85" ht="15.75" customHeight="1" x14ac:dyDescent="0.45">
      <c r="A534" s="22"/>
      <c r="B534" s="12"/>
      <c r="C534" s="12"/>
      <c r="D534" s="155"/>
      <c r="E534" s="22"/>
      <c r="F534" s="22"/>
      <c r="G534" s="12"/>
      <c r="H534" s="22"/>
      <c r="I534" s="22"/>
      <c r="J534" s="22"/>
      <c r="K534" s="22"/>
      <c r="L534" s="22"/>
      <c r="M534" s="22"/>
      <c r="N534" s="22"/>
      <c r="O534" s="145"/>
      <c r="P534" s="145"/>
      <c r="Q534" s="145"/>
      <c r="R534" s="145"/>
      <c r="S534" s="22"/>
      <c r="T534" s="145"/>
      <c r="U534" s="145"/>
      <c r="V534" s="145"/>
      <c r="W534" s="145"/>
      <c r="X534" s="53"/>
      <c r="Y534" s="74"/>
      <c r="Z534" s="145"/>
      <c r="AA534" s="145"/>
      <c r="AB534" s="145"/>
      <c r="AC534" s="146"/>
      <c r="AD534" s="145"/>
      <c r="AE534" s="145"/>
      <c r="AF534" s="145"/>
      <c r="AG534" s="145"/>
      <c r="AH534" s="146"/>
      <c r="AI534" s="145"/>
      <c r="AJ534" s="145"/>
      <c r="AK534" s="145"/>
      <c r="AL534" s="145"/>
      <c r="AM534" s="145"/>
      <c r="AN534" s="145"/>
      <c r="AO534" s="145"/>
      <c r="AP534" s="74"/>
      <c r="AQ534" s="74"/>
      <c r="AR534" s="74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</row>
    <row r="535" spans="1:85" ht="15.75" customHeight="1" x14ac:dyDescent="0.45">
      <c r="A535" s="22"/>
      <c r="B535" s="12"/>
      <c r="C535" s="12"/>
      <c r="D535" s="155"/>
      <c r="E535" s="22"/>
      <c r="F535" s="22"/>
      <c r="G535" s="12"/>
      <c r="H535" s="22"/>
      <c r="I535" s="22"/>
      <c r="J535" s="22"/>
      <c r="K535" s="22"/>
      <c r="L535" s="22"/>
      <c r="M535" s="22"/>
      <c r="N535" s="22"/>
      <c r="O535" s="145"/>
      <c r="P535" s="145"/>
      <c r="Q535" s="145"/>
      <c r="R535" s="145"/>
      <c r="S535" s="22"/>
      <c r="T535" s="145"/>
      <c r="U535" s="145"/>
      <c r="V535" s="145"/>
      <c r="W535" s="145"/>
      <c r="X535" s="53"/>
      <c r="Y535" s="74"/>
      <c r="Z535" s="145"/>
      <c r="AA535" s="145"/>
      <c r="AB535" s="145"/>
      <c r="AC535" s="146"/>
      <c r="AD535" s="145"/>
      <c r="AE535" s="145"/>
      <c r="AF535" s="145"/>
      <c r="AG535" s="145"/>
      <c r="AH535" s="146"/>
      <c r="AI535" s="145"/>
      <c r="AJ535" s="145"/>
      <c r="AK535" s="145"/>
      <c r="AL535" s="145"/>
      <c r="AM535" s="145"/>
      <c r="AN535" s="145"/>
      <c r="AO535" s="145"/>
      <c r="AP535" s="74"/>
      <c r="AQ535" s="74"/>
      <c r="AR535" s="74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</row>
    <row r="536" spans="1:85" ht="15.75" customHeight="1" x14ac:dyDescent="0.45">
      <c r="A536" s="22"/>
      <c r="B536" s="12"/>
      <c r="C536" s="12"/>
      <c r="D536" s="155"/>
      <c r="E536" s="22"/>
      <c r="F536" s="22"/>
      <c r="G536" s="12"/>
      <c r="H536" s="22"/>
      <c r="I536" s="22"/>
      <c r="J536" s="22"/>
      <c r="K536" s="22"/>
      <c r="L536" s="22"/>
      <c r="M536" s="22"/>
      <c r="N536" s="22"/>
      <c r="O536" s="145"/>
      <c r="P536" s="145"/>
      <c r="Q536" s="145"/>
      <c r="R536" s="145"/>
      <c r="S536" s="22"/>
      <c r="T536" s="145"/>
      <c r="U536" s="145"/>
      <c r="V536" s="145"/>
      <c r="W536" s="145"/>
      <c r="X536" s="53"/>
      <c r="Y536" s="74"/>
      <c r="Z536" s="145"/>
      <c r="AA536" s="145"/>
      <c r="AB536" s="145"/>
      <c r="AC536" s="146"/>
      <c r="AD536" s="145"/>
      <c r="AE536" s="145"/>
      <c r="AF536" s="145"/>
      <c r="AG536" s="145"/>
      <c r="AH536" s="146"/>
      <c r="AI536" s="145"/>
      <c r="AJ536" s="145"/>
      <c r="AK536" s="145"/>
      <c r="AL536" s="145"/>
      <c r="AM536" s="145"/>
      <c r="AN536" s="145"/>
      <c r="AO536" s="145"/>
      <c r="AP536" s="74"/>
      <c r="AQ536" s="74"/>
      <c r="AR536" s="74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</row>
    <row r="537" spans="1:85" ht="15.75" customHeight="1" x14ac:dyDescent="0.45">
      <c r="A537" s="22"/>
      <c r="B537" s="12"/>
      <c r="C537" s="12"/>
      <c r="D537" s="155"/>
      <c r="E537" s="22"/>
      <c r="F537" s="22"/>
      <c r="G537" s="12"/>
      <c r="H537" s="22"/>
      <c r="I537" s="22"/>
      <c r="J537" s="22"/>
      <c r="K537" s="22"/>
      <c r="L537" s="22"/>
      <c r="M537" s="22"/>
      <c r="N537" s="22"/>
      <c r="O537" s="145"/>
      <c r="P537" s="145"/>
      <c r="Q537" s="145"/>
      <c r="R537" s="145"/>
      <c r="S537" s="22"/>
      <c r="T537" s="145"/>
      <c r="U537" s="145"/>
      <c r="V537" s="145"/>
      <c r="W537" s="145"/>
      <c r="X537" s="53"/>
      <c r="Y537" s="74"/>
      <c r="Z537" s="145"/>
      <c r="AA537" s="145"/>
      <c r="AB537" s="145"/>
      <c r="AC537" s="146"/>
      <c r="AD537" s="145"/>
      <c r="AE537" s="145"/>
      <c r="AF537" s="145"/>
      <c r="AG537" s="145"/>
      <c r="AH537" s="146"/>
      <c r="AI537" s="145"/>
      <c r="AJ537" s="145"/>
      <c r="AK537" s="145"/>
      <c r="AL537" s="145"/>
      <c r="AM537" s="145"/>
      <c r="AN537" s="145"/>
      <c r="AO537" s="145"/>
      <c r="AP537" s="74"/>
      <c r="AQ537" s="74"/>
      <c r="AR537" s="74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</row>
    <row r="538" spans="1:85" ht="15.75" customHeight="1" x14ac:dyDescent="0.45">
      <c r="A538" s="22"/>
      <c r="B538" s="12"/>
      <c r="C538" s="12"/>
      <c r="D538" s="155"/>
      <c r="E538" s="22"/>
      <c r="F538" s="22"/>
      <c r="G538" s="12"/>
      <c r="H538" s="22"/>
      <c r="I538" s="22"/>
      <c r="J538" s="22"/>
      <c r="K538" s="22"/>
      <c r="L538" s="22"/>
      <c r="M538" s="22"/>
      <c r="N538" s="22"/>
      <c r="O538" s="145"/>
      <c r="P538" s="145"/>
      <c r="Q538" s="145"/>
      <c r="R538" s="145"/>
      <c r="S538" s="22"/>
      <c r="T538" s="145"/>
      <c r="U538" s="145"/>
      <c r="V538" s="145"/>
      <c r="W538" s="145"/>
      <c r="X538" s="53"/>
      <c r="Y538" s="74"/>
      <c r="Z538" s="145"/>
      <c r="AA538" s="145"/>
      <c r="AB538" s="145"/>
      <c r="AC538" s="146"/>
      <c r="AD538" s="145"/>
      <c r="AE538" s="145"/>
      <c r="AF538" s="145"/>
      <c r="AG538" s="145"/>
      <c r="AH538" s="146"/>
      <c r="AI538" s="145"/>
      <c r="AJ538" s="145"/>
      <c r="AK538" s="145"/>
      <c r="AL538" s="145"/>
      <c r="AM538" s="145"/>
      <c r="AN538" s="145"/>
      <c r="AO538" s="145"/>
      <c r="AP538" s="74"/>
      <c r="AQ538" s="74"/>
      <c r="AR538" s="74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</row>
    <row r="539" spans="1:85" ht="15.75" customHeight="1" x14ac:dyDescent="0.45">
      <c r="A539" s="22"/>
      <c r="B539" s="12"/>
      <c r="C539" s="12"/>
      <c r="D539" s="155"/>
      <c r="E539" s="22"/>
      <c r="F539" s="22"/>
      <c r="G539" s="12"/>
      <c r="H539" s="22"/>
      <c r="I539" s="22"/>
      <c r="J539" s="22"/>
      <c r="K539" s="22"/>
      <c r="L539" s="22"/>
      <c r="M539" s="22"/>
      <c r="N539" s="22"/>
      <c r="O539" s="145"/>
      <c r="P539" s="145"/>
      <c r="Q539" s="145"/>
      <c r="R539" s="145"/>
      <c r="S539" s="22"/>
      <c r="T539" s="145"/>
      <c r="U539" s="145"/>
      <c r="V539" s="145"/>
      <c r="W539" s="145"/>
      <c r="X539" s="53"/>
      <c r="Y539" s="74"/>
      <c r="Z539" s="145"/>
      <c r="AA539" s="145"/>
      <c r="AB539" s="145"/>
      <c r="AC539" s="146"/>
      <c r="AD539" s="145"/>
      <c r="AE539" s="145"/>
      <c r="AF539" s="145"/>
      <c r="AG539" s="145"/>
      <c r="AH539" s="146"/>
      <c r="AI539" s="145"/>
      <c r="AJ539" s="145"/>
      <c r="AK539" s="145"/>
      <c r="AL539" s="145"/>
      <c r="AM539" s="145"/>
      <c r="AN539" s="145"/>
      <c r="AO539" s="145"/>
      <c r="AP539" s="74"/>
      <c r="AQ539" s="74"/>
      <c r="AR539" s="74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</row>
    <row r="540" spans="1:85" ht="15.75" customHeight="1" x14ac:dyDescent="0.45">
      <c r="A540" s="22"/>
      <c r="B540" s="12"/>
      <c r="C540" s="12"/>
      <c r="D540" s="155"/>
      <c r="E540" s="22"/>
      <c r="F540" s="22"/>
      <c r="G540" s="12"/>
      <c r="H540" s="22"/>
      <c r="I540" s="22"/>
      <c r="J540" s="22"/>
      <c r="K540" s="22"/>
      <c r="L540" s="22"/>
      <c r="M540" s="22"/>
      <c r="N540" s="22"/>
      <c r="O540" s="145"/>
      <c r="P540" s="145"/>
      <c r="Q540" s="145"/>
      <c r="R540" s="145"/>
      <c r="S540" s="22"/>
      <c r="T540" s="145"/>
      <c r="U540" s="145"/>
      <c r="V540" s="145"/>
      <c r="W540" s="145"/>
      <c r="X540" s="53"/>
      <c r="Y540" s="74"/>
      <c r="Z540" s="145"/>
      <c r="AA540" s="145"/>
      <c r="AB540" s="145"/>
      <c r="AC540" s="146"/>
      <c r="AD540" s="145"/>
      <c r="AE540" s="145"/>
      <c r="AF540" s="145"/>
      <c r="AG540" s="145"/>
      <c r="AH540" s="146"/>
      <c r="AI540" s="145"/>
      <c r="AJ540" s="145"/>
      <c r="AK540" s="145"/>
      <c r="AL540" s="145"/>
      <c r="AM540" s="145"/>
      <c r="AN540" s="145"/>
      <c r="AO540" s="145"/>
      <c r="AP540" s="74"/>
      <c r="AQ540" s="74"/>
      <c r="AR540" s="74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</row>
    <row r="541" spans="1:85" ht="15.75" customHeight="1" x14ac:dyDescent="0.45">
      <c r="A541" s="22"/>
      <c r="B541" s="12"/>
      <c r="C541" s="12"/>
      <c r="D541" s="155"/>
      <c r="E541" s="22"/>
      <c r="F541" s="22"/>
      <c r="G541" s="12"/>
      <c r="H541" s="22"/>
      <c r="I541" s="22"/>
      <c r="J541" s="22"/>
      <c r="K541" s="22"/>
      <c r="L541" s="22"/>
      <c r="M541" s="22"/>
      <c r="N541" s="22"/>
      <c r="O541" s="145"/>
      <c r="P541" s="145"/>
      <c r="Q541" s="145"/>
      <c r="R541" s="145"/>
      <c r="S541" s="22"/>
      <c r="T541" s="145"/>
      <c r="U541" s="145"/>
      <c r="V541" s="145"/>
      <c r="W541" s="145"/>
      <c r="X541" s="53"/>
      <c r="Y541" s="74"/>
      <c r="Z541" s="145"/>
      <c r="AA541" s="145"/>
      <c r="AB541" s="145"/>
      <c r="AC541" s="146"/>
      <c r="AD541" s="145"/>
      <c r="AE541" s="145"/>
      <c r="AF541" s="145"/>
      <c r="AG541" s="145"/>
      <c r="AH541" s="146"/>
      <c r="AI541" s="145"/>
      <c r="AJ541" s="145"/>
      <c r="AK541" s="145"/>
      <c r="AL541" s="145"/>
      <c r="AM541" s="145"/>
      <c r="AN541" s="145"/>
      <c r="AO541" s="145"/>
      <c r="AP541" s="74"/>
      <c r="AQ541" s="74"/>
      <c r="AR541" s="74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</row>
    <row r="542" spans="1:85" ht="15.75" customHeight="1" x14ac:dyDescent="0.45">
      <c r="A542" s="22"/>
      <c r="B542" s="12"/>
      <c r="C542" s="12"/>
      <c r="D542" s="155"/>
      <c r="E542" s="22"/>
      <c r="F542" s="22"/>
      <c r="G542" s="12"/>
      <c r="H542" s="22"/>
      <c r="I542" s="22"/>
      <c r="J542" s="22"/>
      <c r="K542" s="22"/>
      <c r="L542" s="22"/>
      <c r="M542" s="22"/>
      <c r="N542" s="22"/>
      <c r="O542" s="145"/>
      <c r="P542" s="145"/>
      <c r="Q542" s="145"/>
      <c r="R542" s="145"/>
      <c r="S542" s="22"/>
      <c r="T542" s="145"/>
      <c r="U542" s="145"/>
      <c r="V542" s="145"/>
      <c r="W542" s="145"/>
      <c r="X542" s="53"/>
      <c r="Y542" s="74"/>
      <c r="Z542" s="145"/>
      <c r="AA542" s="145"/>
      <c r="AB542" s="145"/>
      <c r="AC542" s="146"/>
      <c r="AD542" s="145"/>
      <c r="AE542" s="145"/>
      <c r="AF542" s="145"/>
      <c r="AG542" s="145"/>
      <c r="AH542" s="146"/>
      <c r="AI542" s="145"/>
      <c r="AJ542" s="145"/>
      <c r="AK542" s="145"/>
      <c r="AL542" s="145"/>
      <c r="AM542" s="145"/>
      <c r="AN542" s="145"/>
      <c r="AO542" s="145"/>
      <c r="AP542" s="74"/>
      <c r="AQ542" s="74"/>
      <c r="AR542" s="74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</row>
    <row r="543" spans="1:85" ht="15.75" customHeight="1" x14ac:dyDescent="0.45">
      <c r="A543" s="22"/>
      <c r="B543" s="12"/>
      <c r="C543" s="12"/>
      <c r="D543" s="155"/>
      <c r="E543" s="22"/>
      <c r="F543" s="22"/>
      <c r="G543" s="12"/>
      <c r="H543" s="22"/>
      <c r="I543" s="22"/>
      <c r="J543" s="22"/>
      <c r="K543" s="22"/>
      <c r="L543" s="22"/>
      <c r="M543" s="22"/>
      <c r="N543" s="22"/>
      <c r="O543" s="145"/>
      <c r="P543" s="145"/>
      <c r="Q543" s="145"/>
      <c r="R543" s="145"/>
      <c r="S543" s="22"/>
      <c r="T543" s="145"/>
      <c r="U543" s="145"/>
      <c r="V543" s="145"/>
      <c r="W543" s="145"/>
      <c r="X543" s="53"/>
      <c r="Y543" s="74"/>
      <c r="Z543" s="145"/>
      <c r="AA543" s="145"/>
      <c r="AB543" s="145"/>
      <c r="AC543" s="146"/>
      <c r="AD543" s="145"/>
      <c r="AE543" s="145"/>
      <c r="AF543" s="145"/>
      <c r="AG543" s="145"/>
      <c r="AH543" s="146"/>
      <c r="AI543" s="145"/>
      <c r="AJ543" s="145"/>
      <c r="AK543" s="145"/>
      <c r="AL543" s="145"/>
      <c r="AM543" s="145"/>
      <c r="AN543" s="145"/>
      <c r="AO543" s="145"/>
      <c r="AP543" s="74"/>
      <c r="AQ543" s="74"/>
      <c r="AR543" s="74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</row>
    <row r="544" spans="1:85" ht="15.75" customHeight="1" x14ac:dyDescent="0.45">
      <c r="A544" s="22"/>
      <c r="B544" s="12"/>
      <c r="C544" s="12"/>
      <c r="D544" s="155"/>
      <c r="E544" s="22"/>
      <c r="F544" s="22"/>
      <c r="G544" s="12"/>
      <c r="H544" s="22"/>
      <c r="I544" s="22"/>
      <c r="J544" s="22"/>
      <c r="K544" s="22"/>
      <c r="L544" s="22"/>
      <c r="M544" s="22"/>
      <c r="N544" s="22"/>
      <c r="O544" s="145"/>
      <c r="P544" s="145"/>
      <c r="Q544" s="145"/>
      <c r="R544" s="145"/>
      <c r="S544" s="22"/>
      <c r="T544" s="145"/>
      <c r="U544" s="145"/>
      <c r="V544" s="145"/>
      <c r="W544" s="145"/>
      <c r="X544" s="53"/>
      <c r="Y544" s="74"/>
      <c r="Z544" s="145"/>
      <c r="AA544" s="145"/>
      <c r="AB544" s="145"/>
      <c r="AC544" s="146"/>
      <c r="AD544" s="145"/>
      <c r="AE544" s="145"/>
      <c r="AF544" s="145"/>
      <c r="AG544" s="145"/>
      <c r="AH544" s="146"/>
      <c r="AI544" s="145"/>
      <c r="AJ544" s="145"/>
      <c r="AK544" s="145"/>
      <c r="AL544" s="145"/>
      <c r="AM544" s="145"/>
      <c r="AN544" s="145"/>
      <c r="AO544" s="145"/>
      <c r="AP544" s="74"/>
      <c r="AQ544" s="74"/>
      <c r="AR544" s="74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</row>
    <row r="545" spans="1:85" ht="15.75" customHeight="1" x14ac:dyDescent="0.45">
      <c r="A545" s="22"/>
      <c r="B545" s="12"/>
      <c r="C545" s="12"/>
      <c r="D545" s="155"/>
      <c r="E545" s="22"/>
      <c r="F545" s="22"/>
      <c r="G545" s="12"/>
      <c r="H545" s="22"/>
      <c r="I545" s="22"/>
      <c r="J545" s="22"/>
      <c r="K545" s="22"/>
      <c r="L545" s="22"/>
      <c r="M545" s="22"/>
      <c r="N545" s="22"/>
      <c r="O545" s="145"/>
      <c r="P545" s="145"/>
      <c r="Q545" s="145"/>
      <c r="R545" s="145"/>
      <c r="S545" s="22"/>
      <c r="T545" s="145"/>
      <c r="U545" s="145"/>
      <c r="V545" s="145"/>
      <c r="W545" s="145"/>
      <c r="X545" s="53"/>
      <c r="Y545" s="74"/>
      <c r="Z545" s="145"/>
      <c r="AA545" s="145"/>
      <c r="AB545" s="145"/>
      <c r="AC545" s="146"/>
      <c r="AD545" s="145"/>
      <c r="AE545" s="145"/>
      <c r="AF545" s="145"/>
      <c r="AG545" s="145"/>
      <c r="AH545" s="146"/>
      <c r="AI545" s="145"/>
      <c r="AJ545" s="145"/>
      <c r="AK545" s="145"/>
      <c r="AL545" s="145"/>
      <c r="AM545" s="145"/>
      <c r="AN545" s="145"/>
      <c r="AO545" s="145"/>
      <c r="AP545" s="74"/>
      <c r="AQ545" s="74"/>
      <c r="AR545" s="74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</row>
    <row r="546" spans="1:85" ht="15.75" customHeight="1" x14ac:dyDescent="0.45">
      <c r="A546" s="22"/>
      <c r="B546" s="12"/>
      <c r="C546" s="12"/>
      <c r="D546" s="155"/>
      <c r="E546" s="22"/>
      <c r="F546" s="22"/>
      <c r="G546" s="12"/>
      <c r="H546" s="22"/>
      <c r="I546" s="22"/>
      <c r="J546" s="22"/>
      <c r="K546" s="22"/>
      <c r="L546" s="22"/>
      <c r="M546" s="22"/>
      <c r="N546" s="22"/>
      <c r="O546" s="145"/>
      <c r="P546" s="145"/>
      <c r="Q546" s="145"/>
      <c r="R546" s="145"/>
      <c r="S546" s="22"/>
      <c r="T546" s="145"/>
      <c r="U546" s="145"/>
      <c r="V546" s="145"/>
      <c r="W546" s="145"/>
      <c r="X546" s="53"/>
      <c r="Y546" s="74"/>
      <c r="Z546" s="145"/>
      <c r="AA546" s="145"/>
      <c r="AB546" s="145"/>
      <c r="AC546" s="146"/>
      <c r="AD546" s="145"/>
      <c r="AE546" s="145"/>
      <c r="AF546" s="145"/>
      <c r="AG546" s="145"/>
      <c r="AH546" s="146"/>
      <c r="AI546" s="145"/>
      <c r="AJ546" s="145"/>
      <c r="AK546" s="145"/>
      <c r="AL546" s="145"/>
      <c r="AM546" s="145"/>
      <c r="AN546" s="145"/>
      <c r="AO546" s="145"/>
      <c r="AP546" s="74"/>
      <c r="AQ546" s="74"/>
      <c r="AR546" s="74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</row>
    <row r="547" spans="1:85" ht="15.75" customHeight="1" x14ac:dyDescent="0.45">
      <c r="A547" s="22"/>
      <c r="B547" s="12"/>
      <c r="C547" s="12"/>
      <c r="D547" s="155"/>
      <c r="E547" s="22"/>
      <c r="F547" s="22"/>
      <c r="G547" s="12"/>
      <c r="H547" s="22"/>
      <c r="I547" s="22"/>
      <c r="J547" s="22"/>
      <c r="K547" s="22"/>
      <c r="L547" s="22"/>
      <c r="M547" s="22"/>
      <c r="N547" s="22"/>
      <c r="O547" s="145"/>
      <c r="P547" s="145"/>
      <c r="Q547" s="145"/>
      <c r="R547" s="145"/>
      <c r="S547" s="22"/>
      <c r="T547" s="145"/>
      <c r="U547" s="145"/>
      <c r="V547" s="145"/>
      <c r="W547" s="145"/>
      <c r="X547" s="53"/>
      <c r="Y547" s="74"/>
      <c r="Z547" s="145"/>
      <c r="AA547" s="145"/>
      <c r="AB547" s="145"/>
      <c r="AC547" s="146"/>
      <c r="AD547" s="145"/>
      <c r="AE547" s="145"/>
      <c r="AF547" s="145"/>
      <c r="AG547" s="145"/>
      <c r="AH547" s="146"/>
      <c r="AI547" s="145"/>
      <c r="AJ547" s="145"/>
      <c r="AK547" s="145"/>
      <c r="AL547" s="145"/>
      <c r="AM547" s="145"/>
      <c r="AN547" s="145"/>
      <c r="AO547" s="145"/>
      <c r="AP547" s="74"/>
      <c r="AQ547" s="74"/>
      <c r="AR547" s="74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</row>
    <row r="548" spans="1:85" ht="15.75" customHeight="1" x14ac:dyDescent="0.45">
      <c r="A548" s="22"/>
      <c r="B548" s="12"/>
      <c r="C548" s="12"/>
      <c r="D548" s="155"/>
      <c r="E548" s="22"/>
      <c r="F548" s="22"/>
      <c r="G548" s="12"/>
      <c r="H548" s="22"/>
      <c r="I548" s="22"/>
      <c r="J548" s="22"/>
      <c r="K548" s="22"/>
      <c r="L548" s="22"/>
      <c r="M548" s="22"/>
      <c r="N548" s="22"/>
      <c r="O548" s="145"/>
      <c r="P548" s="145"/>
      <c r="Q548" s="145"/>
      <c r="R548" s="145"/>
      <c r="S548" s="22"/>
      <c r="T548" s="145"/>
      <c r="U548" s="145"/>
      <c r="V548" s="145"/>
      <c r="W548" s="145"/>
      <c r="X548" s="53"/>
      <c r="Y548" s="74"/>
      <c r="Z548" s="145"/>
      <c r="AA548" s="145"/>
      <c r="AB548" s="145"/>
      <c r="AC548" s="146"/>
      <c r="AD548" s="145"/>
      <c r="AE548" s="145"/>
      <c r="AF548" s="145"/>
      <c r="AG548" s="145"/>
      <c r="AH548" s="146"/>
      <c r="AI548" s="145"/>
      <c r="AJ548" s="145"/>
      <c r="AK548" s="145"/>
      <c r="AL548" s="145"/>
      <c r="AM548" s="145"/>
      <c r="AN548" s="145"/>
      <c r="AO548" s="145"/>
      <c r="AP548" s="74"/>
      <c r="AQ548" s="74"/>
      <c r="AR548" s="74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</row>
    <row r="549" spans="1:85" ht="15.75" customHeight="1" x14ac:dyDescent="0.45">
      <c r="A549" s="22"/>
      <c r="B549" s="12"/>
      <c r="C549" s="12"/>
      <c r="D549" s="155"/>
      <c r="E549" s="22"/>
      <c r="F549" s="22"/>
      <c r="G549" s="12"/>
      <c r="H549" s="22"/>
      <c r="I549" s="22"/>
      <c r="J549" s="22"/>
      <c r="K549" s="22"/>
      <c r="L549" s="22"/>
      <c r="M549" s="22"/>
      <c r="N549" s="22"/>
      <c r="O549" s="145"/>
      <c r="P549" s="145"/>
      <c r="Q549" s="145"/>
      <c r="R549" s="145"/>
      <c r="S549" s="22"/>
      <c r="T549" s="145"/>
      <c r="U549" s="145"/>
      <c r="V549" s="145"/>
      <c r="W549" s="145"/>
      <c r="X549" s="53"/>
      <c r="Y549" s="74"/>
      <c r="Z549" s="145"/>
      <c r="AA549" s="145"/>
      <c r="AB549" s="145"/>
      <c r="AC549" s="146"/>
      <c r="AD549" s="145"/>
      <c r="AE549" s="145"/>
      <c r="AF549" s="145"/>
      <c r="AG549" s="145"/>
      <c r="AH549" s="146"/>
      <c r="AI549" s="145"/>
      <c r="AJ549" s="145"/>
      <c r="AK549" s="145"/>
      <c r="AL549" s="145"/>
      <c r="AM549" s="145"/>
      <c r="AN549" s="145"/>
      <c r="AO549" s="145"/>
      <c r="AP549" s="74"/>
      <c r="AQ549" s="74"/>
      <c r="AR549" s="74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</row>
    <row r="550" spans="1:85" ht="15.75" customHeight="1" x14ac:dyDescent="0.45">
      <c r="A550" s="22"/>
      <c r="B550" s="12"/>
      <c r="C550" s="12"/>
      <c r="D550" s="155"/>
      <c r="E550" s="22"/>
      <c r="F550" s="22"/>
      <c r="G550" s="12"/>
      <c r="H550" s="22"/>
      <c r="I550" s="22"/>
      <c r="J550" s="22"/>
      <c r="K550" s="22"/>
      <c r="L550" s="22"/>
      <c r="M550" s="22"/>
      <c r="N550" s="22"/>
      <c r="O550" s="145"/>
      <c r="P550" s="145"/>
      <c r="Q550" s="145"/>
      <c r="R550" s="145"/>
      <c r="S550" s="22"/>
      <c r="T550" s="145"/>
      <c r="U550" s="145"/>
      <c r="V550" s="145"/>
      <c r="W550" s="145"/>
      <c r="X550" s="53"/>
      <c r="Y550" s="74"/>
      <c r="Z550" s="145"/>
      <c r="AA550" s="145"/>
      <c r="AB550" s="145"/>
      <c r="AC550" s="146"/>
      <c r="AD550" s="145"/>
      <c r="AE550" s="145"/>
      <c r="AF550" s="145"/>
      <c r="AG550" s="145"/>
      <c r="AH550" s="146"/>
      <c r="AI550" s="145"/>
      <c r="AJ550" s="145"/>
      <c r="AK550" s="145"/>
      <c r="AL550" s="145"/>
      <c r="AM550" s="145"/>
      <c r="AN550" s="145"/>
      <c r="AO550" s="145"/>
      <c r="AP550" s="74"/>
      <c r="AQ550" s="74"/>
      <c r="AR550" s="74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</row>
    <row r="551" spans="1:85" ht="15.75" customHeight="1" x14ac:dyDescent="0.45">
      <c r="A551" s="22"/>
      <c r="B551" s="12"/>
      <c r="C551" s="12"/>
      <c r="D551" s="155"/>
      <c r="E551" s="22"/>
      <c r="F551" s="22"/>
      <c r="G551" s="12"/>
      <c r="H551" s="22"/>
      <c r="I551" s="22"/>
      <c r="J551" s="22"/>
      <c r="K551" s="22"/>
      <c r="L551" s="22"/>
      <c r="M551" s="22"/>
      <c r="N551" s="22"/>
      <c r="O551" s="145"/>
      <c r="P551" s="145"/>
      <c r="Q551" s="145"/>
      <c r="R551" s="145"/>
      <c r="S551" s="22"/>
      <c r="T551" s="145"/>
      <c r="U551" s="145"/>
      <c r="V551" s="145"/>
      <c r="W551" s="145"/>
      <c r="X551" s="53"/>
      <c r="Y551" s="74"/>
      <c r="Z551" s="145"/>
      <c r="AA551" s="145"/>
      <c r="AB551" s="145"/>
      <c r="AC551" s="146"/>
      <c r="AD551" s="145"/>
      <c r="AE551" s="145"/>
      <c r="AF551" s="145"/>
      <c r="AG551" s="145"/>
      <c r="AH551" s="146"/>
      <c r="AI551" s="145"/>
      <c r="AJ551" s="145"/>
      <c r="AK551" s="145"/>
      <c r="AL551" s="145"/>
      <c r="AM551" s="145"/>
      <c r="AN551" s="145"/>
      <c r="AO551" s="145"/>
      <c r="AP551" s="74"/>
      <c r="AQ551" s="74"/>
      <c r="AR551" s="74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</row>
    <row r="552" spans="1:85" ht="15.75" customHeight="1" x14ac:dyDescent="0.45">
      <c r="A552" s="22"/>
      <c r="B552" s="12"/>
      <c r="C552" s="12"/>
      <c r="D552" s="155"/>
      <c r="E552" s="22"/>
      <c r="F552" s="22"/>
      <c r="G552" s="12"/>
      <c r="H552" s="22"/>
      <c r="I552" s="22"/>
      <c r="J552" s="22"/>
      <c r="K552" s="22"/>
      <c r="L552" s="22"/>
      <c r="M552" s="22"/>
      <c r="N552" s="22"/>
      <c r="O552" s="145"/>
      <c r="P552" s="145"/>
      <c r="Q552" s="145"/>
      <c r="R552" s="145"/>
      <c r="S552" s="22"/>
      <c r="T552" s="145"/>
      <c r="U552" s="145"/>
      <c r="V552" s="145"/>
      <c r="W552" s="145"/>
      <c r="X552" s="53"/>
      <c r="Y552" s="74"/>
      <c r="Z552" s="145"/>
      <c r="AA552" s="145"/>
      <c r="AB552" s="145"/>
      <c r="AC552" s="146"/>
      <c r="AD552" s="145"/>
      <c r="AE552" s="145"/>
      <c r="AF552" s="145"/>
      <c r="AG552" s="145"/>
      <c r="AH552" s="146"/>
      <c r="AI552" s="145"/>
      <c r="AJ552" s="145"/>
      <c r="AK552" s="145"/>
      <c r="AL552" s="145"/>
      <c r="AM552" s="145"/>
      <c r="AN552" s="145"/>
      <c r="AO552" s="145"/>
      <c r="AP552" s="74"/>
      <c r="AQ552" s="74"/>
      <c r="AR552" s="74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</row>
    <row r="553" spans="1:85" ht="15.75" customHeight="1" x14ac:dyDescent="0.45">
      <c r="A553" s="22"/>
      <c r="B553" s="12"/>
      <c r="C553" s="12"/>
      <c r="D553" s="155"/>
      <c r="E553" s="22"/>
      <c r="F553" s="22"/>
      <c r="G553" s="12"/>
      <c r="H553" s="22"/>
      <c r="I553" s="22"/>
      <c r="J553" s="22"/>
      <c r="K553" s="22"/>
      <c r="L553" s="22"/>
      <c r="M553" s="22"/>
      <c r="N553" s="22"/>
      <c r="O553" s="145"/>
      <c r="P553" s="145"/>
      <c r="Q553" s="145"/>
      <c r="R553" s="145"/>
      <c r="S553" s="22"/>
      <c r="T553" s="145"/>
      <c r="U553" s="145"/>
      <c r="V553" s="145"/>
      <c r="W553" s="145"/>
      <c r="X553" s="53"/>
      <c r="Y553" s="74"/>
      <c r="Z553" s="145"/>
      <c r="AA553" s="145"/>
      <c r="AB553" s="145"/>
      <c r="AC553" s="146"/>
      <c r="AD553" s="145"/>
      <c r="AE553" s="145"/>
      <c r="AF553" s="145"/>
      <c r="AG553" s="145"/>
      <c r="AH553" s="146"/>
      <c r="AI553" s="145"/>
      <c r="AJ553" s="145"/>
      <c r="AK553" s="145"/>
      <c r="AL553" s="145"/>
      <c r="AM553" s="145"/>
      <c r="AN553" s="145"/>
      <c r="AO553" s="145"/>
      <c r="AP553" s="74"/>
      <c r="AQ553" s="74"/>
      <c r="AR553" s="74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</row>
    <row r="554" spans="1:85" ht="15.75" customHeight="1" x14ac:dyDescent="0.45">
      <c r="A554" s="22"/>
      <c r="B554" s="12"/>
      <c r="C554" s="12"/>
      <c r="D554" s="155"/>
      <c r="E554" s="22"/>
      <c r="F554" s="22"/>
      <c r="G554" s="12"/>
      <c r="H554" s="22"/>
      <c r="I554" s="22"/>
      <c r="J554" s="22"/>
      <c r="K554" s="22"/>
      <c r="L554" s="22"/>
      <c r="M554" s="22"/>
      <c r="N554" s="22"/>
      <c r="O554" s="145"/>
      <c r="P554" s="145"/>
      <c r="Q554" s="145"/>
      <c r="R554" s="145"/>
      <c r="S554" s="22"/>
      <c r="T554" s="145"/>
      <c r="U554" s="145"/>
      <c r="V554" s="145"/>
      <c r="W554" s="145"/>
      <c r="X554" s="53"/>
      <c r="Y554" s="74"/>
      <c r="Z554" s="145"/>
      <c r="AA554" s="145"/>
      <c r="AB554" s="145"/>
      <c r="AC554" s="146"/>
      <c r="AD554" s="145"/>
      <c r="AE554" s="145"/>
      <c r="AF554" s="145"/>
      <c r="AG554" s="145"/>
      <c r="AH554" s="146"/>
      <c r="AI554" s="145"/>
      <c r="AJ554" s="145"/>
      <c r="AK554" s="145"/>
      <c r="AL554" s="145"/>
      <c r="AM554" s="145"/>
      <c r="AN554" s="145"/>
      <c r="AO554" s="145"/>
      <c r="AP554" s="74"/>
      <c r="AQ554" s="74"/>
      <c r="AR554" s="74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</row>
    <row r="555" spans="1:85" ht="15.75" customHeight="1" x14ac:dyDescent="0.45">
      <c r="A555" s="22"/>
      <c r="B555" s="12"/>
      <c r="C555" s="12"/>
      <c r="D555" s="155"/>
      <c r="E555" s="22"/>
      <c r="F555" s="22"/>
      <c r="G555" s="12"/>
      <c r="H555" s="22"/>
      <c r="I555" s="22"/>
      <c r="J555" s="22"/>
      <c r="K555" s="22"/>
      <c r="L555" s="22"/>
      <c r="M555" s="22"/>
      <c r="N555" s="22"/>
      <c r="O555" s="145"/>
      <c r="P555" s="145"/>
      <c r="Q555" s="145"/>
      <c r="R555" s="145"/>
      <c r="S555" s="22"/>
      <c r="T555" s="145"/>
      <c r="U555" s="145"/>
      <c r="V555" s="145"/>
      <c r="W555" s="145"/>
      <c r="X555" s="53"/>
      <c r="Y555" s="74"/>
      <c r="Z555" s="145"/>
      <c r="AA555" s="145"/>
      <c r="AB555" s="145"/>
      <c r="AC555" s="146"/>
      <c r="AD555" s="145"/>
      <c r="AE555" s="145"/>
      <c r="AF555" s="145"/>
      <c r="AG555" s="145"/>
      <c r="AH555" s="146"/>
      <c r="AI555" s="145"/>
      <c r="AJ555" s="145"/>
      <c r="AK555" s="145"/>
      <c r="AL555" s="145"/>
      <c r="AM555" s="145"/>
      <c r="AN555" s="145"/>
      <c r="AO555" s="145"/>
      <c r="AP555" s="74"/>
      <c r="AQ555" s="74"/>
      <c r="AR555" s="74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</row>
    <row r="556" spans="1:85" ht="15.75" customHeight="1" x14ac:dyDescent="0.45">
      <c r="A556" s="22"/>
      <c r="B556" s="12"/>
      <c r="C556" s="12"/>
      <c r="D556" s="155"/>
      <c r="E556" s="22"/>
      <c r="F556" s="22"/>
      <c r="G556" s="12"/>
      <c r="H556" s="22"/>
      <c r="I556" s="22"/>
      <c r="J556" s="22"/>
      <c r="K556" s="22"/>
      <c r="L556" s="22"/>
      <c r="M556" s="22"/>
      <c r="N556" s="22"/>
      <c r="O556" s="145"/>
      <c r="P556" s="145"/>
      <c r="Q556" s="145"/>
      <c r="R556" s="145"/>
      <c r="S556" s="22"/>
      <c r="T556" s="145"/>
      <c r="U556" s="145"/>
      <c r="V556" s="145"/>
      <c r="W556" s="145"/>
      <c r="X556" s="53"/>
      <c r="Y556" s="74"/>
      <c r="Z556" s="145"/>
      <c r="AA556" s="145"/>
      <c r="AB556" s="145"/>
      <c r="AC556" s="146"/>
      <c r="AD556" s="145"/>
      <c r="AE556" s="145"/>
      <c r="AF556" s="145"/>
      <c r="AG556" s="145"/>
      <c r="AH556" s="146"/>
      <c r="AI556" s="145"/>
      <c r="AJ556" s="145"/>
      <c r="AK556" s="145"/>
      <c r="AL556" s="145"/>
      <c r="AM556" s="145"/>
      <c r="AN556" s="145"/>
      <c r="AO556" s="145"/>
      <c r="AP556" s="74"/>
      <c r="AQ556" s="74"/>
      <c r="AR556" s="74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</row>
    <row r="557" spans="1:85" ht="15.75" customHeight="1" x14ac:dyDescent="0.45">
      <c r="A557" s="22"/>
      <c r="B557" s="12"/>
      <c r="C557" s="12"/>
      <c r="D557" s="155"/>
      <c r="E557" s="22"/>
      <c r="F557" s="22"/>
      <c r="G557" s="12"/>
      <c r="H557" s="22"/>
      <c r="I557" s="22"/>
      <c r="J557" s="22"/>
      <c r="K557" s="22"/>
      <c r="L557" s="22"/>
      <c r="M557" s="22"/>
      <c r="N557" s="22"/>
      <c r="O557" s="145"/>
      <c r="P557" s="145"/>
      <c r="Q557" s="145"/>
      <c r="R557" s="145"/>
      <c r="S557" s="22"/>
      <c r="T557" s="145"/>
      <c r="U557" s="145"/>
      <c r="V557" s="145"/>
      <c r="W557" s="145"/>
      <c r="X557" s="53"/>
      <c r="Y557" s="74"/>
      <c r="Z557" s="145"/>
      <c r="AA557" s="145"/>
      <c r="AB557" s="145"/>
      <c r="AC557" s="146"/>
      <c r="AD557" s="145"/>
      <c r="AE557" s="145"/>
      <c r="AF557" s="145"/>
      <c r="AG557" s="145"/>
      <c r="AH557" s="146"/>
      <c r="AI557" s="145"/>
      <c r="AJ557" s="145"/>
      <c r="AK557" s="145"/>
      <c r="AL557" s="145"/>
      <c r="AM557" s="145"/>
      <c r="AN557" s="145"/>
      <c r="AO557" s="145"/>
      <c r="AP557" s="74"/>
      <c r="AQ557" s="74"/>
      <c r="AR557" s="74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</row>
    <row r="558" spans="1:85" ht="15.75" customHeight="1" x14ac:dyDescent="0.45">
      <c r="A558" s="22"/>
      <c r="B558" s="12"/>
      <c r="C558" s="12"/>
      <c r="D558" s="155"/>
      <c r="E558" s="22"/>
      <c r="F558" s="22"/>
      <c r="G558" s="12"/>
      <c r="H558" s="22"/>
      <c r="I558" s="22"/>
      <c r="J558" s="22"/>
      <c r="K558" s="22"/>
      <c r="L558" s="22"/>
      <c r="M558" s="22"/>
      <c r="N558" s="22"/>
      <c r="O558" s="145"/>
      <c r="P558" s="145"/>
      <c r="Q558" s="145"/>
      <c r="R558" s="145"/>
      <c r="S558" s="22"/>
      <c r="T558" s="145"/>
      <c r="U558" s="145"/>
      <c r="V558" s="145"/>
      <c r="W558" s="145"/>
      <c r="X558" s="53"/>
      <c r="Y558" s="74"/>
      <c r="Z558" s="145"/>
      <c r="AA558" s="145"/>
      <c r="AB558" s="145"/>
      <c r="AC558" s="146"/>
      <c r="AD558" s="145"/>
      <c r="AE558" s="145"/>
      <c r="AF558" s="145"/>
      <c r="AG558" s="145"/>
      <c r="AH558" s="146"/>
      <c r="AI558" s="145"/>
      <c r="AJ558" s="145"/>
      <c r="AK558" s="145"/>
      <c r="AL558" s="145"/>
      <c r="AM558" s="145"/>
      <c r="AN558" s="145"/>
      <c r="AO558" s="145"/>
      <c r="AP558" s="74"/>
      <c r="AQ558" s="74"/>
      <c r="AR558" s="74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</row>
    <row r="559" spans="1:85" ht="15.75" customHeight="1" x14ac:dyDescent="0.45">
      <c r="A559" s="22"/>
      <c r="B559" s="12"/>
      <c r="C559" s="12"/>
      <c r="D559" s="155"/>
      <c r="E559" s="22"/>
      <c r="F559" s="22"/>
      <c r="G559" s="12"/>
      <c r="H559" s="22"/>
      <c r="I559" s="22"/>
      <c r="J559" s="22"/>
      <c r="K559" s="22"/>
      <c r="L559" s="22"/>
      <c r="M559" s="22"/>
      <c r="N559" s="22"/>
      <c r="O559" s="145"/>
      <c r="P559" s="145"/>
      <c r="Q559" s="145"/>
      <c r="R559" s="145"/>
      <c r="S559" s="22"/>
      <c r="T559" s="145"/>
      <c r="U559" s="145"/>
      <c r="V559" s="145"/>
      <c r="W559" s="145"/>
      <c r="X559" s="53"/>
      <c r="Y559" s="74"/>
      <c r="Z559" s="145"/>
      <c r="AA559" s="145"/>
      <c r="AB559" s="145"/>
      <c r="AC559" s="146"/>
      <c r="AD559" s="145"/>
      <c r="AE559" s="145"/>
      <c r="AF559" s="145"/>
      <c r="AG559" s="145"/>
      <c r="AH559" s="146"/>
      <c r="AI559" s="145"/>
      <c r="AJ559" s="145"/>
      <c r="AK559" s="145"/>
      <c r="AL559" s="145"/>
      <c r="AM559" s="145"/>
      <c r="AN559" s="145"/>
      <c r="AO559" s="145"/>
      <c r="AP559" s="74"/>
      <c r="AQ559" s="74"/>
      <c r="AR559" s="74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</row>
    <row r="560" spans="1:85" ht="15.75" customHeight="1" x14ac:dyDescent="0.45">
      <c r="A560" s="22"/>
      <c r="B560" s="12"/>
      <c r="C560" s="12"/>
      <c r="D560" s="155"/>
      <c r="E560" s="22"/>
      <c r="F560" s="22"/>
      <c r="G560" s="12"/>
      <c r="H560" s="22"/>
      <c r="I560" s="22"/>
      <c r="J560" s="22"/>
      <c r="K560" s="22"/>
      <c r="L560" s="22"/>
      <c r="M560" s="22"/>
      <c r="N560" s="22"/>
      <c r="O560" s="145"/>
      <c r="P560" s="145"/>
      <c r="Q560" s="145"/>
      <c r="R560" s="145"/>
      <c r="S560" s="22"/>
      <c r="T560" s="145"/>
      <c r="U560" s="145"/>
      <c r="V560" s="145"/>
      <c r="W560" s="145"/>
      <c r="X560" s="53"/>
      <c r="Y560" s="74"/>
      <c r="Z560" s="145"/>
      <c r="AA560" s="145"/>
      <c r="AB560" s="145"/>
      <c r="AC560" s="146"/>
      <c r="AD560" s="145"/>
      <c r="AE560" s="145"/>
      <c r="AF560" s="145"/>
      <c r="AG560" s="145"/>
      <c r="AH560" s="146"/>
      <c r="AI560" s="145"/>
      <c r="AJ560" s="145"/>
      <c r="AK560" s="145"/>
      <c r="AL560" s="145"/>
      <c r="AM560" s="145"/>
      <c r="AN560" s="145"/>
      <c r="AO560" s="145"/>
      <c r="AP560" s="74"/>
      <c r="AQ560" s="74"/>
      <c r="AR560" s="74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</row>
    <row r="561" spans="1:85" ht="15.75" customHeight="1" x14ac:dyDescent="0.45">
      <c r="A561" s="22"/>
      <c r="B561" s="12"/>
      <c r="C561" s="12"/>
      <c r="D561" s="155"/>
      <c r="E561" s="22"/>
      <c r="F561" s="22"/>
      <c r="G561" s="12"/>
      <c r="H561" s="22"/>
      <c r="I561" s="22"/>
      <c r="J561" s="22"/>
      <c r="K561" s="22"/>
      <c r="L561" s="22"/>
      <c r="M561" s="22"/>
      <c r="N561" s="22"/>
      <c r="O561" s="145"/>
      <c r="P561" s="145"/>
      <c r="Q561" s="145"/>
      <c r="R561" s="145"/>
      <c r="S561" s="22"/>
      <c r="T561" s="145"/>
      <c r="U561" s="145"/>
      <c r="V561" s="145"/>
      <c r="W561" s="145"/>
      <c r="X561" s="53"/>
      <c r="Y561" s="74"/>
      <c r="Z561" s="145"/>
      <c r="AA561" s="145"/>
      <c r="AB561" s="145"/>
      <c r="AC561" s="146"/>
      <c r="AD561" s="145"/>
      <c r="AE561" s="145"/>
      <c r="AF561" s="145"/>
      <c r="AG561" s="145"/>
      <c r="AH561" s="146"/>
      <c r="AI561" s="145"/>
      <c r="AJ561" s="145"/>
      <c r="AK561" s="145"/>
      <c r="AL561" s="145"/>
      <c r="AM561" s="145"/>
      <c r="AN561" s="145"/>
      <c r="AO561" s="145"/>
      <c r="AP561" s="74"/>
      <c r="AQ561" s="74"/>
      <c r="AR561" s="74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</row>
    <row r="562" spans="1:85" ht="15.75" customHeight="1" x14ac:dyDescent="0.45">
      <c r="A562" s="22"/>
      <c r="B562" s="12"/>
      <c r="C562" s="12"/>
      <c r="D562" s="155"/>
      <c r="E562" s="22"/>
      <c r="F562" s="22"/>
      <c r="G562" s="12"/>
      <c r="H562" s="22"/>
      <c r="I562" s="22"/>
      <c r="J562" s="22"/>
      <c r="K562" s="22"/>
      <c r="L562" s="22"/>
      <c r="M562" s="22"/>
      <c r="N562" s="22"/>
      <c r="O562" s="145"/>
      <c r="P562" s="145"/>
      <c r="Q562" s="145"/>
      <c r="R562" s="145"/>
      <c r="S562" s="22"/>
      <c r="T562" s="145"/>
      <c r="U562" s="145"/>
      <c r="V562" s="145"/>
      <c r="W562" s="145"/>
      <c r="X562" s="53"/>
      <c r="Y562" s="74"/>
      <c r="Z562" s="145"/>
      <c r="AA562" s="145"/>
      <c r="AB562" s="145"/>
      <c r="AC562" s="146"/>
      <c r="AD562" s="145"/>
      <c r="AE562" s="145"/>
      <c r="AF562" s="145"/>
      <c r="AG562" s="145"/>
      <c r="AH562" s="146"/>
      <c r="AI562" s="145"/>
      <c r="AJ562" s="145"/>
      <c r="AK562" s="145"/>
      <c r="AL562" s="145"/>
      <c r="AM562" s="145"/>
      <c r="AN562" s="145"/>
      <c r="AO562" s="145"/>
      <c r="AP562" s="74"/>
      <c r="AQ562" s="74"/>
      <c r="AR562" s="74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</row>
    <row r="563" spans="1:85" ht="15.75" customHeight="1" x14ac:dyDescent="0.45">
      <c r="A563" s="22"/>
      <c r="B563" s="12"/>
      <c r="C563" s="12"/>
      <c r="D563" s="155"/>
      <c r="E563" s="22"/>
      <c r="F563" s="22"/>
      <c r="G563" s="12"/>
      <c r="H563" s="22"/>
      <c r="I563" s="22"/>
      <c r="J563" s="22"/>
      <c r="K563" s="22"/>
      <c r="L563" s="22"/>
      <c r="M563" s="22"/>
      <c r="N563" s="22"/>
      <c r="O563" s="145"/>
      <c r="P563" s="145"/>
      <c r="Q563" s="145"/>
      <c r="R563" s="145"/>
      <c r="S563" s="22"/>
      <c r="T563" s="145"/>
      <c r="U563" s="145"/>
      <c r="V563" s="145"/>
      <c r="W563" s="145"/>
      <c r="X563" s="53"/>
      <c r="Y563" s="74"/>
      <c r="Z563" s="145"/>
      <c r="AA563" s="145"/>
      <c r="AB563" s="145"/>
      <c r="AC563" s="146"/>
      <c r="AD563" s="145"/>
      <c r="AE563" s="145"/>
      <c r="AF563" s="145"/>
      <c r="AG563" s="145"/>
      <c r="AH563" s="146"/>
      <c r="AI563" s="145"/>
      <c r="AJ563" s="145"/>
      <c r="AK563" s="145"/>
      <c r="AL563" s="145"/>
      <c r="AM563" s="145"/>
      <c r="AN563" s="145"/>
      <c r="AO563" s="145"/>
      <c r="AP563" s="74"/>
      <c r="AQ563" s="74"/>
      <c r="AR563" s="74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</row>
    <row r="564" spans="1:85" ht="15.75" customHeight="1" x14ac:dyDescent="0.45">
      <c r="A564" s="22"/>
      <c r="B564" s="12"/>
      <c r="C564" s="12"/>
      <c r="D564" s="155"/>
      <c r="E564" s="22"/>
      <c r="F564" s="22"/>
      <c r="G564" s="12"/>
      <c r="H564" s="22"/>
      <c r="I564" s="22"/>
      <c r="J564" s="22"/>
      <c r="K564" s="22"/>
      <c r="L564" s="22"/>
      <c r="M564" s="22"/>
      <c r="N564" s="22"/>
      <c r="O564" s="145"/>
      <c r="P564" s="145"/>
      <c r="Q564" s="145"/>
      <c r="R564" s="145"/>
      <c r="S564" s="22"/>
      <c r="T564" s="145"/>
      <c r="U564" s="145"/>
      <c r="V564" s="145"/>
      <c r="W564" s="145"/>
      <c r="X564" s="53"/>
      <c r="Y564" s="74"/>
      <c r="Z564" s="145"/>
      <c r="AA564" s="145"/>
      <c r="AB564" s="145"/>
      <c r="AC564" s="146"/>
      <c r="AD564" s="145"/>
      <c r="AE564" s="145"/>
      <c r="AF564" s="145"/>
      <c r="AG564" s="145"/>
      <c r="AH564" s="146"/>
      <c r="AI564" s="145"/>
      <c r="AJ564" s="145"/>
      <c r="AK564" s="145"/>
      <c r="AL564" s="145"/>
      <c r="AM564" s="145"/>
      <c r="AN564" s="145"/>
      <c r="AO564" s="145"/>
      <c r="AP564" s="74"/>
      <c r="AQ564" s="74"/>
      <c r="AR564" s="74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</row>
    <row r="565" spans="1:85" ht="15.75" customHeight="1" x14ac:dyDescent="0.45">
      <c r="A565" s="22"/>
      <c r="B565" s="12"/>
      <c r="C565" s="12"/>
      <c r="D565" s="155"/>
      <c r="E565" s="22"/>
      <c r="F565" s="22"/>
      <c r="G565" s="12"/>
      <c r="H565" s="22"/>
      <c r="I565" s="22"/>
      <c r="J565" s="22"/>
      <c r="K565" s="22"/>
      <c r="L565" s="22"/>
      <c r="M565" s="22"/>
      <c r="N565" s="22"/>
      <c r="O565" s="145"/>
      <c r="P565" s="145"/>
      <c r="Q565" s="145"/>
      <c r="R565" s="145"/>
      <c r="S565" s="22"/>
      <c r="T565" s="145"/>
      <c r="U565" s="145"/>
      <c r="V565" s="145"/>
      <c r="W565" s="145"/>
      <c r="X565" s="53"/>
      <c r="Y565" s="74"/>
      <c r="Z565" s="145"/>
      <c r="AA565" s="145"/>
      <c r="AB565" s="145"/>
      <c r="AC565" s="146"/>
      <c r="AD565" s="145"/>
      <c r="AE565" s="145"/>
      <c r="AF565" s="145"/>
      <c r="AG565" s="145"/>
      <c r="AH565" s="146"/>
      <c r="AI565" s="145"/>
      <c r="AJ565" s="145"/>
      <c r="AK565" s="145"/>
      <c r="AL565" s="145"/>
      <c r="AM565" s="145"/>
      <c r="AN565" s="145"/>
      <c r="AO565" s="145"/>
      <c r="AP565" s="74"/>
      <c r="AQ565" s="74"/>
      <c r="AR565" s="74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</row>
    <row r="566" spans="1:85" ht="15.75" customHeight="1" x14ac:dyDescent="0.45">
      <c r="A566" s="22"/>
      <c r="B566" s="12"/>
      <c r="C566" s="12"/>
      <c r="D566" s="155"/>
      <c r="E566" s="22"/>
      <c r="F566" s="22"/>
      <c r="G566" s="12"/>
      <c r="H566" s="22"/>
      <c r="I566" s="22"/>
      <c r="J566" s="22"/>
      <c r="K566" s="22"/>
      <c r="L566" s="22"/>
      <c r="M566" s="22"/>
      <c r="N566" s="22"/>
      <c r="O566" s="145"/>
      <c r="P566" s="145"/>
      <c r="Q566" s="145"/>
      <c r="R566" s="145"/>
      <c r="S566" s="22"/>
      <c r="T566" s="145"/>
      <c r="U566" s="145"/>
      <c r="V566" s="145"/>
      <c r="W566" s="145"/>
      <c r="X566" s="53"/>
      <c r="Y566" s="74"/>
      <c r="Z566" s="145"/>
      <c r="AA566" s="145"/>
      <c r="AB566" s="145"/>
      <c r="AC566" s="146"/>
      <c r="AD566" s="145"/>
      <c r="AE566" s="145"/>
      <c r="AF566" s="145"/>
      <c r="AG566" s="145"/>
      <c r="AH566" s="146"/>
      <c r="AI566" s="145"/>
      <c r="AJ566" s="145"/>
      <c r="AK566" s="145"/>
      <c r="AL566" s="145"/>
      <c r="AM566" s="145"/>
      <c r="AN566" s="145"/>
      <c r="AO566" s="145"/>
      <c r="AP566" s="74"/>
      <c r="AQ566" s="74"/>
      <c r="AR566" s="74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</row>
    <row r="567" spans="1:85" ht="15.75" customHeight="1" x14ac:dyDescent="0.45">
      <c r="A567" s="22"/>
      <c r="B567" s="12"/>
      <c r="C567" s="12"/>
      <c r="D567" s="155"/>
      <c r="E567" s="22"/>
      <c r="F567" s="22"/>
      <c r="G567" s="12"/>
      <c r="H567" s="22"/>
      <c r="I567" s="22"/>
      <c r="J567" s="22"/>
      <c r="K567" s="22"/>
      <c r="L567" s="22"/>
      <c r="M567" s="22"/>
      <c r="N567" s="22"/>
      <c r="O567" s="145"/>
      <c r="P567" s="145"/>
      <c r="Q567" s="145"/>
      <c r="R567" s="145"/>
      <c r="S567" s="22"/>
      <c r="T567" s="145"/>
      <c r="U567" s="145"/>
      <c r="V567" s="145"/>
      <c r="W567" s="145"/>
      <c r="X567" s="53"/>
      <c r="Y567" s="74"/>
      <c r="Z567" s="145"/>
      <c r="AA567" s="145"/>
      <c r="AB567" s="145"/>
      <c r="AC567" s="146"/>
      <c r="AD567" s="145"/>
      <c r="AE567" s="145"/>
      <c r="AF567" s="145"/>
      <c r="AG567" s="145"/>
      <c r="AH567" s="146"/>
      <c r="AI567" s="145"/>
      <c r="AJ567" s="145"/>
      <c r="AK567" s="145"/>
      <c r="AL567" s="145"/>
      <c r="AM567" s="145"/>
      <c r="AN567" s="145"/>
      <c r="AO567" s="145"/>
      <c r="AP567" s="74"/>
      <c r="AQ567" s="74"/>
      <c r="AR567" s="74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</row>
    <row r="568" spans="1:85" ht="15.75" customHeight="1" x14ac:dyDescent="0.45">
      <c r="A568" s="22"/>
      <c r="B568" s="12"/>
      <c r="C568" s="12"/>
      <c r="D568" s="155"/>
      <c r="E568" s="22"/>
      <c r="F568" s="22"/>
      <c r="G568" s="12"/>
      <c r="H568" s="22"/>
      <c r="I568" s="22"/>
      <c r="J568" s="22"/>
      <c r="K568" s="22"/>
      <c r="L568" s="22"/>
      <c r="M568" s="22"/>
      <c r="N568" s="22"/>
      <c r="O568" s="145"/>
      <c r="P568" s="145"/>
      <c r="Q568" s="145"/>
      <c r="R568" s="145"/>
      <c r="S568" s="22"/>
      <c r="T568" s="145"/>
      <c r="U568" s="145"/>
      <c r="V568" s="145"/>
      <c r="W568" s="145"/>
      <c r="X568" s="53"/>
      <c r="Y568" s="74"/>
      <c r="Z568" s="145"/>
      <c r="AA568" s="145"/>
      <c r="AB568" s="145"/>
      <c r="AC568" s="146"/>
      <c r="AD568" s="145"/>
      <c r="AE568" s="145"/>
      <c r="AF568" s="145"/>
      <c r="AG568" s="145"/>
      <c r="AH568" s="146"/>
      <c r="AI568" s="145"/>
      <c r="AJ568" s="145"/>
      <c r="AK568" s="145"/>
      <c r="AL568" s="145"/>
      <c r="AM568" s="145"/>
      <c r="AN568" s="145"/>
      <c r="AO568" s="145"/>
      <c r="AP568" s="74"/>
      <c r="AQ568" s="74"/>
      <c r="AR568" s="74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</row>
    <row r="569" spans="1:85" ht="15.75" customHeight="1" x14ac:dyDescent="0.45">
      <c r="A569" s="22"/>
      <c r="B569" s="12"/>
      <c r="C569" s="12"/>
      <c r="D569" s="155"/>
      <c r="E569" s="22"/>
      <c r="F569" s="22"/>
      <c r="G569" s="12"/>
      <c r="H569" s="22"/>
      <c r="I569" s="22"/>
      <c r="J569" s="22"/>
      <c r="K569" s="22"/>
      <c r="L569" s="22"/>
      <c r="M569" s="22"/>
      <c r="N569" s="22"/>
      <c r="O569" s="145"/>
      <c r="P569" s="145"/>
      <c r="Q569" s="145"/>
      <c r="R569" s="145"/>
      <c r="S569" s="22"/>
      <c r="T569" s="145"/>
      <c r="U569" s="145"/>
      <c r="V569" s="145"/>
      <c r="W569" s="145"/>
      <c r="X569" s="53"/>
      <c r="Y569" s="74"/>
      <c r="Z569" s="145"/>
      <c r="AA569" s="145"/>
      <c r="AB569" s="145"/>
      <c r="AC569" s="146"/>
      <c r="AD569" s="145"/>
      <c r="AE569" s="145"/>
      <c r="AF569" s="145"/>
      <c r="AG569" s="145"/>
      <c r="AH569" s="146"/>
      <c r="AI569" s="145"/>
      <c r="AJ569" s="145"/>
      <c r="AK569" s="145"/>
      <c r="AL569" s="145"/>
      <c r="AM569" s="145"/>
      <c r="AN569" s="145"/>
      <c r="AO569" s="145"/>
      <c r="AP569" s="74"/>
      <c r="AQ569" s="74"/>
      <c r="AR569" s="74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</row>
    <row r="570" spans="1:85" ht="15.75" customHeight="1" x14ac:dyDescent="0.45">
      <c r="A570" s="22"/>
      <c r="B570" s="12"/>
      <c r="C570" s="12"/>
      <c r="D570" s="155"/>
      <c r="E570" s="22"/>
      <c r="F570" s="22"/>
      <c r="G570" s="12"/>
      <c r="H570" s="22"/>
      <c r="I570" s="22"/>
      <c r="J570" s="22"/>
      <c r="K570" s="22"/>
      <c r="L570" s="22"/>
      <c r="M570" s="22"/>
      <c r="N570" s="22"/>
      <c r="O570" s="145"/>
      <c r="P570" s="145"/>
      <c r="Q570" s="145"/>
      <c r="R570" s="145"/>
      <c r="S570" s="22"/>
      <c r="T570" s="145"/>
      <c r="U570" s="145"/>
      <c r="V570" s="145"/>
      <c r="W570" s="145"/>
      <c r="X570" s="53"/>
      <c r="Y570" s="74"/>
      <c r="Z570" s="145"/>
      <c r="AA570" s="145"/>
      <c r="AB570" s="145"/>
      <c r="AC570" s="146"/>
      <c r="AD570" s="145"/>
      <c r="AE570" s="145"/>
      <c r="AF570" s="145"/>
      <c r="AG570" s="145"/>
      <c r="AH570" s="146"/>
      <c r="AI570" s="145"/>
      <c r="AJ570" s="145"/>
      <c r="AK570" s="145"/>
      <c r="AL570" s="145"/>
      <c r="AM570" s="145"/>
      <c r="AN570" s="145"/>
      <c r="AO570" s="145"/>
      <c r="AP570" s="74"/>
      <c r="AQ570" s="74"/>
      <c r="AR570" s="74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</row>
    <row r="571" spans="1:85" ht="15.75" customHeight="1" x14ac:dyDescent="0.45">
      <c r="A571" s="22"/>
      <c r="B571" s="12"/>
      <c r="C571" s="12"/>
      <c r="D571" s="155"/>
      <c r="E571" s="22"/>
      <c r="F571" s="22"/>
      <c r="G571" s="12"/>
      <c r="H571" s="22"/>
      <c r="I571" s="22"/>
      <c r="J571" s="22"/>
      <c r="K571" s="22"/>
      <c r="L571" s="22"/>
      <c r="M571" s="22"/>
      <c r="N571" s="22"/>
      <c r="O571" s="145"/>
      <c r="P571" s="145"/>
      <c r="Q571" s="145"/>
      <c r="R571" s="145"/>
      <c r="S571" s="22"/>
      <c r="T571" s="145"/>
      <c r="U571" s="145"/>
      <c r="V571" s="145"/>
      <c r="W571" s="145"/>
      <c r="X571" s="53"/>
      <c r="Y571" s="74"/>
      <c r="Z571" s="145"/>
      <c r="AA571" s="145"/>
      <c r="AB571" s="145"/>
      <c r="AC571" s="146"/>
      <c r="AD571" s="145"/>
      <c r="AE571" s="145"/>
      <c r="AF571" s="145"/>
      <c r="AG571" s="145"/>
      <c r="AH571" s="146"/>
      <c r="AI571" s="145"/>
      <c r="AJ571" s="145"/>
      <c r="AK571" s="145"/>
      <c r="AL571" s="145"/>
      <c r="AM571" s="145"/>
      <c r="AN571" s="145"/>
      <c r="AO571" s="145"/>
      <c r="AP571" s="74"/>
      <c r="AQ571" s="74"/>
      <c r="AR571" s="74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</row>
    <row r="572" spans="1:85" ht="15.75" customHeight="1" x14ac:dyDescent="0.45">
      <c r="A572" s="22"/>
      <c r="B572" s="12"/>
      <c r="C572" s="12"/>
      <c r="D572" s="155"/>
      <c r="E572" s="22"/>
      <c r="F572" s="22"/>
      <c r="G572" s="12"/>
      <c r="H572" s="22"/>
      <c r="I572" s="22"/>
      <c r="J572" s="22"/>
      <c r="K572" s="22"/>
      <c r="L572" s="22"/>
      <c r="M572" s="22"/>
      <c r="N572" s="22"/>
      <c r="O572" s="145"/>
      <c r="P572" s="145"/>
      <c r="Q572" s="145"/>
      <c r="R572" s="145"/>
      <c r="S572" s="22"/>
      <c r="T572" s="145"/>
      <c r="U572" s="145"/>
      <c r="V572" s="145"/>
      <c r="W572" s="145"/>
      <c r="X572" s="53"/>
      <c r="Y572" s="74"/>
      <c r="Z572" s="145"/>
      <c r="AA572" s="145"/>
      <c r="AB572" s="145"/>
      <c r="AC572" s="146"/>
      <c r="AD572" s="145"/>
      <c r="AE572" s="145"/>
      <c r="AF572" s="145"/>
      <c r="AG572" s="145"/>
      <c r="AH572" s="146"/>
      <c r="AI572" s="145"/>
      <c r="AJ572" s="145"/>
      <c r="AK572" s="145"/>
      <c r="AL572" s="145"/>
      <c r="AM572" s="145"/>
      <c r="AN572" s="145"/>
      <c r="AO572" s="145"/>
      <c r="AP572" s="74"/>
      <c r="AQ572" s="74"/>
      <c r="AR572" s="74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</row>
    <row r="573" spans="1:85" ht="15.75" customHeight="1" x14ac:dyDescent="0.45">
      <c r="A573" s="22"/>
      <c r="B573" s="12"/>
      <c r="C573" s="12"/>
      <c r="D573" s="155"/>
      <c r="E573" s="22"/>
      <c r="F573" s="22"/>
      <c r="G573" s="12"/>
      <c r="H573" s="22"/>
      <c r="I573" s="22"/>
      <c r="J573" s="22"/>
      <c r="K573" s="22"/>
      <c r="L573" s="22"/>
      <c r="M573" s="22"/>
      <c r="N573" s="22"/>
      <c r="O573" s="145"/>
      <c r="P573" s="145"/>
      <c r="Q573" s="145"/>
      <c r="R573" s="145"/>
      <c r="S573" s="22"/>
      <c r="T573" s="145"/>
      <c r="U573" s="145"/>
      <c r="V573" s="145"/>
      <c r="W573" s="145"/>
      <c r="X573" s="53"/>
      <c r="Y573" s="74"/>
      <c r="Z573" s="145"/>
      <c r="AA573" s="145"/>
      <c r="AB573" s="145"/>
      <c r="AC573" s="146"/>
      <c r="AD573" s="145"/>
      <c r="AE573" s="145"/>
      <c r="AF573" s="145"/>
      <c r="AG573" s="145"/>
      <c r="AH573" s="146"/>
      <c r="AI573" s="145"/>
      <c r="AJ573" s="145"/>
      <c r="AK573" s="145"/>
      <c r="AL573" s="145"/>
      <c r="AM573" s="145"/>
      <c r="AN573" s="145"/>
      <c r="AO573" s="145"/>
      <c r="AP573" s="74"/>
      <c r="AQ573" s="74"/>
      <c r="AR573" s="74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</row>
    <row r="574" spans="1:85" ht="15.75" customHeight="1" x14ac:dyDescent="0.45">
      <c r="A574" s="22"/>
      <c r="B574" s="12"/>
      <c r="C574" s="12"/>
      <c r="D574" s="155"/>
      <c r="E574" s="22"/>
      <c r="F574" s="22"/>
      <c r="G574" s="12"/>
      <c r="H574" s="22"/>
      <c r="I574" s="22"/>
      <c r="J574" s="22"/>
      <c r="K574" s="22"/>
      <c r="L574" s="22"/>
      <c r="M574" s="22"/>
      <c r="N574" s="22"/>
      <c r="O574" s="145"/>
      <c r="P574" s="145"/>
      <c r="Q574" s="145"/>
      <c r="R574" s="145"/>
      <c r="S574" s="22"/>
      <c r="T574" s="145"/>
      <c r="U574" s="145"/>
      <c r="V574" s="145"/>
      <c r="W574" s="145"/>
      <c r="X574" s="53"/>
      <c r="Y574" s="74"/>
      <c r="Z574" s="145"/>
      <c r="AA574" s="145"/>
      <c r="AB574" s="145"/>
      <c r="AC574" s="146"/>
      <c r="AD574" s="145"/>
      <c r="AE574" s="145"/>
      <c r="AF574" s="145"/>
      <c r="AG574" s="145"/>
      <c r="AH574" s="146"/>
      <c r="AI574" s="145"/>
      <c r="AJ574" s="145"/>
      <c r="AK574" s="145"/>
      <c r="AL574" s="145"/>
      <c r="AM574" s="145"/>
      <c r="AN574" s="145"/>
      <c r="AO574" s="145"/>
      <c r="AP574" s="74"/>
      <c r="AQ574" s="74"/>
      <c r="AR574" s="74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</row>
    <row r="575" spans="1:85" ht="15.75" customHeight="1" x14ac:dyDescent="0.45">
      <c r="A575" s="22"/>
      <c r="B575" s="12"/>
      <c r="C575" s="12"/>
      <c r="D575" s="155"/>
      <c r="E575" s="22"/>
      <c r="F575" s="22"/>
      <c r="G575" s="12"/>
      <c r="H575" s="22"/>
      <c r="I575" s="22"/>
      <c r="J575" s="22"/>
      <c r="K575" s="22"/>
      <c r="L575" s="22"/>
      <c r="M575" s="22"/>
      <c r="N575" s="22"/>
      <c r="O575" s="145"/>
      <c r="P575" s="145"/>
      <c r="Q575" s="145"/>
      <c r="R575" s="145"/>
      <c r="S575" s="22"/>
      <c r="T575" s="145"/>
      <c r="U575" s="145"/>
      <c r="V575" s="145"/>
      <c r="W575" s="145"/>
      <c r="X575" s="53"/>
      <c r="Y575" s="74"/>
      <c r="Z575" s="145"/>
      <c r="AA575" s="145"/>
      <c r="AB575" s="145"/>
      <c r="AC575" s="146"/>
      <c r="AD575" s="145"/>
      <c r="AE575" s="145"/>
      <c r="AF575" s="145"/>
      <c r="AG575" s="145"/>
      <c r="AH575" s="146"/>
      <c r="AI575" s="145"/>
      <c r="AJ575" s="145"/>
      <c r="AK575" s="145"/>
      <c r="AL575" s="145"/>
      <c r="AM575" s="145"/>
      <c r="AN575" s="145"/>
      <c r="AO575" s="145"/>
      <c r="AP575" s="74"/>
      <c r="AQ575" s="74"/>
      <c r="AR575" s="74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</row>
    <row r="576" spans="1:85" ht="15.75" customHeight="1" x14ac:dyDescent="0.45">
      <c r="A576" s="22"/>
      <c r="B576" s="12"/>
      <c r="C576" s="12"/>
      <c r="D576" s="155"/>
      <c r="E576" s="22"/>
      <c r="F576" s="22"/>
      <c r="G576" s="12"/>
      <c r="H576" s="22"/>
      <c r="I576" s="22"/>
      <c r="J576" s="22"/>
      <c r="K576" s="22"/>
      <c r="L576" s="22"/>
      <c r="M576" s="22"/>
      <c r="N576" s="22"/>
      <c r="O576" s="145"/>
      <c r="P576" s="145"/>
      <c r="Q576" s="145"/>
      <c r="R576" s="145"/>
      <c r="S576" s="22"/>
      <c r="T576" s="145"/>
      <c r="U576" s="145"/>
      <c r="V576" s="145"/>
      <c r="W576" s="145"/>
      <c r="X576" s="53"/>
      <c r="Y576" s="74"/>
      <c r="Z576" s="145"/>
      <c r="AA576" s="145"/>
      <c r="AB576" s="145"/>
      <c r="AC576" s="146"/>
      <c r="AD576" s="145"/>
      <c r="AE576" s="145"/>
      <c r="AF576" s="145"/>
      <c r="AG576" s="145"/>
      <c r="AH576" s="146"/>
      <c r="AI576" s="145"/>
      <c r="AJ576" s="145"/>
      <c r="AK576" s="145"/>
      <c r="AL576" s="145"/>
      <c r="AM576" s="145"/>
      <c r="AN576" s="145"/>
      <c r="AO576" s="145"/>
      <c r="AP576" s="74"/>
      <c r="AQ576" s="74"/>
      <c r="AR576" s="74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</row>
    <row r="577" spans="1:85" ht="15.75" customHeight="1" x14ac:dyDescent="0.45">
      <c r="A577" s="22"/>
      <c r="B577" s="12"/>
      <c r="C577" s="12"/>
      <c r="D577" s="155"/>
      <c r="E577" s="22"/>
      <c r="F577" s="22"/>
      <c r="G577" s="12"/>
      <c r="H577" s="22"/>
      <c r="I577" s="22"/>
      <c r="J577" s="22"/>
      <c r="K577" s="22"/>
      <c r="L577" s="22"/>
      <c r="M577" s="22"/>
      <c r="N577" s="22"/>
      <c r="O577" s="145"/>
      <c r="P577" s="145"/>
      <c r="Q577" s="145"/>
      <c r="R577" s="145"/>
      <c r="S577" s="22"/>
      <c r="T577" s="145"/>
      <c r="U577" s="145"/>
      <c r="V577" s="145"/>
      <c r="W577" s="145"/>
      <c r="X577" s="53"/>
      <c r="Y577" s="74"/>
      <c r="Z577" s="145"/>
      <c r="AA577" s="145"/>
      <c r="AB577" s="145"/>
      <c r="AC577" s="146"/>
      <c r="AD577" s="145"/>
      <c r="AE577" s="145"/>
      <c r="AF577" s="145"/>
      <c r="AG577" s="145"/>
      <c r="AH577" s="146"/>
      <c r="AI577" s="145"/>
      <c r="AJ577" s="145"/>
      <c r="AK577" s="145"/>
      <c r="AL577" s="145"/>
      <c r="AM577" s="145"/>
      <c r="AN577" s="145"/>
      <c r="AO577" s="145"/>
      <c r="AP577" s="74"/>
      <c r="AQ577" s="74"/>
      <c r="AR577" s="74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</row>
    <row r="578" spans="1:85" ht="15.75" customHeight="1" x14ac:dyDescent="0.45">
      <c r="A578" s="22"/>
      <c r="B578" s="12"/>
      <c r="C578" s="12"/>
      <c r="D578" s="155"/>
      <c r="E578" s="22"/>
      <c r="F578" s="22"/>
      <c r="G578" s="12"/>
      <c r="H578" s="22"/>
      <c r="I578" s="22"/>
      <c r="J578" s="22"/>
      <c r="K578" s="22"/>
      <c r="L578" s="22"/>
      <c r="M578" s="22"/>
      <c r="N578" s="22"/>
      <c r="O578" s="145"/>
      <c r="P578" s="145"/>
      <c r="Q578" s="145"/>
      <c r="R578" s="145"/>
      <c r="S578" s="22"/>
      <c r="T578" s="145"/>
      <c r="U578" s="145"/>
      <c r="V578" s="145"/>
      <c r="W578" s="145"/>
      <c r="X578" s="53"/>
      <c r="Y578" s="74"/>
      <c r="Z578" s="145"/>
      <c r="AA578" s="145"/>
      <c r="AB578" s="145"/>
      <c r="AC578" s="146"/>
      <c r="AD578" s="145"/>
      <c r="AE578" s="145"/>
      <c r="AF578" s="145"/>
      <c r="AG578" s="145"/>
      <c r="AH578" s="146"/>
      <c r="AI578" s="145"/>
      <c r="AJ578" s="145"/>
      <c r="AK578" s="145"/>
      <c r="AL578" s="145"/>
      <c r="AM578" s="145"/>
      <c r="AN578" s="145"/>
      <c r="AO578" s="145"/>
      <c r="AP578" s="74"/>
      <c r="AQ578" s="74"/>
      <c r="AR578" s="74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</row>
    <row r="579" spans="1:85" ht="15.75" customHeight="1" x14ac:dyDescent="0.45">
      <c r="A579" s="22"/>
      <c r="B579" s="12"/>
      <c r="C579" s="12"/>
      <c r="D579" s="155"/>
      <c r="E579" s="22"/>
      <c r="F579" s="22"/>
      <c r="G579" s="12"/>
      <c r="H579" s="22"/>
      <c r="I579" s="22"/>
      <c r="J579" s="22"/>
      <c r="K579" s="22"/>
      <c r="L579" s="22"/>
      <c r="M579" s="22"/>
      <c r="N579" s="22"/>
      <c r="O579" s="145"/>
      <c r="P579" s="145"/>
      <c r="Q579" s="145"/>
      <c r="R579" s="145"/>
      <c r="S579" s="22"/>
      <c r="T579" s="145"/>
      <c r="U579" s="145"/>
      <c r="V579" s="145"/>
      <c r="W579" s="145"/>
      <c r="X579" s="53"/>
      <c r="Y579" s="74"/>
      <c r="Z579" s="145"/>
      <c r="AA579" s="145"/>
      <c r="AB579" s="145"/>
      <c r="AC579" s="146"/>
      <c r="AD579" s="145"/>
      <c r="AE579" s="145"/>
      <c r="AF579" s="145"/>
      <c r="AG579" s="145"/>
      <c r="AH579" s="146"/>
      <c r="AI579" s="145"/>
      <c r="AJ579" s="145"/>
      <c r="AK579" s="145"/>
      <c r="AL579" s="145"/>
      <c r="AM579" s="145"/>
      <c r="AN579" s="145"/>
      <c r="AO579" s="145"/>
      <c r="AP579" s="74"/>
      <c r="AQ579" s="74"/>
      <c r="AR579" s="74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</row>
    <row r="580" spans="1:85" ht="15.75" customHeight="1" x14ac:dyDescent="0.45">
      <c r="A580" s="22"/>
      <c r="B580" s="12"/>
      <c r="C580" s="12"/>
      <c r="D580" s="155"/>
      <c r="E580" s="22"/>
      <c r="F580" s="22"/>
      <c r="G580" s="12"/>
      <c r="H580" s="22"/>
      <c r="I580" s="22"/>
      <c r="J580" s="22"/>
      <c r="K580" s="22"/>
      <c r="L580" s="22"/>
      <c r="M580" s="22"/>
      <c r="N580" s="22"/>
      <c r="O580" s="145"/>
      <c r="P580" s="145"/>
      <c r="Q580" s="145"/>
      <c r="R580" s="145"/>
      <c r="S580" s="22"/>
      <c r="T580" s="145"/>
      <c r="U580" s="145"/>
      <c r="V580" s="145"/>
      <c r="W580" s="145"/>
      <c r="X580" s="53"/>
      <c r="Y580" s="74"/>
      <c r="Z580" s="145"/>
      <c r="AA580" s="145"/>
      <c r="AB580" s="145"/>
      <c r="AC580" s="146"/>
      <c r="AD580" s="145"/>
      <c r="AE580" s="145"/>
      <c r="AF580" s="145"/>
      <c r="AG580" s="145"/>
      <c r="AH580" s="146"/>
      <c r="AI580" s="145"/>
      <c r="AJ580" s="145"/>
      <c r="AK580" s="145"/>
      <c r="AL580" s="145"/>
      <c r="AM580" s="145"/>
      <c r="AN580" s="145"/>
      <c r="AO580" s="145"/>
      <c r="AP580" s="74"/>
      <c r="AQ580" s="74"/>
      <c r="AR580" s="74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</row>
    <row r="581" spans="1:85" ht="15.75" customHeight="1" x14ac:dyDescent="0.45">
      <c r="A581" s="22"/>
      <c r="B581" s="12"/>
      <c r="C581" s="12"/>
      <c r="D581" s="155"/>
      <c r="E581" s="22"/>
      <c r="F581" s="22"/>
      <c r="G581" s="12"/>
      <c r="H581" s="22"/>
      <c r="I581" s="22"/>
      <c r="J581" s="22"/>
      <c r="K581" s="22"/>
      <c r="L581" s="22"/>
      <c r="M581" s="22"/>
      <c r="N581" s="22"/>
      <c r="O581" s="145"/>
      <c r="P581" s="145"/>
      <c r="Q581" s="145"/>
      <c r="R581" s="145"/>
      <c r="S581" s="22"/>
      <c r="T581" s="145"/>
      <c r="U581" s="145"/>
      <c r="V581" s="145"/>
      <c r="W581" s="145"/>
      <c r="X581" s="53"/>
      <c r="Y581" s="74"/>
      <c r="Z581" s="145"/>
      <c r="AA581" s="145"/>
      <c r="AB581" s="145"/>
      <c r="AC581" s="146"/>
      <c r="AD581" s="145"/>
      <c r="AE581" s="145"/>
      <c r="AF581" s="145"/>
      <c r="AG581" s="145"/>
      <c r="AH581" s="146"/>
      <c r="AI581" s="145"/>
      <c r="AJ581" s="145"/>
      <c r="AK581" s="145"/>
      <c r="AL581" s="145"/>
      <c r="AM581" s="145"/>
      <c r="AN581" s="145"/>
      <c r="AO581" s="145"/>
      <c r="AP581" s="74"/>
      <c r="AQ581" s="74"/>
      <c r="AR581" s="74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</row>
    <row r="582" spans="1:85" ht="15.75" customHeight="1" x14ac:dyDescent="0.45">
      <c r="A582" s="22"/>
      <c r="B582" s="12"/>
      <c r="C582" s="12"/>
      <c r="D582" s="155"/>
      <c r="E582" s="22"/>
      <c r="F582" s="22"/>
      <c r="G582" s="12"/>
      <c r="H582" s="22"/>
      <c r="I582" s="22"/>
      <c r="J582" s="22"/>
      <c r="K582" s="22"/>
      <c r="L582" s="22"/>
      <c r="M582" s="22"/>
      <c r="N582" s="22"/>
      <c r="O582" s="145"/>
      <c r="P582" s="145"/>
      <c r="Q582" s="145"/>
      <c r="R582" s="145"/>
      <c r="S582" s="22"/>
      <c r="T582" s="145"/>
      <c r="U582" s="145"/>
      <c r="V582" s="145"/>
      <c r="W582" s="145"/>
      <c r="X582" s="53"/>
      <c r="Y582" s="74"/>
      <c r="Z582" s="145"/>
      <c r="AA582" s="145"/>
      <c r="AB582" s="145"/>
      <c r="AC582" s="146"/>
      <c r="AD582" s="145"/>
      <c r="AE582" s="145"/>
      <c r="AF582" s="145"/>
      <c r="AG582" s="145"/>
      <c r="AH582" s="146"/>
      <c r="AI582" s="145"/>
      <c r="AJ582" s="145"/>
      <c r="AK582" s="145"/>
      <c r="AL582" s="145"/>
      <c r="AM582" s="145"/>
      <c r="AN582" s="145"/>
      <c r="AO582" s="145"/>
      <c r="AP582" s="74"/>
      <c r="AQ582" s="74"/>
      <c r="AR582" s="74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</row>
    <row r="583" spans="1:85" ht="15.75" customHeight="1" x14ac:dyDescent="0.45">
      <c r="A583" s="22"/>
      <c r="B583" s="12"/>
      <c r="C583" s="12"/>
      <c r="D583" s="155"/>
      <c r="E583" s="22"/>
      <c r="F583" s="22"/>
      <c r="G583" s="12"/>
      <c r="H583" s="22"/>
      <c r="I583" s="22"/>
      <c r="J583" s="22"/>
      <c r="K583" s="22"/>
      <c r="L583" s="22"/>
      <c r="M583" s="22"/>
      <c r="N583" s="22"/>
      <c r="O583" s="145"/>
      <c r="P583" s="145"/>
      <c r="Q583" s="145"/>
      <c r="R583" s="145"/>
      <c r="S583" s="22"/>
      <c r="T583" s="145"/>
      <c r="U583" s="145"/>
      <c r="V583" s="145"/>
      <c r="W583" s="145"/>
      <c r="X583" s="53"/>
      <c r="Y583" s="74"/>
      <c r="Z583" s="145"/>
      <c r="AA583" s="145"/>
      <c r="AB583" s="145"/>
      <c r="AC583" s="146"/>
      <c r="AD583" s="145"/>
      <c r="AE583" s="145"/>
      <c r="AF583" s="145"/>
      <c r="AG583" s="145"/>
      <c r="AH583" s="146"/>
      <c r="AI583" s="145"/>
      <c r="AJ583" s="145"/>
      <c r="AK583" s="145"/>
      <c r="AL583" s="145"/>
      <c r="AM583" s="145"/>
      <c r="AN583" s="145"/>
      <c r="AO583" s="145"/>
      <c r="AP583" s="74"/>
      <c r="AQ583" s="74"/>
      <c r="AR583" s="74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</row>
    <row r="584" spans="1:85" ht="15.75" customHeight="1" x14ac:dyDescent="0.45">
      <c r="A584" s="22"/>
      <c r="B584" s="12"/>
      <c r="C584" s="12"/>
      <c r="D584" s="155"/>
      <c r="E584" s="22"/>
      <c r="F584" s="22"/>
      <c r="G584" s="12"/>
      <c r="H584" s="22"/>
      <c r="I584" s="22"/>
      <c r="J584" s="22"/>
      <c r="K584" s="22"/>
      <c r="L584" s="22"/>
      <c r="M584" s="22"/>
      <c r="N584" s="22"/>
      <c r="O584" s="145"/>
      <c r="P584" s="145"/>
      <c r="Q584" s="145"/>
      <c r="R584" s="145"/>
      <c r="S584" s="22"/>
      <c r="T584" s="145"/>
      <c r="U584" s="145"/>
      <c r="V584" s="145"/>
      <c r="W584" s="145"/>
      <c r="X584" s="53"/>
      <c r="Y584" s="74"/>
      <c r="Z584" s="145"/>
      <c r="AA584" s="145"/>
      <c r="AB584" s="145"/>
      <c r="AC584" s="146"/>
      <c r="AD584" s="145"/>
      <c r="AE584" s="145"/>
      <c r="AF584" s="145"/>
      <c r="AG584" s="145"/>
      <c r="AH584" s="146"/>
      <c r="AI584" s="145"/>
      <c r="AJ584" s="145"/>
      <c r="AK584" s="145"/>
      <c r="AL584" s="145"/>
      <c r="AM584" s="145"/>
      <c r="AN584" s="145"/>
      <c r="AO584" s="145"/>
      <c r="AP584" s="74"/>
      <c r="AQ584" s="74"/>
      <c r="AR584" s="74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</row>
    <row r="585" spans="1:85" ht="15.75" customHeight="1" x14ac:dyDescent="0.45">
      <c r="A585" s="22"/>
      <c r="B585" s="12"/>
      <c r="C585" s="12"/>
      <c r="D585" s="155"/>
      <c r="E585" s="22"/>
      <c r="F585" s="22"/>
      <c r="G585" s="12"/>
      <c r="H585" s="22"/>
      <c r="I585" s="22"/>
      <c r="J585" s="22"/>
      <c r="K585" s="22"/>
      <c r="L585" s="22"/>
      <c r="M585" s="22"/>
      <c r="N585" s="22"/>
      <c r="O585" s="145"/>
      <c r="P585" s="145"/>
      <c r="Q585" s="145"/>
      <c r="R585" s="145"/>
      <c r="S585" s="22"/>
      <c r="T585" s="145"/>
      <c r="U585" s="145"/>
      <c r="V585" s="145"/>
      <c r="W585" s="145"/>
      <c r="X585" s="53"/>
      <c r="Y585" s="74"/>
      <c r="Z585" s="145"/>
      <c r="AA585" s="145"/>
      <c r="AB585" s="145"/>
      <c r="AC585" s="146"/>
      <c r="AD585" s="145"/>
      <c r="AE585" s="145"/>
      <c r="AF585" s="145"/>
      <c r="AG585" s="145"/>
      <c r="AH585" s="146"/>
      <c r="AI585" s="145"/>
      <c r="AJ585" s="145"/>
      <c r="AK585" s="145"/>
      <c r="AL585" s="145"/>
      <c r="AM585" s="145"/>
      <c r="AN585" s="145"/>
      <c r="AO585" s="145"/>
      <c r="AP585" s="74"/>
      <c r="AQ585" s="74"/>
      <c r="AR585" s="74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</row>
    <row r="586" spans="1:85" ht="15.75" customHeight="1" x14ac:dyDescent="0.45">
      <c r="A586" s="22"/>
      <c r="B586" s="12"/>
      <c r="C586" s="12"/>
      <c r="D586" s="155"/>
      <c r="E586" s="22"/>
      <c r="F586" s="22"/>
      <c r="G586" s="12"/>
      <c r="H586" s="22"/>
      <c r="I586" s="22"/>
      <c r="J586" s="22"/>
      <c r="K586" s="22"/>
      <c r="L586" s="22"/>
      <c r="M586" s="22"/>
      <c r="N586" s="22"/>
      <c r="O586" s="145"/>
      <c r="P586" s="145"/>
      <c r="Q586" s="145"/>
      <c r="R586" s="145"/>
      <c r="S586" s="22"/>
      <c r="T586" s="145"/>
      <c r="U586" s="145"/>
      <c r="V586" s="145"/>
      <c r="W586" s="145"/>
      <c r="X586" s="53"/>
      <c r="Y586" s="74"/>
      <c r="Z586" s="145"/>
      <c r="AA586" s="145"/>
      <c r="AB586" s="145"/>
      <c r="AC586" s="146"/>
      <c r="AD586" s="145"/>
      <c r="AE586" s="145"/>
      <c r="AF586" s="145"/>
      <c r="AG586" s="145"/>
      <c r="AH586" s="146"/>
      <c r="AI586" s="145"/>
      <c r="AJ586" s="145"/>
      <c r="AK586" s="145"/>
      <c r="AL586" s="145"/>
      <c r="AM586" s="145"/>
      <c r="AN586" s="145"/>
      <c r="AO586" s="145"/>
      <c r="AP586" s="74"/>
      <c r="AQ586" s="74"/>
      <c r="AR586" s="74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</row>
    <row r="587" spans="1:85" ht="15.75" customHeight="1" x14ac:dyDescent="0.45">
      <c r="A587" s="22"/>
      <c r="B587" s="12"/>
      <c r="C587" s="12"/>
      <c r="D587" s="155"/>
      <c r="E587" s="22"/>
      <c r="F587" s="22"/>
      <c r="G587" s="12"/>
      <c r="H587" s="22"/>
      <c r="I587" s="22"/>
      <c r="J587" s="22"/>
      <c r="K587" s="22"/>
      <c r="L587" s="22"/>
      <c r="M587" s="22"/>
      <c r="N587" s="22"/>
      <c r="O587" s="145"/>
      <c r="P587" s="145"/>
      <c r="Q587" s="145"/>
      <c r="R587" s="145"/>
      <c r="S587" s="22"/>
      <c r="T587" s="145"/>
      <c r="U587" s="145"/>
      <c r="V587" s="145"/>
      <c r="W587" s="145"/>
      <c r="X587" s="53"/>
      <c r="Y587" s="74"/>
      <c r="Z587" s="145"/>
      <c r="AA587" s="145"/>
      <c r="AB587" s="145"/>
      <c r="AC587" s="146"/>
      <c r="AD587" s="145"/>
      <c r="AE587" s="145"/>
      <c r="AF587" s="145"/>
      <c r="AG587" s="145"/>
      <c r="AH587" s="146"/>
      <c r="AI587" s="145"/>
      <c r="AJ587" s="145"/>
      <c r="AK587" s="145"/>
      <c r="AL587" s="145"/>
      <c r="AM587" s="145"/>
      <c r="AN587" s="145"/>
      <c r="AO587" s="145"/>
      <c r="AP587" s="74"/>
      <c r="AQ587" s="74"/>
      <c r="AR587" s="74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</row>
    <row r="588" spans="1:85" ht="15.75" customHeight="1" x14ac:dyDescent="0.45">
      <c r="A588" s="22"/>
      <c r="B588" s="12"/>
      <c r="C588" s="12"/>
      <c r="D588" s="155"/>
      <c r="E588" s="22"/>
      <c r="F588" s="22"/>
      <c r="G588" s="12"/>
      <c r="H588" s="22"/>
      <c r="I588" s="22"/>
      <c r="J588" s="22"/>
      <c r="K588" s="22"/>
      <c r="L588" s="22"/>
      <c r="M588" s="22"/>
      <c r="N588" s="22"/>
      <c r="O588" s="145"/>
      <c r="P588" s="145"/>
      <c r="Q588" s="145"/>
      <c r="R588" s="145"/>
      <c r="S588" s="22"/>
      <c r="T588" s="145"/>
      <c r="U588" s="145"/>
      <c r="V588" s="145"/>
      <c r="W588" s="145"/>
      <c r="X588" s="53"/>
      <c r="Y588" s="74"/>
      <c r="Z588" s="145"/>
      <c r="AA588" s="145"/>
      <c r="AB588" s="145"/>
      <c r="AC588" s="146"/>
      <c r="AD588" s="145"/>
      <c r="AE588" s="145"/>
      <c r="AF588" s="145"/>
      <c r="AG588" s="145"/>
      <c r="AH588" s="146"/>
      <c r="AI588" s="145"/>
      <c r="AJ588" s="145"/>
      <c r="AK588" s="145"/>
      <c r="AL588" s="145"/>
      <c r="AM588" s="145"/>
      <c r="AN588" s="145"/>
      <c r="AO588" s="145"/>
      <c r="AP588" s="74"/>
      <c r="AQ588" s="74"/>
      <c r="AR588" s="74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</row>
    <row r="589" spans="1:85" ht="15.75" customHeight="1" x14ac:dyDescent="0.45">
      <c r="A589" s="22"/>
      <c r="B589" s="12"/>
      <c r="C589" s="12"/>
      <c r="D589" s="155"/>
      <c r="E589" s="22"/>
      <c r="F589" s="22"/>
      <c r="G589" s="12"/>
      <c r="H589" s="22"/>
      <c r="I589" s="22"/>
      <c r="J589" s="22"/>
      <c r="K589" s="22"/>
      <c r="L589" s="22"/>
      <c r="M589" s="22"/>
      <c r="N589" s="22"/>
      <c r="O589" s="145"/>
      <c r="P589" s="145"/>
      <c r="Q589" s="145"/>
      <c r="R589" s="145"/>
      <c r="S589" s="22"/>
      <c r="T589" s="145"/>
      <c r="U589" s="145"/>
      <c r="V589" s="145"/>
      <c r="W589" s="145"/>
      <c r="X589" s="53"/>
      <c r="Y589" s="74"/>
      <c r="Z589" s="145"/>
      <c r="AA589" s="145"/>
      <c r="AB589" s="145"/>
      <c r="AC589" s="146"/>
      <c r="AD589" s="145"/>
      <c r="AE589" s="145"/>
      <c r="AF589" s="145"/>
      <c r="AG589" s="145"/>
      <c r="AH589" s="146"/>
      <c r="AI589" s="145"/>
      <c r="AJ589" s="145"/>
      <c r="AK589" s="145"/>
      <c r="AL589" s="145"/>
      <c r="AM589" s="145"/>
      <c r="AN589" s="145"/>
      <c r="AO589" s="145"/>
      <c r="AP589" s="74"/>
      <c r="AQ589" s="74"/>
      <c r="AR589" s="74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</row>
    <row r="590" spans="1:85" ht="15.75" customHeight="1" x14ac:dyDescent="0.45">
      <c r="A590" s="22"/>
      <c r="B590" s="12"/>
      <c r="C590" s="12"/>
      <c r="D590" s="155"/>
      <c r="E590" s="22"/>
      <c r="F590" s="22"/>
      <c r="G590" s="12"/>
      <c r="H590" s="22"/>
      <c r="I590" s="22"/>
      <c r="J590" s="22"/>
      <c r="K590" s="22"/>
      <c r="L590" s="22"/>
      <c r="M590" s="22"/>
      <c r="N590" s="22"/>
      <c r="O590" s="145"/>
      <c r="P590" s="145"/>
      <c r="Q590" s="145"/>
      <c r="R590" s="145"/>
      <c r="S590" s="22"/>
      <c r="T590" s="145"/>
      <c r="U590" s="145"/>
      <c r="V590" s="145"/>
      <c r="W590" s="145"/>
      <c r="X590" s="53"/>
      <c r="Y590" s="74"/>
      <c r="Z590" s="145"/>
      <c r="AA590" s="145"/>
      <c r="AB590" s="145"/>
      <c r="AC590" s="146"/>
      <c r="AD590" s="145"/>
      <c r="AE590" s="145"/>
      <c r="AF590" s="145"/>
      <c r="AG590" s="145"/>
      <c r="AH590" s="146"/>
      <c r="AI590" s="145"/>
      <c r="AJ590" s="145"/>
      <c r="AK590" s="145"/>
      <c r="AL590" s="145"/>
      <c r="AM590" s="145"/>
      <c r="AN590" s="145"/>
      <c r="AO590" s="145"/>
      <c r="AP590" s="74"/>
      <c r="AQ590" s="74"/>
      <c r="AR590" s="74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</row>
    <row r="591" spans="1:85" ht="15.75" customHeight="1" x14ac:dyDescent="0.45">
      <c r="A591" s="22"/>
      <c r="B591" s="12"/>
      <c r="C591" s="12"/>
      <c r="D591" s="155"/>
      <c r="E591" s="22"/>
      <c r="F591" s="22"/>
      <c r="G591" s="12"/>
      <c r="H591" s="22"/>
      <c r="I591" s="22"/>
      <c r="J591" s="22"/>
      <c r="K591" s="22"/>
      <c r="L591" s="22"/>
      <c r="M591" s="22"/>
      <c r="N591" s="22"/>
      <c r="O591" s="145"/>
      <c r="P591" s="145"/>
      <c r="Q591" s="145"/>
      <c r="R591" s="145"/>
      <c r="S591" s="22"/>
      <c r="T591" s="145"/>
      <c r="U591" s="145"/>
      <c r="V591" s="145"/>
      <c r="W591" s="145"/>
      <c r="X591" s="53"/>
      <c r="Y591" s="74"/>
      <c r="Z591" s="145"/>
      <c r="AA591" s="145"/>
      <c r="AB591" s="145"/>
      <c r="AC591" s="146"/>
      <c r="AD591" s="145"/>
      <c r="AE591" s="145"/>
      <c r="AF591" s="145"/>
      <c r="AG591" s="145"/>
      <c r="AH591" s="146"/>
      <c r="AI591" s="145"/>
      <c r="AJ591" s="145"/>
      <c r="AK591" s="145"/>
      <c r="AL591" s="145"/>
      <c r="AM591" s="145"/>
      <c r="AN591" s="145"/>
      <c r="AO591" s="145"/>
      <c r="AP591" s="74"/>
      <c r="AQ591" s="74"/>
      <c r="AR591" s="74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</row>
    <row r="592" spans="1:85" ht="15.75" customHeight="1" x14ac:dyDescent="0.45">
      <c r="A592" s="22"/>
      <c r="B592" s="12"/>
      <c r="C592" s="12"/>
      <c r="D592" s="155"/>
      <c r="E592" s="22"/>
      <c r="F592" s="22"/>
      <c r="G592" s="12"/>
      <c r="H592" s="22"/>
      <c r="I592" s="22"/>
      <c r="J592" s="22"/>
      <c r="K592" s="22"/>
      <c r="L592" s="22"/>
      <c r="M592" s="22"/>
      <c r="N592" s="22"/>
      <c r="O592" s="145"/>
      <c r="P592" s="145"/>
      <c r="Q592" s="145"/>
      <c r="R592" s="145"/>
      <c r="S592" s="22"/>
      <c r="T592" s="145"/>
      <c r="U592" s="145"/>
      <c r="V592" s="145"/>
      <c r="W592" s="145"/>
      <c r="X592" s="53"/>
      <c r="Y592" s="74"/>
      <c r="Z592" s="145"/>
      <c r="AA592" s="145"/>
      <c r="AB592" s="145"/>
      <c r="AC592" s="146"/>
      <c r="AD592" s="145"/>
      <c r="AE592" s="145"/>
      <c r="AF592" s="145"/>
      <c r="AG592" s="145"/>
      <c r="AH592" s="146"/>
      <c r="AI592" s="145"/>
      <c r="AJ592" s="145"/>
      <c r="AK592" s="145"/>
      <c r="AL592" s="145"/>
      <c r="AM592" s="145"/>
      <c r="AN592" s="145"/>
      <c r="AO592" s="145"/>
      <c r="AP592" s="74"/>
      <c r="AQ592" s="74"/>
      <c r="AR592" s="74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</row>
    <row r="593" spans="1:85" ht="15.75" customHeight="1" x14ac:dyDescent="0.45">
      <c r="A593" s="22"/>
      <c r="B593" s="12"/>
      <c r="C593" s="12"/>
      <c r="D593" s="155"/>
      <c r="E593" s="22"/>
      <c r="F593" s="22"/>
      <c r="G593" s="12"/>
      <c r="H593" s="22"/>
      <c r="I593" s="22"/>
      <c r="J593" s="22"/>
      <c r="K593" s="22"/>
      <c r="L593" s="22"/>
      <c r="M593" s="22"/>
      <c r="N593" s="22"/>
      <c r="O593" s="145"/>
      <c r="P593" s="145"/>
      <c r="Q593" s="145"/>
      <c r="R593" s="145"/>
      <c r="S593" s="22"/>
      <c r="T593" s="145"/>
      <c r="U593" s="145"/>
      <c r="V593" s="145"/>
      <c r="W593" s="145"/>
      <c r="X593" s="53"/>
      <c r="Y593" s="74"/>
      <c r="Z593" s="145"/>
      <c r="AA593" s="145"/>
      <c r="AB593" s="145"/>
      <c r="AC593" s="146"/>
      <c r="AD593" s="145"/>
      <c r="AE593" s="145"/>
      <c r="AF593" s="145"/>
      <c r="AG593" s="145"/>
      <c r="AH593" s="146"/>
      <c r="AI593" s="145"/>
      <c r="AJ593" s="145"/>
      <c r="AK593" s="145"/>
      <c r="AL593" s="145"/>
      <c r="AM593" s="145"/>
      <c r="AN593" s="145"/>
      <c r="AO593" s="145"/>
      <c r="AP593" s="74"/>
      <c r="AQ593" s="74"/>
      <c r="AR593" s="74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</row>
    <row r="594" spans="1:85" ht="15.75" customHeight="1" x14ac:dyDescent="0.45">
      <c r="A594" s="22"/>
      <c r="B594" s="12"/>
      <c r="C594" s="12"/>
      <c r="D594" s="155"/>
      <c r="E594" s="22"/>
      <c r="F594" s="22"/>
      <c r="G594" s="12"/>
      <c r="H594" s="22"/>
      <c r="I594" s="22"/>
      <c r="J594" s="22"/>
      <c r="K594" s="22"/>
      <c r="L594" s="22"/>
      <c r="M594" s="22"/>
      <c r="N594" s="22"/>
      <c r="O594" s="145"/>
      <c r="P594" s="145"/>
      <c r="Q594" s="145"/>
      <c r="R594" s="145"/>
      <c r="S594" s="22"/>
      <c r="T594" s="145"/>
      <c r="U594" s="145"/>
      <c r="V594" s="145"/>
      <c r="W594" s="145"/>
      <c r="X594" s="53"/>
      <c r="Y594" s="74"/>
      <c r="Z594" s="145"/>
      <c r="AA594" s="145"/>
      <c r="AB594" s="145"/>
      <c r="AC594" s="146"/>
      <c r="AD594" s="145"/>
      <c r="AE594" s="145"/>
      <c r="AF594" s="145"/>
      <c r="AG594" s="145"/>
      <c r="AH594" s="146"/>
      <c r="AI594" s="145"/>
      <c r="AJ594" s="145"/>
      <c r="AK594" s="145"/>
      <c r="AL594" s="145"/>
      <c r="AM594" s="145"/>
      <c r="AN594" s="145"/>
      <c r="AO594" s="145"/>
      <c r="AP594" s="74"/>
      <c r="AQ594" s="74"/>
      <c r="AR594" s="74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</row>
    <row r="595" spans="1:85" ht="15.75" customHeight="1" x14ac:dyDescent="0.45">
      <c r="A595" s="22"/>
      <c r="B595" s="12"/>
      <c r="C595" s="12"/>
      <c r="D595" s="155"/>
      <c r="E595" s="22"/>
      <c r="F595" s="22"/>
      <c r="G595" s="12"/>
      <c r="H595" s="22"/>
      <c r="I595" s="22"/>
      <c r="J595" s="22"/>
      <c r="K595" s="22"/>
      <c r="L595" s="22"/>
      <c r="M595" s="22"/>
      <c r="N595" s="22"/>
      <c r="O595" s="145"/>
      <c r="P595" s="145"/>
      <c r="Q595" s="145"/>
      <c r="R595" s="145"/>
      <c r="S595" s="22"/>
      <c r="T595" s="145"/>
      <c r="U595" s="145"/>
      <c r="V595" s="145"/>
      <c r="W595" s="145"/>
      <c r="X595" s="53"/>
      <c r="Y595" s="74"/>
      <c r="Z595" s="145"/>
      <c r="AA595" s="145"/>
      <c r="AB595" s="145"/>
      <c r="AC595" s="146"/>
      <c r="AD595" s="145"/>
      <c r="AE595" s="145"/>
      <c r="AF595" s="145"/>
      <c r="AG595" s="145"/>
      <c r="AH595" s="146"/>
      <c r="AI595" s="145"/>
      <c r="AJ595" s="145"/>
      <c r="AK595" s="145"/>
      <c r="AL595" s="145"/>
      <c r="AM595" s="145"/>
      <c r="AN595" s="145"/>
      <c r="AO595" s="145"/>
      <c r="AP595" s="74"/>
      <c r="AQ595" s="74"/>
      <c r="AR595" s="74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</row>
    <row r="596" spans="1:85" ht="15.75" customHeight="1" x14ac:dyDescent="0.45">
      <c r="A596" s="22"/>
      <c r="B596" s="12"/>
      <c r="C596" s="12"/>
      <c r="D596" s="155"/>
      <c r="E596" s="22"/>
      <c r="F596" s="22"/>
      <c r="G596" s="12"/>
      <c r="H596" s="22"/>
      <c r="I596" s="22"/>
      <c r="J596" s="22"/>
      <c r="K596" s="22"/>
      <c r="L596" s="22"/>
      <c r="M596" s="22"/>
      <c r="N596" s="22"/>
      <c r="O596" s="145"/>
      <c r="P596" s="145"/>
      <c r="Q596" s="145"/>
      <c r="R596" s="145"/>
      <c r="S596" s="22"/>
      <c r="T596" s="145"/>
      <c r="U596" s="145"/>
      <c r="V596" s="145"/>
      <c r="W596" s="145"/>
      <c r="X596" s="53"/>
      <c r="Y596" s="74"/>
      <c r="Z596" s="145"/>
      <c r="AA596" s="145"/>
      <c r="AB596" s="145"/>
      <c r="AC596" s="146"/>
      <c r="AD596" s="145"/>
      <c r="AE596" s="145"/>
      <c r="AF596" s="145"/>
      <c r="AG596" s="145"/>
      <c r="AH596" s="146"/>
      <c r="AI596" s="145"/>
      <c r="AJ596" s="145"/>
      <c r="AK596" s="145"/>
      <c r="AL596" s="145"/>
      <c r="AM596" s="145"/>
      <c r="AN596" s="145"/>
      <c r="AO596" s="145"/>
      <c r="AP596" s="74"/>
      <c r="AQ596" s="74"/>
      <c r="AR596" s="74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</row>
    <row r="597" spans="1:85" ht="15.75" customHeight="1" x14ac:dyDescent="0.45">
      <c r="A597" s="22"/>
      <c r="B597" s="12"/>
      <c r="C597" s="12"/>
      <c r="D597" s="155"/>
      <c r="E597" s="22"/>
      <c r="F597" s="22"/>
      <c r="G597" s="12"/>
      <c r="H597" s="22"/>
      <c r="I597" s="22"/>
      <c r="J597" s="22"/>
      <c r="K597" s="22"/>
      <c r="L597" s="22"/>
      <c r="M597" s="22"/>
      <c r="N597" s="22"/>
      <c r="O597" s="145"/>
      <c r="P597" s="145"/>
      <c r="Q597" s="145"/>
      <c r="R597" s="145"/>
      <c r="S597" s="22"/>
      <c r="T597" s="145"/>
      <c r="U597" s="145"/>
      <c r="V597" s="145"/>
      <c r="W597" s="145"/>
      <c r="X597" s="53"/>
      <c r="Y597" s="74"/>
      <c r="Z597" s="145"/>
      <c r="AA597" s="145"/>
      <c r="AB597" s="145"/>
      <c r="AC597" s="146"/>
      <c r="AD597" s="145"/>
      <c r="AE597" s="145"/>
      <c r="AF597" s="145"/>
      <c r="AG597" s="145"/>
      <c r="AH597" s="146"/>
      <c r="AI597" s="145"/>
      <c r="AJ597" s="145"/>
      <c r="AK597" s="145"/>
      <c r="AL597" s="145"/>
      <c r="AM597" s="145"/>
      <c r="AN597" s="145"/>
      <c r="AO597" s="145"/>
      <c r="AP597" s="74"/>
      <c r="AQ597" s="74"/>
      <c r="AR597" s="74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</row>
    <row r="598" spans="1:85" ht="15.75" customHeight="1" x14ac:dyDescent="0.45">
      <c r="A598" s="22"/>
      <c r="B598" s="12"/>
      <c r="C598" s="12"/>
      <c r="D598" s="155"/>
      <c r="E598" s="22"/>
      <c r="F598" s="22"/>
      <c r="G598" s="12"/>
      <c r="H598" s="22"/>
      <c r="I598" s="22"/>
      <c r="J598" s="22"/>
      <c r="K598" s="22"/>
      <c r="L598" s="22"/>
      <c r="M598" s="22"/>
      <c r="N598" s="22"/>
      <c r="O598" s="145"/>
      <c r="P598" s="145"/>
      <c r="Q598" s="145"/>
      <c r="R598" s="145"/>
      <c r="S598" s="22"/>
      <c r="T598" s="145"/>
      <c r="U598" s="145"/>
      <c r="V598" s="145"/>
      <c r="W598" s="145"/>
      <c r="X598" s="53"/>
      <c r="Y598" s="74"/>
      <c r="Z598" s="145"/>
      <c r="AA598" s="145"/>
      <c r="AB598" s="145"/>
      <c r="AC598" s="146"/>
      <c r="AD598" s="145"/>
      <c r="AE598" s="145"/>
      <c r="AF598" s="145"/>
      <c r="AG598" s="145"/>
      <c r="AH598" s="146"/>
      <c r="AI598" s="145"/>
      <c r="AJ598" s="145"/>
      <c r="AK598" s="145"/>
      <c r="AL598" s="145"/>
      <c r="AM598" s="145"/>
      <c r="AN598" s="145"/>
      <c r="AO598" s="145"/>
      <c r="AP598" s="74"/>
      <c r="AQ598" s="74"/>
      <c r="AR598" s="74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</row>
    <row r="599" spans="1:85" ht="15.75" customHeight="1" x14ac:dyDescent="0.45">
      <c r="A599" s="22"/>
      <c r="B599" s="12"/>
      <c r="C599" s="12"/>
      <c r="D599" s="155"/>
      <c r="E599" s="22"/>
      <c r="F599" s="22"/>
      <c r="G599" s="12"/>
      <c r="H599" s="22"/>
      <c r="I599" s="22"/>
      <c r="J599" s="22"/>
      <c r="K599" s="22"/>
      <c r="L599" s="22"/>
      <c r="M599" s="22"/>
      <c r="N599" s="22"/>
      <c r="O599" s="145"/>
      <c r="P599" s="145"/>
      <c r="Q599" s="145"/>
      <c r="R599" s="145"/>
      <c r="S599" s="22"/>
      <c r="T599" s="145"/>
      <c r="U599" s="145"/>
      <c r="V599" s="145"/>
      <c r="W599" s="145"/>
      <c r="X599" s="53"/>
      <c r="Y599" s="74"/>
      <c r="Z599" s="145"/>
      <c r="AA599" s="145"/>
      <c r="AB599" s="145"/>
      <c r="AC599" s="146"/>
      <c r="AD599" s="145"/>
      <c r="AE599" s="145"/>
      <c r="AF599" s="145"/>
      <c r="AG599" s="145"/>
      <c r="AH599" s="146"/>
      <c r="AI599" s="145"/>
      <c r="AJ599" s="145"/>
      <c r="AK599" s="145"/>
      <c r="AL599" s="145"/>
      <c r="AM599" s="145"/>
      <c r="AN599" s="145"/>
      <c r="AO599" s="145"/>
      <c r="AP599" s="74"/>
      <c r="AQ599" s="74"/>
      <c r="AR599" s="74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</row>
    <row r="600" spans="1:85" ht="15.75" customHeight="1" x14ac:dyDescent="0.45">
      <c r="A600" s="22"/>
      <c r="B600" s="12"/>
      <c r="C600" s="12"/>
      <c r="D600" s="155"/>
      <c r="E600" s="22"/>
      <c r="F600" s="22"/>
      <c r="G600" s="12"/>
      <c r="H600" s="22"/>
      <c r="I600" s="22"/>
      <c r="J600" s="22"/>
      <c r="K600" s="22"/>
      <c r="L600" s="22"/>
      <c r="M600" s="22"/>
      <c r="N600" s="22"/>
      <c r="O600" s="145"/>
      <c r="P600" s="145"/>
      <c r="Q600" s="145"/>
      <c r="R600" s="145"/>
      <c r="S600" s="22"/>
      <c r="T600" s="145"/>
      <c r="U600" s="145"/>
      <c r="V600" s="145"/>
      <c r="W600" s="145"/>
      <c r="X600" s="53"/>
      <c r="Y600" s="74"/>
      <c r="Z600" s="145"/>
      <c r="AA600" s="145"/>
      <c r="AB600" s="145"/>
      <c r="AC600" s="146"/>
      <c r="AD600" s="145"/>
      <c r="AE600" s="145"/>
      <c r="AF600" s="145"/>
      <c r="AG600" s="145"/>
      <c r="AH600" s="146"/>
      <c r="AI600" s="145"/>
      <c r="AJ600" s="145"/>
      <c r="AK600" s="145"/>
      <c r="AL600" s="145"/>
      <c r="AM600" s="145"/>
      <c r="AN600" s="145"/>
      <c r="AO600" s="145"/>
      <c r="AP600" s="74"/>
      <c r="AQ600" s="74"/>
      <c r="AR600" s="74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</row>
    <row r="601" spans="1:85" ht="15.75" customHeight="1" x14ac:dyDescent="0.45">
      <c r="A601" s="22"/>
      <c r="B601" s="12"/>
      <c r="C601" s="12"/>
      <c r="D601" s="155"/>
      <c r="E601" s="22"/>
      <c r="F601" s="22"/>
      <c r="G601" s="12"/>
      <c r="H601" s="22"/>
      <c r="I601" s="22"/>
      <c r="J601" s="22"/>
      <c r="K601" s="22"/>
      <c r="L601" s="22"/>
      <c r="M601" s="22"/>
      <c r="N601" s="22"/>
      <c r="O601" s="145"/>
      <c r="P601" s="145"/>
      <c r="Q601" s="145"/>
      <c r="R601" s="145"/>
      <c r="S601" s="22"/>
      <c r="T601" s="145"/>
      <c r="U601" s="145"/>
      <c r="V601" s="145"/>
      <c r="W601" s="145"/>
      <c r="X601" s="53"/>
      <c r="Y601" s="74"/>
      <c r="Z601" s="145"/>
      <c r="AA601" s="145"/>
      <c r="AB601" s="145"/>
      <c r="AC601" s="146"/>
      <c r="AD601" s="145"/>
      <c r="AE601" s="145"/>
      <c r="AF601" s="145"/>
      <c r="AG601" s="145"/>
      <c r="AH601" s="146"/>
      <c r="AI601" s="145"/>
      <c r="AJ601" s="145"/>
      <c r="AK601" s="145"/>
      <c r="AL601" s="145"/>
      <c r="AM601" s="145"/>
      <c r="AN601" s="145"/>
      <c r="AO601" s="145"/>
      <c r="AP601" s="74"/>
      <c r="AQ601" s="74"/>
      <c r="AR601" s="74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</row>
    <row r="602" spans="1:85" ht="15.75" customHeight="1" x14ac:dyDescent="0.45">
      <c r="A602" s="22"/>
      <c r="B602" s="12"/>
      <c r="C602" s="12"/>
      <c r="D602" s="155"/>
      <c r="E602" s="22"/>
      <c r="F602" s="22"/>
      <c r="G602" s="12"/>
      <c r="H602" s="22"/>
      <c r="I602" s="22"/>
      <c r="J602" s="22"/>
      <c r="K602" s="22"/>
      <c r="L602" s="22"/>
      <c r="M602" s="22"/>
      <c r="N602" s="22"/>
      <c r="O602" s="145"/>
      <c r="P602" s="145"/>
      <c r="Q602" s="145"/>
      <c r="R602" s="145"/>
      <c r="S602" s="22"/>
      <c r="T602" s="145"/>
      <c r="U602" s="145"/>
      <c r="V602" s="145"/>
      <c r="W602" s="145"/>
      <c r="X602" s="53"/>
      <c r="Y602" s="74"/>
      <c r="Z602" s="145"/>
      <c r="AA602" s="145"/>
      <c r="AB602" s="145"/>
      <c r="AC602" s="146"/>
      <c r="AD602" s="145"/>
      <c r="AE602" s="145"/>
      <c r="AF602" s="145"/>
      <c r="AG602" s="145"/>
      <c r="AH602" s="146"/>
      <c r="AI602" s="145"/>
      <c r="AJ602" s="145"/>
      <c r="AK602" s="145"/>
      <c r="AL602" s="145"/>
      <c r="AM602" s="145"/>
      <c r="AN602" s="145"/>
      <c r="AO602" s="145"/>
      <c r="AP602" s="74"/>
      <c r="AQ602" s="74"/>
      <c r="AR602" s="74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</row>
    <row r="603" spans="1:85" ht="15.75" customHeight="1" x14ac:dyDescent="0.45">
      <c r="A603" s="22"/>
      <c r="B603" s="12"/>
      <c r="C603" s="12"/>
      <c r="D603" s="155"/>
      <c r="E603" s="22"/>
      <c r="F603" s="22"/>
      <c r="G603" s="12"/>
      <c r="H603" s="22"/>
      <c r="I603" s="22"/>
      <c r="J603" s="22"/>
      <c r="K603" s="22"/>
      <c r="L603" s="22"/>
      <c r="M603" s="22"/>
      <c r="N603" s="22"/>
      <c r="O603" s="145"/>
      <c r="P603" s="145"/>
      <c r="Q603" s="145"/>
      <c r="R603" s="145"/>
      <c r="S603" s="22"/>
      <c r="T603" s="145"/>
      <c r="U603" s="145"/>
      <c r="V603" s="145"/>
      <c r="W603" s="145"/>
      <c r="X603" s="53"/>
      <c r="Y603" s="74"/>
      <c r="Z603" s="145"/>
      <c r="AA603" s="145"/>
      <c r="AB603" s="145"/>
      <c r="AC603" s="146"/>
      <c r="AD603" s="145"/>
      <c r="AE603" s="145"/>
      <c r="AF603" s="145"/>
      <c r="AG603" s="145"/>
      <c r="AH603" s="146"/>
      <c r="AI603" s="145"/>
      <c r="AJ603" s="145"/>
      <c r="AK603" s="145"/>
      <c r="AL603" s="145"/>
      <c r="AM603" s="145"/>
      <c r="AN603" s="145"/>
      <c r="AO603" s="145"/>
      <c r="AP603" s="74"/>
      <c r="AQ603" s="74"/>
      <c r="AR603" s="74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</row>
    <row r="604" spans="1:85" ht="15.75" customHeight="1" x14ac:dyDescent="0.45">
      <c r="A604" s="22"/>
      <c r="B604" s="12"/>
      <c r="C604" s="12"/>
      <c r="D604" s="155"/>
      <c r="E604" s="22"/>
      <c r="F604" s="22"/>
      <c r="G604" s="12"/>
      <c r="H604" s="22"/>
      <c r="I604" s="22"/>
      <c r="J604" s="22"/>
      <c r="K604" s="22"/>
      <c r="L604" s="22"/>
      <c r="M604" s="22"/>
      <c r="N604" s="22"/>
      <c r="O604" s="145"/>
      <c r="P604" s="145"/>
      <c r="Q604" s="145"/>
      <c r="R604" s="145"/>
      <c r="S604" s="22"/>
      <c r="T604" s="145"/>
      <c r="U604" s="145"/>
      <c r="V604" s="145"/>
      <c r="W604" s="145"/>
      <c r="X604" s="53"/>
      <c r="Y604" s="74"/>
      <c r="Z604" s="145"/>
      <c r="AA604" s="145"/>
      <c r="AB604" s="145"/>
      <c r="AC604" s="146"/>
      <c r="AD604" s="145"/>
      <c r="AE604" s="145"/>
      <c r="AF604" s="145"/>
      <c r="AG604" s="145"/>
      <c r="AH604" s="146"/>
      <c r="AI604" s="145"/>
      <c r="AJ604" s="145"/>
      <c r="AK604" s="145"/>
      <c r="AL604" s="145"/>
      <c r="AM604" s="145"/>
      <c r="AN604" s="145"/>
      <c r="AO604" s="145"/>
      <c r="AP604" s="74"/>
      <c r="AQ604" s="74"/>
      <c r="AR604" s="74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</row>
    <row r="605" spans="1:85" ht="15.75" customHeight="1" x14ac:dyDescent="0.45">
      <c r="A605" s="22"/>
      <c r="B605" s="12"/>
      <c r="C605" s="12"/>
      <c r="D605" s="155"/>
      <c r="E605" s="22"/>
      <c r="F605" s="22"/>
      <c r="G605" s="12"/>
      <c r="H605" s="22"/>
      <c r="I605" s="22"/>
      <c r="J605" s="22"/>
      <c r="K605" s="22"/>
      <c r="L605" s="22"/>
      <c r="M605" s="22"/>
      <c r="N605" s="22"/>
      <c r="O605" s="145"/>
      <c r="P605" s="145"/>
      <c r="Q605" s="145"/>
      <c r="R605" s="145"/>
      <c r="S605" s="22"/>
      <c r="T605" s="145"/>
      <c r="U605" s="145"/>
      <c r="V605" s="145"/>
      <c r="W605" s="145"/>
      <c r="X605" s="53"/>
      <c r="Y605" s="74"/>
      <c r="Z605" s="145"/>
      <c r="AA605" s="145"/>
      <c r="AB605" s="145"/>
      <c r="AC605" s="146"/>
      <c r="AD605" s="145"/>
      <c r="AE605" s="145"/>
      <c r="AF605" s="145"/>
      <c r="AG605" s="145"/>
      <c r="AH605" s="146"/>
      <c r="AI605" s="145"/>
      <c r="AJ605" s="145"/>
      <c r="AK605" s="145"/>
      <c r="AL605" s="145"/>
      <c r="AM605" s="145"/>
      <c r="AN605" s="145"/>
      <c r="AO605" s="145"/>
      <c r="AP605" s="74"/>
      <c r="AQ605" s="74"/>
      <c r="AR605" s="74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</row>
    <row r="606" spans="1:85" ht="15.75" customHeight="1" x14ac:dyDescent="0.45">
      <c r="A606" s="22"/>
      <c r="B606" s="12"/>
      <c r="C606" s="12"/>
      <c r="D606" s="155"/>
      <c r="E606" s="22"/>
      <c r="F606" s="22"/>
      <c r="G606" s="12"/>
      <c r="H606" s="22"/>
      <c r="I606" s="22"/>
      <c r="J606" s="22"/>
      <c r="K606" s="22"/>
      <c r="L606" s="22"/>
      <c r="M606" s="22"/>
      <c r="N606" s="22"/>
      <c r="O606" s="145"/>
      <c r="P606" s="145"/>
      <c r="Q606" s="145"/>
      <c r="R606" s="145"/>
      <c r="S606" s="22"/>
      <c r="T606" s="145"/>
      <c r="U606" s="145"/>
      <c r="V606" s="145"/>
      <c r="W606" s="145"/>
      <c r="X606" s="53"/>
      <c r="Y606" s="74"/>
      <c r="Z606" s="145"/>
      <c r="AA606" s="145"/>
      <c r="AB606" s="145"/>
      <c r="AC606" s="146"/>
      <c r="AD606" s="145"/>
      <c r="AE606" s="145"/>
      <c r="AF606" s="145"/>
      <c r="AG606" s="145"/>
      <c r="AH606" s="146"/>
      <c r="AI606" s="145"/>
      <c r="AJ606" s="145"/>
      <c r="AK606" s="145"/>
      <c r="AL606" s="145"/>
      <c r="AM606" s="145"/>
      <c r="AN606" s="145"/>
      <c r="AO606" s="145"/>
      <c r="AP606" s="74"/>
      <c r="AQ606" s="74"/>
      <c r="AR606" s="74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</row>
    <row r="607" spans="1:85" ht="15.75" customHeight="1" x14ac:dyDescent="0.45">
      <c r="A607" s="22"/>
      <c r="B607" s="12"/>
      <c r="C607" s="12"/>
      <c r="D607" s="155"/>
      <c r="E607" s="22"/>
      <c r="F607" s="22"/>
      <c r="G607" s="12"/>
      <c r="H607" s="22"/>
      <c r="I607" s="22"/>
      <c r="J607" s="22"/>
      <c r="K607" s="22"/>
      <c r="L607" s="22"/>
      <c r="M607" s="22"/>
      <c r="N607" s="22"/>
      <c r="O607" s="145"/>
      <c r="P607" s="145"/>
      <c r="Q607" s="145"/>
      <c r="R607" s="145"/>
      <c r="S607" s="22"/>
      <c r="T607" s="145"/>
      <c r="U607" s="145"/>
      <c r="V607" s="145"/>
      <c r="W607" s="145"/>
      <c r="X607" s="53"/>
      <c r="Y607" s="74"/>
      <c r="Z607" s="145"/>
      <c r="AA607" s="145"/>
      <c r="AB607" s="145"/>
      <c r="AC607" s="146"/>
      <c r="AD607" s="145"/>
      <c r="AE607" s="145"/>
      <c r="AF607" s="145"/>
      <c r="AG607" s="145"/>
      <c r="AH607" s="146"/>
      <c r="AI607" s="145"/>
      <c r="AJ607" s="145"/>
      <c r="AK607" s="145"/>
      <c r="AL607" s="145"/>
      <c r="AM607" s="145"/>
      <c r="AN607" s="145"/>
      <c r="AO607" s="145"/>
      <c r="AP607" s="74"/>
      <c r="AQ607" s="74"/>
      <c r="AR607" s="74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</row>
    <row r="608" spans="1:85" ht="15.75" customHeight="1" x14ac:dyDescent="0.45">
      <c r="A608" s="22"/>
      <c r="B608" s="12"/>
      <c r="C608" s="12"/>
      <c r="D608" s="155"/>
      <c r="E608" s="22"/>
      <c r="F608" s="22"/>
      <c r="G608" s="12"/>
      <c r="H608" s="22"/>
      <c r="I608" s="22"/>
      <c r="J608" s="22"/>
      <c r="K608" s="22"/>
      <c r="L608" s="22"/>
      <c r="M608" s="22"/>
      <c r="N608" s="22"/>
      <c r="O608" s="145"/>
      <c r="P608" s="145"/>
      <c r="Q608" s="145"/>
      <c r="R608" s="145"/>
      <c r="S608" s="22"/>
      <c r="T608" s="145"/>
      <c r="U608" s="145"/>
      <c r="V608" s="145"/>
      <c r="W608" s="145"/>
      <c r="X608" s="53"/>
      <c r="Y608" s="74"/>
      <c r="Z608" s="145"/>
      <c r="AA608" s="145"/>
      <c r="AB608" s="145"/>
      <c r="AC608" s="146"/>
      <c r="AD608" s="145"/>
      <c r="AE608" s="145"/>
      <c r="AF608" s="145"/>
      <c r="AG608" s="145"/>
      <c r="AH608" s="146"/>
      <c r="AI608" s="145"/>
      <c r="AJ608" s="145"/>
      <c r="AK608" s="145"/>
      <c r="AL608" s="145"/>
      <c r="AM608" s="145"/>
      <c r="AN608" s="145"/>
      <c r="AO608" s="145"/>
      <c r="AP608" s="74"/>
      <c r="AQ608" s="74"/>
      <c r="AR608" s="74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</row>
    <row r="609" spans="1:85" ht="15.75" customHeight="1" x14ac:dyDescent="0.45">
      <c r="A609" s="22"/>
      <c r="B609" s="12"/>
      <c r="C609" s="12"/>
      <c r="D609" s="155"/>
      <c r="E609" s="22"/>
      <c r="F609" s="22"/>
      <c r="G609" s="12"/>
      <c r="H609" s="22"/>
      <c r="I609" s="22"/>
      <c r="J609" s="22"/>
      <c r="K609" s="22"/>
      <c r="L609" s="22"/>
      <c r="M609" s="22"/>
      <c r="N609" s="22"/>
      <c r="O609" s="145"/>
      <c r="P609" s="145"/>
      <c r="Q609" s="145"/>
      <c r="R609" s="145"/>
      <c r="S609" s="22"/>
      <c r="T609" s="145"/>
      <c r="U609" s="145"/>
      <c r="V609" s="145"/>
      <c r="W609" s="145"/>
      <c r="X609" s="53"/>
      <c r="Y609" s="74"/>
      <c r="Z609" s="145"/>
      <c r="AA609" s="145"/>
      <c r="AB609" s="145"/>
      <c r="AC609" s="146"/>
      <c r="AD609" s="145"/>
      <c r="AE609" s="145"/>
      <c r="AF609" s="145"/>
      <c r="AG609" s="145"/>
      <c r="AH609" s="146"/>
      <c r="AI609" s="145"/>
      <c r="AJ609" s="145"/>
      <c r="AK609" s="145"/>
      <c r="AL609" s="145"/>
      <c r="AM609" s="145"/>
      <c r="AN609" s="145"/>
      <c r="AO609" s="145"/>
      <c r="AP609" s="74"/>
      <c r="AQ609" s="74"/>
      <c r="AR609" s="74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</row>
    <row r="610" spans="1:85" ht="15.75" customHeight="1" x14ac:dyDescent="0.45">
      <c r="A610" s="22"/>
      <c r="B610" s="12"/>
      <c r="C610" s="12"/>
      <c r="D610" s="155"/>
      <c r="E610" s="22"/>
      <c r="F610" s="22"/>
      <c r="G610" s="12"/>
      <c r="H610" s="22"/>
      <c r="I610" s="22"/>
      <c r="J610" s="22"/>
      <c r="K610" s="22"/>
      <c r="L610" s="22"/>
      <c r="M610" s="22"/>
      <c r="N610" s="22"/>
      <c r="O610" s="145"/>
      <c r="P610" s="145"/>
      <c r="Q610" s="145"/>
      <c r="R610" s="145"/>
      <c r="S610" s="22"/>
      <c r="T610" s="145"/>
      <c r="U610" s="145"/>
      <c r="V610" s="145"/>
      <c r="W610" s="145"/>
      <c r="X610" s="53"/>
      <c r="Y610" s="74"/>
      <c r="Z610" s="145"/>
      <c r="AA610" s="145"/>
      <c r="AB610" s="145"/>
      <c r="AC610" s="146"/>
      <c r="AD610" s="145"/>
      <c r="AE610" s="145"/>
      <c r="AF610" s="145"/>
      <c r="AG610" s="145"/>
      <c r="AH610" s="146"/>
      <c r="AI610" s="145"/>
      <c r="AJ610" s="145"/>
      <c r="AK610" s="145"/>
      <c r="AL610" s="145"/>
      <c r="AM610" s="145"/>
      <c r="AN610" s="145"/>
      <c r="AO610" s="145"/>
      <c r="AP610" s="74"/>
      <c r="AQ610" s="74"/>
      <c r="AR610" s="74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</row>
    <row r="611" spans="1:85" ht="15.75" customHeight="1" x14ac:dyDescent="0.45">
      <c r="A611" s="22"/>
      <c r="B611" s="12"/>
      <c r="C611" s="12"/>
      <c r="D611" s="155"/>
      <c r="E611" s="22"/>
      <c r="F611" s="22"/>
      <c r="G611" s="12"/>
      <c r="H611" s="22"/>
      <c r="I611" s="22"/>
      <c r="J611" s="22"/>
      <c r="K611" s="22"/>
      <c r="L611" s="22"/>
      <c r="M611" s="22"/>
      <c r="N611" s="22"/>
      <c r="O611" s="145"/>
      <c r="P611" s="145"/>
      <c r="Q611" s="145"/>
      <c r="R611" s="145"/>
      <c r="S611" s="22"/>
      <c r="T611" s="145"/>
      <c r="U611" s="145"/>
      <c r="V611" s="145"/>
      <c r="W611" s="145"/>
      <c r="X611" s="53"/>
      <c r="Y611" s="74"/>
      <c r="Z611" s="145"/>
      <c r="AA611" s="145"/>
      <c r="AB611" s="145"/>
      <c r="AC611" s="146"/>
      <c r="AD611" s="145"/>
      <c r="AE611" s="145"/>
      <c r="AF611" s="145"/>
      <c r="AG611" s="145"/>
      <c r="AH611" s="146"/>
      <c r="AI611" s="145"/>
      <c r="AJ611" s="145"/>
      <c r="AK611" s="145"/>
      <c r="AL611" s="145"/>
      <c r="AM611" s="145"/>
      <c r="AN611" s="145"/>
      <c r="AO611" s="145"/>
      <c r="AP611" s="74"/>
      <c r="AQ611" s="74"/>
      <c r="AR611" s="74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</row>
    <row r="612" spans="1:85" ht="15.75" customHeight="1" x14ac:dyDescent="0.45">
      <c r="A612" s="22"/>
      <c r="B612" s="12"/>
      <c r="C612" s="12"/>
      <c r="D612" s="155"/>
      <c r="E612" s="22"/>
      <c r="F612" s="22"/>
      <c r="G612" s="12"/>
      <c r="H612" s="22"/>
      <c r="I612" s="22"/>
      <c r="J612" s="22"/>
      <c r="K612" s="22"/>
      <c r="L612" s="22"/>
      <c r="M612" s="22"/>
      <c r="N612" s="22"/>
      <c r="O612" s="145"/>
      <c r="P612" s="145"/>
      <c r="Q612" s="145"/>
      <c r="R612" s="145"/>
      <c r="S612" s="22"/>
      <c r="T612" s="145"/>
      <c r="U612" s="145"/>
      <c r="V612" s="145"/>
      <c r="W612" s="145"/>
      <c r="X612" s="53"/>
      <c r="Y612" s="74"/>
      <c r="Z612" s="145"/>
      <c r="AA612" s="145"/>
      <c r="AB612" s="145"/>
      <c r="AC612" s="146"/>
      <c r="AD612" s="145"/>
      <c r="AE612" s="145"/>
      <c r="AF612" s="145"/>
      <c r="AG612" s="145"/>
      <c r="AH612" s="146"/>
      <c r="AI612" s="145"/>
      <c r="AJ612" s="145"/>
      <c r="AK612" s="145"/>
      <c r="AL612" s="145"/>
      <c r="AM612" s="145"/>
      <c r="AN612" s="145"/>
      <c r="AO612" s="145"/>
      <c r="AP612" s="74"/>
      <c r="AQ612" s="74"/>
      <c r="AR612" s="74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</row>
    <row r="613" spans="1:85" ht="15.75" customHeight="1" x14ac:dyDescent="0.45">
      <c r="A613" s="22"/>
      <c r="B613" s="12"/>
      <c r="C613" s="12"/>
      <c r="D613" s="155"/>
      <c r="E613" s="22"/>
      <c r="F613" s="22"/>
      <c r="G613" s="12"/>
      <c r="H613" s="22"/>
      <c r="I613" s="22"/>
      <c r="J613" s="22"/>
      <c r="K613" s="22"/>
      <c r="L613" s="22"/>
      <c r="M613" s="22"/>
      <c r="N613" s="22"/>
      <c r="O613" s="145"/>
      <c r="P613" s="145"/>
      <c r="Q613" s="145"/>
      <c r="R613" s="145"/>
      <c r="S613" s="22"/>
      <c r="T613" s="145"/>
      <c r="U613" s="145"/>
      <c r="V613" s="145"/>
      <c r="W613" s="145"/>
      <c r="X613" s="53"/>
      <c r="Y613" s="74"/>
      <c r="Z613" s="145"/>
      <c r="AA613" s="145"/>
      <c r="AB613" s="145"/>
      <c r="AC613" s="146"/>
      <c r="AD613" s="145"/>
      <c r="AE613" s="145"/>
      <c r="AF613" s="145"/>
      <c r="AG613" s="145"/>
      <c r="AH613" s="146"/>
      <c r="AI613" s="145"/>
      <c r="AJ613" s="145"/>
      <c r="AK613" s="145"/>
      <c r="AL613" s="145"/>
      <c r="AM613" s="145"/>
      <c r="AN613" s="145"/>
      <c r="AO613" s="145"/>
      <c r="AP613" s="74"/>
      <c r="AQ613" s="74"/>
      <c r="AR613" s="74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</row>
    <row r="614" spans="1:85" ht="15.75" customHeight="1" x14ac:dyDescent="0.45">
      <c r="A614" s="22"/>
      <c r="B614" s="12"/>
      <c r="C614" s="12"/>
      <c r="D614" s="155"/>
      <c r="E614" s="22"/>
      <c r="F614" s="22"/>
      <c r="G614" s="12"/>
      <c r="H614" s="22"/>
      <c r="I614" s="22"/>
      <c r="J614" s="22"/>
      <c r="K614" s="22"/>
      <c r="L614" s="22"/>
      <c r="M614" s="22"/>
      <c r="N614" s="22"/>
      <c r="O614" s="145"/>
      <c r="P614" s="145"/>
      <c r="Q614" s="145"/>
      <c r="R614" s="145"/>
      <c r="S614" s="22"/>
      <c r="T614" s="145"/>
      <c r="U614" s="145"/>
      <c r="V614" s="145"/>
      <c r="W614" s="145"/>
      <c r="X614" s="53"/>
      <c r="Y614" s="74"/>
      <c r="Z614" s="145"/>
      <c r="AA614" s="145"/>
      <c r="AB614" s="145"/>
      <c r="AC614" s="146"/>
      <c r="AD614" s="145"/>
      <c r="AE614" s="145"/>
      <c r="AF614" s="145"/>
      <c r="AG614" s="145"/>
      <c r="AH614" s="146"/>
      <c r="AI614" s="145"/>
      <c r="AJ614" s="145"/>
      <c r="AK614" s="145"/>
      <c r="AL614" s="145"/>
      <c r="AM614" s="145"/>
      <c r="AN614" s="145"/>
      <c r="AO614" s="145"/>
      <c r="AP614" s="74"/>
      <c r="AQ614" s="74"/>
      <c r="AR614" s="74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</row>
    <row r="615" spans="1:85" ht="15.75" customHeight="1" x14ac:dyDescent="0.45">
      <c r="A615" s="22"/>
      <c r="B615" s="12"/>
      <c r="C615" s="12"/>
      <c r="D615" s="155"/>
      <c r="E615" s="22"/>
      <c r="F615" s="22"/>
      <c r="G615" s="12"/>
      <c r="H615" s="22"/>
      <c r="I615" s="22"/>
      <c r="J615" s="22"/>
      <c r="K615" s="22"/>
      <c r="L615" s="22"/>
      <c r="M615" s="22"/>
      <c r="N615" s="22"/>
      <c r="O615" s="145"/>
      <c r="P615" s="145"/>
      <c r="Q615" s="145"/>
      <c r="R615" s="145"/>
      <c r="S615" s="22"/>
      <c r="T615" s="145"/>
      <c r="U615" s="145"/>
      <c r="V615" s="145"/>
      <c r="W615" s="145"/>
      <c r="X615" s="53"/>
      <c r="Y615" s="74"/>
      <c r="Z615" s="145"/>
      <c r="AA615" s="145"/>
      <c r="AB615" s="145"/>
      <c r="AC615" s="146"/>
      <c r="AD615" s="145"/>
      <c r="AE615" s="145"/>
      <c r="AF615" s="145"/>
      <c r="AG615" s="145"/>
      <c r="AH615" s="146"/>
      <c r="AI615" s="145"/>
      <c r="AJ615" s="145"/>
      <c r="AK615" s="145"/>
      <c r="AL615" s="145"/>
      <c r="AM615" s="145"/>
      <c r="AN615" s="145"/>
      <c r="AO615" s="145"/>
      <c r="AP615" s="74"/>
      <c r="AQ615" s="74"/>
      <c r="AR615" s="74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</row>
    <row r="616" spans="1:85" ht="15.75" customHeight="1" x14ac:dyDescent="0.45">
      <c r="A616" s="22"/>
      <c r="B616" s="12"/>
      <c r="C616" s="12"/>
      <c r="D616" s="155"/>
      <c r="E616" s="22"/>
      <c r="F616" s="22"/>
      <c r="G616" s="12"/>
      <c r="H616" s="22"/>
      <c r="I616" s="22"/>
      <c r="J616" s="22"/>
      <c r="K616" s="22"/>
      <c r="L616" s="22"/>
      <c r="M616" s="22"/>
      <c r="N616" s="22"/>
      <c r="O616" s="145"/>
      <c r="P616" s="145"/>
      <c r="Q616" s="145"/>
      <c r="R616" s="145"/>
      <c r="S616" s="22"/>
      <c r="T616" s="145"/>
      <c r="U616" s="145"/>
      <c r="V616" s="145"/>
      <c r="W616" s="145"/>
      <c r="X616" s="53"/>
      <c r="Y616" s="74"/>
      <c r="Z616" s="145"/>
      <c r="AA616" s="145"/>
      <c r="AB616" s="145"/>
      <c r="AC616" s="146"/>
      <c r="AD616" s="145"/>
      <c r="AE616" s="145"/>
      <c r="AF616" s="145"/>
      <c r="AG616" s="145"/>
      <c r="AH616" s="146"/>
      <c r="AI616" s="145"/>
      <c r="AJ616" s="145"/>
      <c r="AK616" s="145"/>
      <c r="AL616" s="145"/>
      <c r="AM616" s="145"/>
      <c r="AN616" s="145"/>
      <c r="AO616" s="145"/>
      <c r="AP616" s="74"/>
      <c r="AQ616" s="74"/>
      <c r="AR616" s="74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</row>
    <row r="617" spans="1:85" ht="15.75" customHeight="1" x14ac:dyDescent="0.45">
      <c r="A617" s="22"/>
      <c r="B617" s="12"/>
      <c r="C617" s="12"/>
      <c r="D617" s="155"/>
      <c r="E617" s="22"/>
      <c r="F617" s="22"/>
      <c r="G617" s="12"/>
      <c r="H617" s="22"/>
      <c r="I617" s="22"/>
      <c r="J617" s="22"/>
      <c r="K617" s="22"/>
      <c r="L617" s="22"/>
      <c r="M617" s="22"/>
      <c r="N617" s="22"/>
      <c r="O617" s="145"/>
      <c r="P617" s="145"/>
      <c r="Q617" s="145"/>
      <c r="R617" s="145"/>
      <c r="S617" s="22"/>
      <c r="T617" s="145"/>
      <c r="U617" s="145"/>
      <c r="V617" s="145"/>
      <c r="W617" s="145"/>
      <c r="X617" s="53"/>
      <c r="Y617" s="74"/>
      <c r="Z617" s="145"/>
      <c r="AA617" s="145"/>
      <c r="AB617" s="145"/>
      <c r="AC617" s="146"/>
      <c r="AD617" s="145"/>
      <c r="AE617" s="145"/>
      <c r="AF617" s="145"/>
      <c r="AG617" s="145"/>
      <c r="AH617" s="146"/>
      <c r="AI617" s="145"/>
      <c r="AJ617" s="145"/>
      <c r="AK617" s="145"/>
      <c r="AL617" s="145"/>
      <c r="AM617" s="145"/>
      <c r="AN617" s="145"/>
      <c r="AO617" s="145"/>
      <c r="AP617" s="74"/>
      <c r="AQ617" s="74"/>
      <c r="AR617" s="74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</row>
    <row r="618" spans="1:85" ht="15.75" customHeight="1" x14ac:dyDescent="0.45">
      <c r="A618" s="22"/>
      <c r="B618" s="12"/>
      <c r="C618" s="12"/>
      <c r="D618" s="155"/>
      <c r="E618" s="22"/>
      <c r="F618" s="22"/>
      <c r="G618" s="12"/>
      <c r="H618" s="22"/>
      <c r="I618" s="22"/>
      <c r="J618" s="22"/>
      <c r="K618" s="22"/>
      <c r="L618" s="22"/>
      <c r="M618" s="22"/>
      <c r="N618" s="22"/>
      <c r="O618" s="145"/>
      <c r="P618" s="145"/>
      <c r="Q618" s="145"/>
      <c r="R618" s="145"/>
      <c r="S618" s="22"/>
      <c r="T618" s="145"/>
      <c r="U618" s="145"/>
      <c r="V618" s="145"/>
      <c r="W618" s="145"/>
      <c r="X618" s="53"/>
      <c r="Y618" s="74"/>
      <c r="Z618" s="145"/>
      <c r="AA618" s="145"/>
      <c r="AB618" s="145"/>
      <c r="AC618" s="146"/>
      <c r="AD618" s="145"/>
      <c r="AE618" s="145"/>
      <c r="AF618" s="145"/>
      <c r="AG618" s="145"/>
      <c r="AH618" s="146"/>
      <c r="AI618" s="145"/>
      <c r="AJ618" s="145"/>
      <c r="AK618" s="145"/>
      <c r="AL618" s="145"/>
      <c r="AM618" s="145"/>
      <c r="AN618" s="145"/>
      <c r="AO618" s="145"/>
      <c r="AP618" s="74"/>
      <c r="AQ618" s="74"/>
      <c r="AR618" s="74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</row>
    <row r="619" spans="1:85" ht="15.75" customHeight="1" x14ac:dyDescent="0.45">
      <c r="A619" s="22"/>
      <c r="B619" s="12"/>
      <c r="C619" s="12"/>
      <c r="D619" s="155"/>
      <c r="E619" s="22"/>
      <c r="F619" s="22"/>
      <c r="G619" s="12"/>
      <c r="H619" s="22"/>
      <c r="I619" s="22"/>
      <c r="J619" s="22"/>
      <c r="K619" s="22"/>
      <c r="L619" s="22"/>
      <c r="M619" s="22"/>
      <c r="N619" s="22"/>
      <c r="O619" s="145"/>
      <c r="P619" s="145"/>
      <c r="Q619" s="145"/>
      <c r="R619" s="145"/>
      <c r="S619" s="22"/>
      <c r="T619" s="145"/>
      <c r="U619" s="145"/>
      <c r="V619" s="145"/>
      <c r="W619" s="145"/>
      <c r="X619" s="53"/>
      <c r="Y619" s="74"/>
      <c r="Z619" s="145"/>
      <c r="AA619" s="145"/>
      <c r="AB619" s="145"/>
      <c r="AC619" s="146"/>
      <c r="AD619" s="145"/>
      <c r="AE619" s="145"/>
      <c r="AF619" s="145"/>
      <c r="AG619" s="145"/>
      <c r="AH619" s="146"/>
      <c r="AI619" s="145"/>
      <c r="AJ619" s="145"/>
      <c r="AK619" s="145"/>
      <c r="AL619" s="145"/>
      <c r="AM619" s="145"/>
      <c r="AN619" s="145"/>
      <c r="AO619" s="145"/>
      <c r="AP619" s="74"/>
      <c r="AQ619" s="74"/>
      <c r="AR619" s="74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</row>
    <row r="620" spans="1:85" ht="15.75" customHeight="1" x14ac:dyDescent="0.45">
      <c r="A620" s="22"/>
      <c r="B620" s="12"/>
      <c r="C620" s="12"/>
      <c r="D620" s="155"/>
      <c r="E620" s="22"/>
      <c r="F620" s="22"/>
      <c r="G620" s="12"/>
      <c r="H620" s="22"/>
      <c r="I620" s="22"/>
      <c r="J620" s="22"/>
      <c r="K620" s="22"/>
      <c r="L620" s="22"/>
      <c r="M620" s="22"/>
      <c r="N620" s="22"/>
      <c r="O620" s="145"/>
      <c r="P620" s="145"/>
      <c r="Q620" s="145"/>
      <c r="R620" s="145"/>
      <c r="S620" s="22"/>
      <c r="T620" s="145"/>
      <c r="U620" s="145"/>
      <c r="V620" s="145"/>
      <c r="W620" s="145"/>
      <c r="X620" s="53"/>
      <c r="Y620" s="74"/>
      <c r="Z620" s="145"/>
      <c r="AA620" s="145"/>
      <c r="AB620" s="145"/>
      <c r="AC620" s="146"/>
      <c r="AD620" s="145"/>
      <c r="AE620" s="145"/>
      <c r="AF620" s="145"/>
      <c r="AG620" s="145"/>
      <c r="AH620" s="146"/>
      <c r="AI620" s="145"/>
      <c r="AJ620" s="145"/>
      <c r="AK620" s="145"/>
      <c r="AL620" s="145"/>
      <c r="AM620" s="145"/>
      <c r="AN620" s="145"/>
      <c r="AO620" s="145"/>
      <c r="AP620" s="74"/>
      <c r="AQ620" s="74"/>
      <c r="AR620" s="74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</row>
    <row r="621" spans="1:85" ht="15.75" customHeight="1" x14ac:dyDescent="0.45">
      <c r="A621" s="22"/>
      <c r="B621" s="12"/>
      <c r="C621" s="12"/>
      <c r="D621" s="155"/>
      <c r="E621" s="22"/>
      <c r="F621" s="22"/>
      <c r="G621" s="12"/>
      <c r="H621" s="22"/>
      <c r="I621" s="22"/>
      <c r="J621" s="22"/>
      <c r="K621" s="22"/>
      <c r="L621" s="22"/>
      <c r="M621" s="22"/>
      <c r="N621" s="22"/>
      <c r="O621" s="145"/>
      <c r="P621" s="145"/>
      <c r="Q621" s="145"/>
      <c r="R621" s="145"/>
      <c r="S621" s="22"/>
      <c r="T621" s="145"/>
      <c r="U621" s="145"/>
      <c r="V621" s="145"/>
      <c r="W621" s="145"/>
      <c r="X621" s="53"/>
      <c r="Y621" s="74"/>
      <c r="Z621" s="145"/>
      <c r="AA621" s="145"/>
      <c r="AB621" s="145"/>
      <c r="AC621" s="146"/>
      <c r="AD621" s="145"/>
      <c r="AE621" s="145"/>
      <c r="AF621" s="145"/>
      <c r="AG621" s="145"/>
      <c r="AH621" s="146"/>
      <c r="AI621" s="145"/>
      <c r="AJ621" s="145"/>
      <c r="AK621" s="145"/>
      <c r="AL621" s="145"/>
      <c r="AM621" s="145"/>
      <c r="AN621" s="145"/>
      <c r="AO621" s="145"/>
      <c r="AP621" s="74"/>
      <c r="AQ621" s="74"/>
      <c r="AR621" s="74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</row>
    <row r="622" spans="1:85" ht="15.75" customHeight="1" x14ac:dyDescent="0.45">
      <c r="A622" s="22"/>
      <c r="B622" s="12"/>
      <c r="C622" s="12"/>
      <c r="D622" s="155"/>
      <c r="E622" s="22"/>
      <c r="F622" s="22"/>
      <c r="G622" s="12"/>
      <c r="H622" s="22"/>
      <c r="I622" s="22"/>
      <c r="J622" s="22"/>
      <c r="K622" s="22"/>
      <c r="L622" s="22"/>
      <c r="M622" s="22"/>
      <c r="N622" s="22"/>
      <c r="O622" s="145"/>
      <c r="P622" s="145"/>
      <c r="Q622" s="145"/>
      <c r="R622" s="145"/>
      <c r="S622" s="22"/>
      <c r="T622" s="145"/>
      <c r="U622" s="145"/>
      <c r="V622" s="145"/>
      <c r="W622" s="145"/>
      <c r="X622" s="53"/>
      <c r="Y622" s="74"/>
      <c r="Z622" s="145"/>
      <c r="AA622" s="145"/>
      <c r="AB622" s="145"/>
      <c r="AC622" s="146"/>
      <c r="AD622" s="145"/>
      <c r="AE622" s="145"/>
      <c r="AF622" s="145"/>
      <c r="AG622" s="145"/>
      <c r="AH622" s="146"/>
      <c r="AI622" s="145"/>
      <c r="AJ622" s="145"/>
      <c r="AK622" s="145"/>
      <c r="AL622" s="145"/>
      <c r="AM622" s="145"/>
      <c r="AN622" s="145"/>
      <c r="AO622" s="145"/>
      <c r="AP622" s="74"/>
      <c r="AQ622" s="74"/>
      <c r="AR622" s="74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</row>
    <row r="623" spans="1:85" ht="15.75" customHeight="1" x14ac:dyDescent="0.45">
      <c r="A623" s="22"/>
      <c r="B623" s="12"/>
      <c r="C623" s="12"/>
      <c r="D623" s="155"/>
      <c r="E623" s="22"/>
      <c r="F623" s="22"/>
      <c r="G623" s="12"/>
      <c r="H623" s="22"/>
      <c r="I623" s="22"/>
      <c r="J623" s="22"/>
      <c r="K623" s="22"/>
      <c r="L623" s="22"/>
      <c r="M623" s="22"/>
      <c r="N623" s="22"/>
      <c r="O623" s="145"/>
      <c r="P623" s="145"/>
      <c r="Q623" s="145"/>
      <c r="R623" s="145"/>
      <c r="S623" s="22"/>
      <c r="T623" s="145"/>
      <c r="U623" s="145"/>
      <c r="V623" s="145"/>
      <c r="W623" s="145"/>
      <c r="X623" s="53"/>
      <c r="Y623" s="74"/>
      <c r="Z623" s="145"/>
      <c r="AA623" s="145"/>
      <c r="AB623" s="145"/>
      <c r="AC623" s="146"/>
      <c r="AD623" s="145"/>
      <c r="AE623" s="145"/>
      <c r="AF623" s="145"/>
      <c r="AG623" s="145"/>
      <c r="AH623" s="146"/>
      <c r="AI623" s="145"/>
      <c r="AJ623" s="145"/>
      <c r="AK623" s="145"/>
      <c r="AL623" s="145"/>
      <c r="AM623" s="145"/>
      <c r="AN623" s="145"/>
      <c r="AO623" s="145"/>
      <c r="AP623" s="74"/>
      <c r="AQ623" s="74"/>
      <c r="AR623" s="74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</row>
    <row r="624" spans="1:85" ht="15.75" customHeight="1" x14ac:dyDescent="0.45">
      <c r="A624" s="22"/>
      <c r="B624" s="12"/>
      <c r="C624" s="12"/>
      <c r="D624" s="155"/>
      <c r="E624" s="22"/>
      <c r="F624" s="22"/>
      <c r="G624" s="12"/>
      <c r="H624" s="22"/>
      <c r="I624" s="22"/>
      <c r="J624" s="22"/>
      <c r="K624" s="22"/>
      <c r="L624" s="22"/>
      <c r="M624" s="22"/>
      <c r="N624" s="22"/>
      <c r="O624" s="145"/>
      <c r="P624" s="145"/>
      <c r="Q624" s="145"/>
      <c r="R624" s="145"/>
      <c r="S624" s="22"/>
      <c r="T624" s="145"/>
      <c r="U624" s="145"/>
      <c r="V624" s="145"/>
      <c r="W624" s="145"/>
      <c r="X624" s="53"/>
      <c r="Y624" s="74"/>
      <c r="Z624" s="145"/>
      <c r="AA624" s="145"/>
      <c r="AB624" s="145"/>
      <c r="AC624" s="146"/>
      <c r="AD624" s="145"/>
      <c r="AE624" s="145"/>
      <c r="AF624" s="145"/>
      <c r="AG624" s="145"/>
      <c r="AH624" s="146"/>
      <c r="AI624" s="145"/>
      <c r="AJ624" s="145"/>
      <c r="AK624" s="145"/>
      <c r="AL624" s="145"/>
      <c r="AM624" s="145"/>
      <c r="AN624" s="145"/>
      <c r="AO624" s="145"/>
      <c r="AP624" s="74"/>
      <c r="AQ624" s="74"/>
      <c r="AR624" s="74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</row>
    <row r="625" spans="1:85" ht="15.75" customHeight="1" x14ac:dyDescent="0.45">
      <c r="A625" s="22"/>
      <c r="B625" s="12"/>
      <c r="C625" s="12"/>
      <c r="D625" s="155"/>
      <c r="E625" s="22"/>
      <c r="F625" s="22"/>
      <c r="G625" s="12"/>
      <c r="H625" s="22"/>
      <c r="I625" s="22"/>
      <c r="J625" s="22"/>
      <c r="K625" s="22"/>
      <c r="L625" s="22"/>
      <c r="M625" s="22"/>
      <c r="N625" s="22"/>
      <c r="O625" s="145"/>
      <c r="P625" s="145"/>
      <c r="Q625" s="145"/>
      <c r="R625" s="145"/>
      <c r="S625" s="22"/>
      <c r="T625" s="145"/>
      <c r="U625" s="145"/>
      <c r="V625" s="145"/>
      <c r="W625" s="145"/>
      <c r="X625" s="53"/>
      <c r="Y625" s="74"/>
      <c r="Z625" s="145"/>
      <c r="AA625" s="145"/>
      <c r="AB625" s="145"/>
      <c r="AC625" s="146"/>
      <c r="AD625" s="145"/>
      <c r="AE625" s="145"/>
      <c r="AF625" s="145"/>
      <c r="AG625" s="145"/>
      <c r="AH625" s="146"/>
      <c r="AI625" s="145"/>
      <c r="AJ625" s="145"/>
      <c r="AK625" s="145"/>
      <c r="AL625" s="145"/>
      <c r="AM625" s="145"/>
      <c r="AN625" s="145"/>
      <c r="AO625" s="145"/>
      <c r="AP625" s="74"/>
      <c r="AQ625" s="74"/>
      <c r="AR625" s="74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</row>
    <row r="626" spans="1:85" ht="15.75" customHeight="1" x14ac:dyDescent="0.45">
      <c r="A626" s="22"/>
      <c r="B626" s="12"/>
      <c r="C626" s="12"/>
      <c r="D626" s="155"/>
      <c r="E626" s="22"/>
      <c r="F626" s="22"/>
      <c r="G626" s="12"/>
      <c r="H626" s="22"/>
      <c r="I626" s="22"/>
      <c r="J626" s="22"/>
      <c r="K626" s="22"/>
      <c r="L626" s="22"/>
      <c r="M626" s="22"/>
      <c r="N626" s="22"/>
      <c r="O626" s="145"/>
      <c r="P626" s="145"/>
      <c r="Q626" s="145"/>
      <c r="R626" s="145"/>
      <c r="S626" s="22"/>
      <c r="T626" s="145"/>
      <c r="U626" s="145"/>
      <c r="V626" s="145"/>
      <c r="W626" s="145"/>
      <c r="X626" s="53"/>
      <c r="Y626" s="74"/>
      <c r="Z626" s="145"/>
      <c r="AA626" s="145"/>
      <c r="AB626" s="145"/>
      <c r="AC626" s="146"/>
      <c r="AD626" s="145"/>
      <c r="AE626" s="145"/>
      <c r="AF626" s="145"/>
      <c r="AG626" s="145"/>
      <c r="AH626" s="146"/>
      <c r="AI626" s="145"/>
      <c r="AJ626" s="145"/>
      <c r="AK626" s="145"/>
      <c r="AL626" s="145"/>
      <c r="AM626" s="145"/>
      <c r="AN626" s="145"/>
      <c r="AO626" s="145"/>
      <c r="AP626" s="74"/>
      <c r="AQ626" s="74"/>
      <c r="AR626" s="74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</row>
    <row r="627" spans="1:85" ht="15.75" customHeight="1" x14ac:dyDescent="0.45">
      <c r="A627" s="22"/>
      <c r="B627" s="12"/>
      <c r="C627" s="12"/>
      <c r="D627" s="155"/>
      <c r="E627" s="22"/>
      <c r="F627" s="22"/>
      <c r="G627" s="12"/>
      <c r="H627" s="22"/>
      <c r="I627" s="22"/>
      <c r="J627" s="22"/>
      <c r="K627" s="22"/>
      <c r="L627" s="22"/>
      <c r="M627" s="22"/>
      <c r="N627" s="22"/>
      <c r="O627" s="145"/>
      <c r="P627" s="145"/>
      <c r="Q627" s="145"/>
      <c r="R627" s="145"/>
      <c r="S627" s="22"/>
      <c r="T627" s="145"/>
      <c r="U627" s="145"/>
      <c r="V627" s="145"/>
      <c r="W627" s="145"/>
      <c r="X627" s="53"/>
      <c r="Y627" s="74"/>
      <c r="Z627" s="145"/>
      <c r="AA627" s="145"/>
      <c r="AB627" s="145"/>
      <c r="AC627" s="146"/>
      <c r="AD627" s="145"/>
      <c r="AE627" s="145"/>
      <c r="AF627" s="145"/>
      <c r="AG627" s="145"/>
      <c r="AH627" s="146"/>
      <c r="AI627" s="145"/>
      <c r="AJ627" s="145"/>
      <c r="AK627" s="145"/>
      <c r="AL627" s="145"/>
      <c r="AM627" s="145"/>
      <c r="AN627" s="145"/>
      <c r="AO627" s="145"/>
      <c r="AP627" s="74"/>
      <c r="AQ627" s="74"/>
      <c r="AR627" s="74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</row>
    <row r="628" spans="1:85" ht="15.75" customHeight="1" x14ac:dyDescent="0.45">
      <c r="A628" s="22"/>
      <c r="B628" s="12"/>
      <c r="C628" s="12"/>
      <c r="D628" s="155"/>
      <c r="E628" s="22"/>
      <c r="F628" s="22"/>
      <c r="G628" s="12"/>
      <c r="H628" s="22"/>
      <c r="I628" s="22"/>
      <c r="J628" s="22"/>
      <c r="K628" s="22"/>
      <c r="L628" s="22"/>
      <c r="M628" s="22"/>
      <c r="N628" s="22"/>
      <c r="O628" s="145"/>
      <c r="P628" s="145"/>
      <c r="Q628" s="145"/>
      <c r="R628" s="145"/>
      <c r="S628" s="22"/>
      <c r="T628" s="145"/>
      <c r="U628" s="145"/>
      <c r="V628" s="145"/>
      <c r="W628" s="145"/>
      <c r="X628" s="53"/>
      <c r="Y628" s="74"/>
      <c r="Z628" s="145"/>
      <c r="AA628" s="145"/>
      <c r="AB628" s="145"/>
      <c r="AC628" s="146"/>
      <c r="AD628" s="145"/>
      <c r="AE628" s="145"/>
      <c r="AF628" s="145"/>
      <c r="AG628" s="145"/>
      <c r="AH628" s="146"/>
      <c r="AI628" s="145"/>
      <c r="AJ628" s="145"/>
      <c r="AK628" s="145"/>
      <c r="AL628" s="145"/>
      <c r="AM628" s="145"/>
      <c r="AN628" s="145"/>
      <c r="AO628" s="145"/>
      <c r="AP628" s="74"/>
      <c r="AQ628" s="74"/>
      <c r="AR628" s="74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</row>
    <row r="629" spans="1:85" ht="15.75" customHeight="1" x14ac:dyDescent="0.45">
      <c r="A629" s="22"/>
      <c r="B629" s="12"/>
      <c r="C629" s="12"/>
      <c r="D629" s="155"/>
      <c r="E629" s="22"/>
      <c r="F629" s="22"/>
      <c r="G629" s="12"/>
      <c r="H629" s="22"/>
      <c r="I629" s="22"/>
      <c r="J629" s="22"/>
      <c r="K629" s="22"/>
      <c r="L629" s="22"/>
      <c r="M629" s="22"/>
      <c r="N629" s="22"/>
      <c r="O629" s="145"/>
      <c r="P629" s="145"/>
      <c r="Q629" s="145"/>
      <c r="R629" s="145"/>
      <c r="S629" s="22"/>
      <c r="T629" s="145"/>
      <c r="U629" s="145"/>
      <c r="V629" s="145"/>
      <c r="W629" s="145"/>
      <c r="X629" s="53"/>
      <c r="Y629" s="74"/>
      <c r="Z629" s="145"/>
      <c r="AA629" s="145"/>
      <c r="AB629" s="145"/>
      <c r="AC629" s="146"/>
      <c r="AD629" s="145"/>
      <c r="AE629" s="145"/>
      <c r="AF629" s="145"/>
      <c r="AG629" s="145"/>
      <c r="AH629" s="146"/>
      <c r="AI629" s="145"/>
      <c r="AJ629" s="145"/>
      <c r="AK629" s="145"/>
      <c r="AL629" s="145"/>
      <c r="AM629" s="145"/>
      <c r="AN629" s="145"/>
      <c r="AO629" s="145"/>
      <c r="AP629" s="74"/>
      <c r="AQ629" s="74"/>
      <c r="AR629" s="74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</row>
    <row r="630" spans="1:85" ht="15.75" customHeight="1" x14ac:dyDescent="0.45">
      <c r="A630" s="22"/>
      <c r="B630" s="12"/>
      <c r="C630" s="12"/>
      <c r="D630" s="155"/>
      <c r="E630" s="22"/>
      <c r="F630" s="22"/>
      <c r="G630" s="12"/>
      <c r="H630" s="22"/>
      <c r="I630" s="22"/>
      <c r="J630" s="22"/>
      <c r="K630" s="22"/>
      <c r="L630" s="22"/>
      <c r="M630" s="22"/>
      <c r="N630" s="22"/>
      <c r="O630" s="145"/>
      <c r="P630" s="145"/>
      <c r="Q630" s="145"/>
      <c r="R630" s="145"/>
      <c r="S630" s="22"/>
      <c r="T630" s="145"/>
      <c r="U630" s="145"/>
      <c r="V630" s="145"/>
      <c r="W630" s="145"/>
      <c r="X630" s="53"/>
      <c r="Y630" s="74"/>
      <c r="Z630" s="145"/>
      <c r="AA630" s="145"/>
      <c r="AB630" s="145"/>
      <c r="AC630" s="146"/>
      <c r="AD630" s="145"/>
      <c r="AE630" s="145"/>
      <c r="AF630" s="145"/>
      <c r="AG630" s="145"/>
      <c r="AH630" s="146"/>
      <c r="AI630" s="145"/>
      <c r="AJ630" s="145"/>
      <c r="AK630" s="145"/>
      <c r="AL630" s="145"/>
      <c r="AM630" s="145"/>
      <c r="AN630" s="145"/>
      <c r="AO630" s="145"/>
      <c r="AP630" s="74"/>
      <c r="AQ630" s="74"/>
      <c r="AR630" s="74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</row>
    <row r="631" spans="1:85" ht="15.75" customHeight="1" x14ac:dyDescent="0.45">
      <c r="A631" s="22"/>
      <c r="B631" s="12"/>
      <c r="C631" s="12"/>
      <c r="D631" s="155"/>
      <c r="E631" s="22"/>
      <c r="F631" s="22"/>
      <c r="G631" s="12"/>
      <c r="H631" s="22"/>
      <c r="I631" s="22"/>
      <c r="J631" s="22"/>
      <c r="K631" s="22"/>
      <c r="L631" s="22"/>
      <c r="M631" s="22"/>
      <c r="N631" s="22"/>
      <c r="O631" s="145"/>
      <c r="P631" s="145"/>
      <c r="Q631" s="145"/>
      <c r="R631" s="145"/>
      <c r="S631" s="22"/>
      <c r="T631" s="145"/>
      <c r="U631" s="145"/>
      <c r="V631" s="145"/>
      <c r="W631" s="145"/>
      <c r="X631" s="53"/>
      <c r="Y631" s="74"/>
      <c r="Z631" s="145"/>
      <c r="AA631" s="145"/>
      <c r="AB631" s="145"/>
      <c r="AC631" s="146"/>
      <c r="AD631" s="145"/>
      <c r="AE631" s="145"/>
      <c r="AF631" s="145"/>
      <c r="AG631" s="145"/>
      <c r="AH631" s="146"/>
      <c r="AI631" s="145"/>
      <c r="AJ631" s="145"/>
      <c r="AK631" s="145"/>
      <c r="AL631" s="145"/>
      <c r="AM631" s="145"/>
      <c r="AN631" s="145"/>
      <c r="AO631" s="145"/>
      <c r="AP631" s="74"/>
      <c r="AQ631" s="74"/>
      <c r="AR631" s="74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</row>
    <row r="632" spans="1:85" ht="15.75" customHeight="1" x14ac:dyDescent="0.45">
      <c r="A632" s="22"/>
      <c r="B632" s="12"/>
      <c r="C632" s="12"/>
      <c r="D632" s="155"/>
      <c r="E632" s="22"/>
      <c r="F632" s="22"/>
      <c r="G632" s="12"/>
      <c r="H632" s="22"/>
      <c r="I632" s="22"/>
      <c r="J632" s="22"/>
      <c r="K632" s="22"/>
      <c r="L632" s="22"/>
      <c r="M632" s="22"/>
      <c r="N632" s="22"/>
      <c r="O632" s="145"/>
      <c r="P632" s="145"/>
      <c r="Q632" s="145"/>
      <c r="R632" s="145"/>
      <c r="S632" s="22"/>
      <c r="T632" s="145"/>
      <c r="U632" s="145"/>
      <c r="V632" s="145"/>
      <c r="W632" s="145"/>
      <c r="X632" s="53"/>
      <c r="Y632" s="74"/>
      <c r="Z632" s="145"/>
      <c r="AA632" s="145"/>
      <c r="AB632" s="145"/>
      <c r="AC632" s="146"/>
      <c r="AD632" s="145"/>
      <c r="AE632" s="145"/>
      <c r="AF632" s="145"/>
      <c r="AG632" s="145"/>
      <c r="AH632" s="146"/>
      <c r="AI632" s="145"/>
      <c r="AJ632" s="145"/>
      <c r="AK632" s="145"/>
      <c r="AL632" s="145"/>
      <c r="AM632" s="145"/>
      <c r="AN632" s="145"/>
      <c r="AO632" s="145"/>
      <c r="AP632" s="74"/>
      <c r="AQ632" s="74"/>
      <c r="AR632" s="74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</row>
    <row r="633" spans="1:85" ht="15.75" customHeight="1" x14ac:dyDescent="0.45">
      <c r="A633" s="22"/>
      <c r="B633" s="12"/>
      <c r="C633" s="12"/>
      <c r="D633" s="155"/>
      <c r="E633" s="22"/>
      <c r="F633" s="22"/>
      <c r="G633" s="12"/>
      <c r="H633" s="22"/>
      <c r="I633" s="22"/>
      <c r="J633" s="22"/>
      <c r="K633" s="22"/>
      <c r="L633" s="22"/>
      <c r="M633" s="22"/>
      <c r="N633" s="22"/>
      <c r="O633" s="145"/>
      <c r="P633" s="145"/>
      <c r="Q633" s="145"/>
      <c r="R633" s="145"/>
      <c r="S633" s="22"/>
      <c r="T633" s="145"/>
      <c r="U633" s="145"/>
      <c r="V633" s="145"/>
      <c r="W633" s="145"/>
      <c r="X633" s="53"/>
      <c r="Y633" s="74"/>
      <c r="Z633" s="145"/>
      <c r="AA633" s="145"/>
      <c r="AB633" s="145"/>
      <c r="AC633" s="146"/>
      <c r="AD633" s="145"/>
      <c r="AE633" s="145"/>
      <c r="AF633" s="145"/>
      <c r="AG633" s="145"/>
      <c r="AH633" s="146"/>
      <c r="AI633" s="145"/>
      <c r="AJ633" s="145"/>
      <c r="AK633" s="145"/>
      <c r="AL633" s="145"/>
      <c r="AM633" s="145"/>
      <c r="AN633" s="145"/>
      <c r="AO633" s="145"/>
      <c r="AP633" s="74"/>
      <c r="AQ633" s="74"/>
      <c r="AR633" s="74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</row>
    <row r="634" spans="1:85" ht="15.75" customHeight="1" x14ac:dyDescent="0.45">
      <c r="A634" s="22"/>
      <c r="B634" s="12"/>
      <c r="C634" s="12"/>
      <c r="D634" s="155"/>
      <c r="E634" s="22"/>
      <c r="F634" s="22"/>
      <c r="G634" s="12"/>
      <c r="H634" s="22"/>
      <c r="I634" s="22"/>
      <c r="J634" s="22"/>
      <c r="K634" s="22"/>
      <c r="L634" s="22"/>
      <c r="M634" s="22"/>
      <c r="N634" s="22"/>
      <c r="O634" s="145"/>
      <c r="P634" s="145"/>
      <c r="Q634" s="145"/>
      <c r="R634" s="145"/>
      <c r="S634" s="22"/>
      <c r="T634" s="145"/>
      <c r="U634" s="145"/>
      <c r="V634" s="145"/>
      <c r="W634" s="145"/>
      <c r="X634" s="53"/>
      <c r="Y634" s="74"/>
      <c r="Z634" s="145"/>
      <c r="AA634" s="145"/>
      <c r="AB634" s="145"/>
      <c r="AC634" s="146"/>
      <c r="AD634" s="145"/>
      <c r="AE634" s="145"/>
      <c r="AF634" s="145"/>
      <c r="AG634" s="145"/>
      <c r="AH634" s="146"/>
      <c r="AI634" s="145"/>
      <c r="AJ634" s="145"/>
      <c r="AK634" s="145"/>
      <c r="AL634" s="145"/>
      <c r="AM634" s="145"/>
      <c r="AN634" s="145"/>
      <c r="AO634" s="145"/>
      <c r="AP634" s="74"/>
      <c r="AQ634" s="74"/>
      <c r="AR634" s="74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</row>
    <row r="635" spans="1:85" ht="15.75" customHeight="1" x14ac:dyDescent="0.45">
      <c r="A635" s="22"/>
      <c r="B635" s="12"/>
      <c r="C635" s="12"/>
      <c r="D635" s="155"/>
      <c r="E635" s="22"/>
      <c r="F635" s="22"/>
      <c r="G635" s="12"/>
      <c r="H635" s="22"/>
      <c r="I635" s="22"/>
      <c r="J635" s="22"/>
      <c r="K635" s="22"/>
      <c r="L635" s="22"/>
      <c r="M635" s="22"/>
      <c r="N635" s="22"/>
      <c r="O635" s="145"/>
      <c r="P635" s="145"/>
      <c r="Q635" s="145"/>
      <c r="R635" s="145"/>
      <c r="S635" s="22"/>
      <c r="T635" s="145"/>
      <c r="U635" s="145"/>
      <c r="V635" s="145"/>
      <c r="W635" s="145"/>
      <c r="X635" s="53"/>
      <c r="Y635" s="74"/>
      <c r="Z635" s="145"/>
      <c r="AA635" s="145"/>
      <c r="AB635" s="145"/>
      <c r="AC635" s="146"/>
      <c r="AD635" s="145"/>
      <c r="AE635" s="145"/>
      <c r="AF635" s="145"/>
      <c r="AG635" s="145"/>
      <c r="AH635" s="146"/>
      <c r="AI635" s="145"/>
      <c r="AJ635" s="145"/>
      <c r="AK635" s="145"/>
      <c r="AL635" s="145"/>
      <c r="AM635" s="145"/>
      <c r="AN635" s="145"/>
      <c r="AO635" s="145"/>
      <c r="AP635" s="74"/>
      <c r="AQ635" s="74"/>
      <c r="AR635" s="74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</row>
    <row r="636" spans="1:85" ht="15.75" customHeight="1" x14ac:dyDescent="0.45">
      <c r="A636" s="22"/>
      <c r="B636" s="12"/>
      <c r="C636" s="12"/>
      <c r="D636" s="155"/>
      <c r="E636" s="22"/>
      <c r="F636" s="22"/>
      <c r="G636" s="12"/>
      <c r="H636" s="22"/>
      <c r="I636" s="22"/>
      <c r="J636" s="22"/>
      <c r="K636" s="22"/>
      <c r="L636" s="22"/>
      <c r="M636" s="22"/>
      <c r="N636" s="22"/>
      <c r="O636" s="145"/>
      <c r="P636" s="145"/>
      <c r="Q636" s="145"/>
      <c r="R636" s="145"/>
      <c r="S636" s="22"/>
      <c r="T636" s="145"/>
      <c r="U636" s="145"/>
      <c r="V636" s="145"/>
      <c r="W636" s="145"/>
      <c r="X636" s="53"/>
      <c r="Y636" s="74"/>
      <c r="Z636" s="145"/>
      <c r="AA636" s="145"/>
      <c r="AB636" s="145"/>
      <c r="AC636" s="146"/>
      <c r="AD636" s="145"/>
      <c r="AE636" s="145"/>
      <c r="AF636" s="145"/>
      <c r="AG636" s="145"/>
      <c r="AH636" s="146"/>
      <c r="AI636" s="145"/>
      <c r="AJ636" s="145"/>
      <c r="AK636" s="145"/>
      <c r="AL636" s="145"/>
      <c r="AM636" s="145"/>
      <c r="AN636" s="145"/>
      <c r="AO636" s="145"/>
      <c r="AP636" s="74"/>
      <c r="AQ636" s="74"/>
      <c r="AR636" s="74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</row>
    <row r="637" spans="1:85" ht="15.75" customHeight="1" x14ac:dyDescent="0.45">
      <c r="A637" s="22"/>
      <c r="B637" s="12"/>
      <c r="C637" s="12"/>
      <c r="D637" s="155"/>
      <c r="E637" s="22"/>
      <c r="F637" s="22"/>
      <c r="G637" s="12"/>
      <c r="H637" s="22"/>
      <c r="I637" s="22"/>
      <c r="J637" s="22"/>
      <c r="K637" s="22"/>
      <c r="L637" s="22"/>
      <c r="M637" s="22"/>
      <c r="N637" s="22"/>
      <c r="O637" s="145"/>
      <c r="P637" s="145"/>
      <c r="Q637" s="145"/>
      <c r="R637" s="145"/>
      <c r="S637" s="22"/>
      <c r="T637" s="145"/>
      <c r="U637" s="145"/>
      <c r="V637" s="145"/>
      <c r="W637" s="145"/>
      <c r="X637" s="53"/>
      <c r="Y637" s="74"/>
      <c r="Z637" s="145"/>
      <c r="AA637" s="145"/>
      <c r="AB637" s="145"/>
      <c r="AC637" s="146"/>
      <c r="AD637" s="145"/>
      <c r="AE637" s="145"/>
      <c r="AF637" s="145"/>
      <c r="AG637" s="145"/>
      <c r="AH637" s="146"/>
      <c r="AI637" s="145"/>
      <c r="AJ637" s="145"/>
      <c r="AK637" s="145"/>
      <c r="AL637" s="145"/>
      <c r="AM637" s="145"/>
      <c r="AN637" s="145"/>
      <c r="AO637" s="145"/>
      <c r="AP637" s="74"/>
      <c r="AQ637" s="74"/>
      <c r="AR637" s="74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</row>
    <row r="638" spans="1:85" ht="15.75" customHeight="1" x14ac:dyDescent="0.45">
      <c r="A638" s="22"/>
      <c r="B638" s="12"/>
      <c r="C638" s="12"/>
      <c r="D638" s="155"/>
      <c r="E638" s="22"/>
      <c r="F638" s="22"/>
      <c r="G638" s="12"/>
      <c r="H638" s="22"/>
      <c r="I638" s="22"/>
      <c r="J638" s="22"/>
      <c r="K638" s="22"/>
      <c r="L638" s="22"/>
      <c r="M638" s="22"/>
      <c r="N638" s="22"/>
      <c r="O638" s="145"/>
      <c r="P638" s="145"/>
      <c r="Q638" s="145"/>
      <c r="R638" s="145"/>
      <c r="S638" s="22"/>
      <c r="T638" s="145"/>
      <c r="U638" s="145"/>
      <c r="V638" s="145"/>
      <c r="W638" s="145"/>
      <c r="X638" s="53"/>
      <c r="Y638" s="74"/>
      <c r="Z638" s="145"/>
      <c r="AA638" s="145"/>
      <c r="AB638" s="145"/>
      <c r="AC638" s="146"/>
      <c r="AD638" s="145"/>
      <c r="AE638" s="145"/>
      <c r="AF638" s="145"/>
      <c r="AG638" s="145"/>
      <c r="AH638" s="146"/>
      <c r="AI638" s="145"/>
      <c r="AJ638" s="145"/>
      <c r="AK638" s="145"/>
      <c r="AL638" s="145"/>
      <c r="AM638" s="145"/>
      <c r="AN638" s="145"/>
      <c r="AO638" s="145"/>
      <c r="AP638" s="74"/>
      <c r="AQ638" s="74"/>
      <c r="AR638" s="74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</row>
    <row r="639" spans="1:85" ht="15.75" customHeight="1" x14ac:dyDescent="0.45">
      <c r="A639" s="22"/>
      <c r="B639" s="12"/>
      <c r="C639" s="12"/>
      <c r="D639" s="155"/>
      <c r="E639" s="22"/>
      <c r="F639" s="22"/>
      <c r="G639" s="12"/>
      <c r="H639" s="22"/>
      <c r="I639" s="22"/>
      <c r="J639" s="22"/>
      <c r="K639" s="22"/>
      <c r="L639" s="22"/>
      <c r="M639" s="22"/>
      <c r="N639" s="22"/>
      <c r="O639" s="145"/>
      <c r="P639" s="145"/>
      <c r="Q639" s="145"/>
      <c r="R639" s="145"/>
      <c r="S639" s="22"/>
      <c r="T639" s="145"/>
      <c r="U639" s="145"/>
      <c r="V639" s="145"/>
      <c r="W639" s="145"/>
      <c r="X639" s="53"/>
      <c r="Y639" s="74"/>
      <c r="Z639" s="145"/>
      <c r="AA639" s="145"/>
      <c r="AB639" s="145"/>
      <c r="AC639" s="146"/>
      <c r="AD639" s="145"/>
      <c r="AE639" s="145"/>
      <c r="AF639" s="145"/>
      <c r="AG639" s="145"/>
      <c r="AH639" s="146"/>
      <c r="AI639" s="145"/>
      <c r="AJ639" s="145"/>
      <c r="AK639" s="145"/>
      <c r="AL639" s="145"/>
      <c r="AM639" s="145"/>
      <c r="AN639" s="145"/>
      <c r="AO639" s="145"/>
      <c r="AP639" s="74"/>
      <c r="AQ639" s="74"/>
      <c r="AR639" s="74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</row>
    <row r="640" spans="1:85" ht="15.75" customHeight="1" x14ac:dyDescent="0.45">
      <c r="A640" s="22"/>
      <c r="B640" s="12"/>
      <c r="C640" s="12"/>
      <c r="D640" s="155"/>
      <c r="E640" s="22"/>
      <c r="F640" s="22"/>
      <c r="G640" s="12"/>
      <c r="H640" s="22"/>
      <c r="I640" s="22"/>
      <c r="J640" s="22"/>
      <c r="K640" s="22"/>
      <c r="L640" s="22"/>
      <c r="M640" s="22"/>
      <c r="N640" s="22"/>
      <c r="O640" s="145"/>
      <c r="P640" s="145"/>
      <c r="Q640" s="145"/>
      <c r="R640" s="145"/>
      <c r="S640" s="22"/>
      <c r="T640" s="145"/>
      <c r="U640" s="145"/>
      <c r="V640" s="145"/>
      <c r="W640" s="145"/>
      <c r="X640" s="53"/>
      <c r="Y640" s="74"/>
      <c r="Z640" s="145"/>
      <c r="AA640" s="145"/>
      <c r="AB640" s="145"/>
      <c r="AC640" s="146"/>
      <c r="AD640" s="145"/>
      <c r="AE640" s="145"/>
      <c r="AF640" s="145"/>
      <c r="AG640" s="145"/>
      <c r="AH640" s="146"/>
      <c r="AI640" s="145"/>
      <c r="AJ640" s="145"/>
      <c r="AK640" s="145"/>
      <c r="AL640" s="145"/>
      <c r="AM640" s="145"/>
      <c r="AN640" s="145"/>
      <c r="AO640" s="145"/>
      <c r="AP640" s="74"/>
      <c r="AQ640" s="74"/>
      <c r="AR640" s="74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</row>
    <row r="641" spans="1:85" ht="15.75" customHeight="1" x14ac:dyDescent="0.45">
      <c r="A641" s="22"/>
      <c r="B641" s="12"/>
      <c r="C641" s="12"/>
      <c r="D641" s="155"/>
      <c r="E641" s="22"/>
      <c r="F641" s="22"/>
      <c r="G641" s="12"/>
      <c r="H641" s="22"/>
      <c r="I641" s="22"/>
      <c r="J641" s="22"/>
      <c r="K641" s="22"/>
      <c r="L641" s="22"/>
      <c r="M641" s="22"/>
      <c r="N641" s="22"/>
      <c r="O641" s="145"/>
      <c r="P641" s="145"/>
      <c r="Q641" s="145"/>
      <c r="R641" s="145"/>
      <c r="S641" s="22"/>
      <c r="T641" s="145"/>
      <c r="U641" s="145"/>
      <c r="V641" s="145"/>
      <c r="W641" s="145"/>
      <c r="X641" s="53"/>
      <c r="Y641" s="74"/>
      <c r="Z641" s="145"/>
      <c r="AA641" s="145"/>
      <c r="AB641" s="145"/>
      <c r="AC641" s="146"/>
      <c r="AD641" s="145"/>
      <c r="AE641" s="145"/>
      <c r="AF641" s="145"/>
      <c r="AG641" s="145"/>
      <c r="AH641" s="146"/>
      <c r="AI641" s="145"/>
      <c r="AJ641" s="145"/>
      <c r="AK641" s="145"/>
      <c r="AL641" s="145"/>
      <c r="AM641" s="145"/>
      <c r="AN641" s="145"/>
      <c r="AO641" s="145"/>
      <c r="AP641" s="74"/>
      <c r="AQ641" s="74"/>
      <c r="AR641" s="74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</row>
    <row r="642" spans="1:85" ht="15.75" customHeight="1" x14ac:dyDescent="0.45">
      <c r="A642" s="22"/>
      <c r="B642" s="12"/>
      <c r="C642" s="12"/>
      <c r="D642" s="155"/>
      <c r="E642" s="22"/>
      <c r="F642" s="22"/>
      <c r="G642" s="12"/>
      <c r="H642" s="22"/>
      <c r="I642" s="22"/>
      <c r="J642" s="22"/>
      <c r="K642" s="22"/>
      <c r="L642" s="22"/>
      <c r="M642" s="22"/>
      <c r="N642" s="22"/>
      <c r="O642" s="145"/>
      <c r="P642" s="145"/>
      <c r="Q642" s="145"/>
      <c r="R642" s="145"/>
      <c r="S642" s="22"/>
      <c r="T642" s="145"/>
      <c r="U642" s="145"/>
      <c r="V642" s="145"/>
      <c r="W642" s="145"/>
      <c r="X642" s="53"/>
      <c r="Y642" s="74"/>
      <c r="Z642" s="145"/>
      <c r="AA642" s="145"/>
      <c r="AB642" s="145"/>
      <c r="AC642" s="146"/>
      <c r="AD642" s="145"/>
      <c r="AE642" s="145"/>
      <c r="AF642" s="145"/>
      <c r="AG642" s="145"/>
      <c r="AH642" s="146"/>
      <c r="AI642" s="145"/>
      <c r="AJ642" s="145"/>
      <c r="AK642" s="145"/>
      <c r="AL642" s="145"/>
      <c r="AM642" s="145"/>
      <c r="AN642" s="145"/>
      <c r="AO642" s="145"/>
      <c r="AP642" s="74"/>
      <c r="AQ642" s="74"/>
      <c r="AR642" s="74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</row>
    <row r="643" spans="1:85" ht="15.75" customHeight="1" x14ac:dyDescent="0.45">
      <c r="A643" s="22"/>
      <c r="B643" s="12"/>
      <c r="C643" s="12"/>
      <c r="D643" s="155"/>
      <c r="E643" s="22"/>
      <c r="F643" s="22"/>
      <c r="G643" s="12"/>
      <c r="H643" s="22"/>
      <c r="I643" s="22"/>
      <c r="J643" s="22"/>
      <c r="K643" s="22"/>
      <c r="L643" s="22"/>
      <c r="M643" s="22"/>
      <c r="N643" s="22"/>
      <c r="O643" s="145"/>
      <c r="P643" s="145"/>
      <c r="Q643" s="145"/>
      <c r="R643" s="145"/>
      <c r="S643" s="22"/>
      <c r="T643" s="145"/>
      <c r="U643" s="145"/>
      <c r="V643" s="145"/>
      <c r="W643" s="145"/>
      <c r="X643" s="53"/>
      <c r="Y643" s="74"/>
      <c r="Z643" s="145"/>
      <c r="AA643" s="145"/>
      <c r="AB643" s="145"/>
      <c r="AC643" s="146"/>
      <c r="AD643" s="145"/>
      <c r="AE643" s="145"/>
      <c r="AF643" s="145"/>
      <c r="AG643" s="145"/>
      <c r="AH643" s="146"/>
      <c r="AI643" s="145"/>
      <c r="AJ643" s="145"/>
      <c r="AK643" s="145"/>
      <c r="AL643" s="145"/>
      <c r="AM643" s="145"/>
      <c r="AN643" s="145"/>
      <c r="AO643" s="145"/>
      <c r="AP643" s="74"/>
      <c r="AQ643" s="74"/>
      <c r="AR643" s="74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</row>
    <row r="644" spans="1:85" ht="15.75" customHeight="1" x14ac:dyDescent="0.45">
      <c r="A644" s="22"/>
      <c r="B644" s="12"/>
      <c r="C644" s="12"/>
      <c r="D644" s="155"/>
      <c r="E644" s="22"/>
      <c r="F644" s="22"/>
      <c r="G644" s="12"/>
      <c r="H644" s="22"/>
      <c r="I644" s="22"/>
      <c r="J644" s="22"/>
      <c r="K644" s="22"/>
      <c r="L644" s="22"/>
      <c r="M644" s="22"/>
      <c r="N644" s="22"/>
      <c r="O644" s="145"/>
      <c r="P644" s="145"/>
      <c r="Q644" s="145"/>
      <c r="R644" s="145"/>
      <c r="S644" s="22"/>
      <c r="T644" s="145"/>
      <c r="U644" s="145"/>
      <c r="V644" s="145"/>
      <c r="W644" s="145"/>
      <c r="X644" s="53"/>
      <c r="Y644" s="74"/>
      <c r="Z644" s="145"/>
      <c r="AA644" s="145"/>
      <c r="AB644" s="145"/>
      <c r="AC644" s="146"/>
      <c r="AD644" s="145"/>
      <c r="AE644" s="145"/>
      <c r="AF644" s="145"/>
      <c r="AG644" s="145"/>
      <c r="AH644" s="146"/>
      <c r="AI644" s="145"/>
      <c r="AJ644" s="145"/>
      <c r="AK644" s="145"/>
      <c r="AL644" s="145"/>
      <c r="AM644" s="145"/>
      <c r="AN644" s="145"/>
      <c r="AO644" s="145"/>
      <c r="AP644" s="74"/>
      <c r="AQ644" s="74"/>
      <c r="AR644" s="74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</row>
    <row r="645" spans="1:85" ht="15.75" customHeight="1" x14ac:dyDescent="0.45">
      <c r="A645" s="22"/>
      <c r="B645" s="12"/>
      <c r="C645" s="12"/>
      <c r="D645" s="155"/>
      <c r="E645" s="22"/>
      <c r="F645" s="22"/>
      <c r="G645" s="12"/>
      <c r="H645" s="22"/>
      <c r="I645" s="22"/>
      <c r="J645" s="22"/>
      <c r="K645" s="22"/>
      <c r="L645" s="22"/>
      <c r="M645" s="22"/>
      <c r="N645" s="22"/>
      <c r="O645" s="145"/>
      <c r="P645" s="145"/>
      <c r="Q645" s="145"/>
      <c r="R645" s="145"/>
      <c r="S645" s="22"/>
      <c r="T645" s="145"/>
      <c r="U645" s="145"/>
      <c r="V645" s="145"/>
      <c r="W645" s="145"/>
      <c r="X645" s="53"/>
      <c r="Y645" s="74"/>
      <c r="Z645" s="145"/>
      <c r="AA645" s="145"/>
      <c r="AB645" s="145"/>
      <c r="AC645" s="146"/>
      <c r="AD645" s="145"/>
      <c r="AE645" s="145"/>
      <c r="AF645" s="145"/>
      <c r="AG645" s="145"/>
      <c r="AH645" s="146"/>
      <c r="AI645" s="145"/>
      <c r="AJ645" s="145"/>
      <c r="AK645" s="145"/>
      <c r="AL645" s="145"/>
      <c r="AM645" s="145"/>
      <c r="AN645" s="145"/>
      <c r="AO645" s="145"/>
      <c r="AP645" s="74"/>
      <c r="AQ645" s="74"/>
      <c r="AR645" s="74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</row>
    <row r="646" spans="1:85" ht="15.75" customHeight="1" x14ac:dyDescent="0.45">
      <c r="A646" s="22"/>
      <c r="B646" s="12"/>
      <c r="C646" s="12"/>
      <c r="D646" s="155"/>
      <c r="E646" s="22"/>
      <c r="F646" s="22"/>
      <c r="G646" s="12"/>
      <c r="H646" s="22"/>
      <c r="I646" s="22"/>
      <c r="J646" s="22"/>
      <c r="K646" s="22"/>
      <c r="L646" s="22"/>
      <c r="M646" s="22"/>
      <c r="N646" s="22"/>
      <c r="O646" s="145"/>
      <c r="P646" s="145"/>
      <c r="Q646" s="145"/>
      <c r="R646" s="145"/>
      <c r="S646" s="22"/>
      <c r="T646" s="145"/>
      <c r="U646" s="145"/>
      <c r="V646" s="145"/>
      <c r="W646" s="145"/>
      <c r="X646" s="53"/>
      <c r="Y646" s="74"/>
      <c r="Z646" s="145"/>
      <c r="AA646" s="145"/>
      <c r="AB646" s="145"/>
      <c r="AC646" s="146"/>
      <c r="AD646" s="145"/>
      <c r="AE646" s="145"/>
      <c r="AF646" s="145"/>
      <c r="AG646" s="145"/>
      <c r="AH646" s="146"/>
      <c r="AI646" s="145"/>
      <c r="AJ646" s="145"/>
      <c r="AK646" s="145"/>
      <c r="AL646" s="145"/>
      <c r="AM646" s="145"/>
      <c r="AN646" s="145"/>
      <c r="AO646" s="145"/>
      <c r="AP646" s="74"/>
      <c r="AQ646" s="74"/>
      <c r="AR646" s="74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</row>
    <row r="647" spans="1:85" ht="15.75" customHeight="1" x14ac:dyDescent="0.45">
      <c r="A647" s="22"/>
      <c r="B647" s="12"/>
      <c r="C647" s="12"/>
      <c r="D647" s="155"/>
      <c r="E647" s="22"/>
      <c r="F647" s="22"/>
      <c r="G647" s="12"/>
      <c r="H647" s="22"/>
      <c r="I647" s="22"/>
      <c r="J647" s="22"/>
      <c r="K647" s="22"/>
      <c r="L647" s="22"/>
      <c r="M647" s="22"/>
      <c r="N647" s="22"/>
      <c r="O647" s="145"/>
      <c r="P647" s="145"/>
      <c r="Q647" s="145"/>
      <c r="R647" s="145"/>
      <c r="S647" s="22"/>
      <c r="T647" s="145"/>
      <c r="U647" s="145"/>
      <c r="V647" s="145"/>
      <c r="W647" s="145"/>
      <c r="X647" s="53"/>
      <c r="Y647" s="74"/>
      <c r="Z647" s="145"/>
      <c r="AA647" s="145"/>
      <c r="AB647" s="145"/>
      <c r="AC647" s="146"/>
      <c r="AD647" s="145"/>
      <c r="AE647" s="145"/>
      <c r="AF647" s="145"/>
      <c r="AG647" s="145"/>
      <c r="AH647" s="146"/>
      <c r="AI647" s="145"/>
      <c r="AJ647" s="145"/>
      <c r="AK647" s="145"/>
      <c r="AL647" s="145"/>
      <c r="AM647" s="145"/>
      <c r="AN647" s="145"/>
      <c r="AO647" s="145"/>
      <c r="AP647" s="74"/>
      <c r="AQ647" s="74"/>
      <c r="AR647" s="74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</row>
    <row r="648" spans="1:85" ht="15.75" customHeight="1" x14ac:dyDescent="0.45">
      <c r="A648" s="22"/>
      <c r="B648" s="12"/>
      <c r="C648" s="12"/>
      <c r="D648" s="155"/>
      <c r="E648" s="22"/>
      <c r="F648" s="22"/>
      <c r="G648" s="12"/>
      <c r="H648" s="22"/>
      <c r="I648" s="22"/>
      <c r="J648" s="22"/>
      <c r="K648" s="22"/>
      <c r="L648" s="22"/>
      <c r="M648" s="22"/>
      <c r="N648" s="22"/>
      <c r="O648" s="145"/>
      <c r="P648" s="145"/>
      <c r="Q648" s="145"/>
      <c r="R648" s="145"/>
      <c r="S648" s="22"/>
      <c r="T648" s="145"/>
      <c r="U648" s="145"/>
      <c r="V648" s="145"/>
      <c r="W648" s="145"/>
      <c r="X648" s="53"/>
      <c r="Y648" s="74"/>
      <c r="Z648" s="145"/>
      <c r="AA648" s="145"/>
      <c r="AB648" s="145"/>
      <c r="AC648" s="146"/>
      <c r="AD648" s="145"/>
      <c r="AE648" s="145"/>
      <c r="AF648" s="145"/>
      <c r="AG648" s="145"/>
      <c r="AH648" s="146"/>
      <c r="AI648" s="145"/>
      <c r="AJ648" s="145"/>
      <c r="AK648" s="145"/>
      <c r="AL648" s="145"/>
      <c r="AM648" s="145"/>
      <c r="AN648" s="145"/>
      <c r="AO648" s="145"/>
      <c r="AP648" s="74"/>
      <c r="AQ648" s="74"/>
      <c r="AR648" s="74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</row>
    <row r="649" spans="1:85" ht="15.75" customHeight="1" x14ac:dyDescent="0.45">
      <c r="A649" s="22"/>
      <c r="B649" s="12"/>
      <c r="C649" s="12"/>
      <c r="D649" s="155"/>
      <c r="E649" s="22"/>
      <c r="F649" s="22"/>
      <c r="G649" s="12"/>
      <c r="H649" s="22"/>
      <c r="I649" s="22"/>
      <c r="J649" s="22"/>
      <c r="K649" s="22"/>
      <c r="L649" s="22"/>
      <c r="M649" s="22"/>
      <c r="N649" s="22"/>
      <c r="O649" s="145"/>
      <c r="P649" s="145"/>
      <c r="Q649" s="145"/>
      <c r="R649" s="145"/>
      <c r="S649" s="22"/>
      <c r="T649" s="145"/>
      <c r="U649" s="145"/>
      <c r="V649" s="145"/>
      <c r="W649" s="145"/>
      <c r="X649" s="53"/>
      <c r="Y649" s="74"/>
      <c r="Z649" s="145"/>
      <c r="AA649" s="145"/>
      <c r="AB649" s="145"/>
      <c r="AC649" s="146"/>
      <c r="AD649" s="145"/>
      <c r="AE649" s="145"/>
      <c r="AF649" s="145"/>
      <c r="AG649" s="145"/>
      <c r="AH649" s="146"/>
      <c r="AI649" s="145"/>
      <c r="AJ649" s="145"/>
      <c r="AK649" s="145"/>
      <c r="AL649" s="145"/>
      <c r="AM649" s="145"/>
      <c r="AN649" s="145"/>
      <c r="AO649" s="145"/>
      <c r="AP649" s="74"/>
      <c r="AQ649" s="74"/>
      <c r="AR649" s="74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</row>
    <row r="650" spans="1:85" ht="15.75" customHeight="1" x14ac:dyDescent="0.45">
      <c r="A650" s="22"/>
      <c r="B650" s="12"/>
      <c r="C650" s="12"/>
      <c r="D650" s="155"/>
      <c r="E650" s="22"/>
      <c r="F650" s="22"/>
      <c r="G650" s="12"/>
      <c r="H650" s="22"/>
      <c r="I650" s="22"/>
      <c r="J650" s="22"/>
      <c r="K650" s="22"/>
      <c r="L650" s="22"/>
      <c r="M650" s="22"/>
      <c r="N650" s="22"/>
      <c r="O650" s="145"/>
      <c r="P650" s="145"/>
      <c r="Q650" s="145"/>
      <c r="R650" s="145"/>
      <c r="S650" s="22"/>
      <c r="T650" s="145"/>
      <c r="U650" s="145"/>
      <c r="V650" s="145"/>
      <c r="W650" s="145"/>
      <c r="X650" s="53"/>
      <c r="Y650" s="74"/>
      <c r="Z650" s="145"/>
      <c r="AA650" s="145"/>
      <c r="AB650" s="145"/>
      <c r="AC650" s="146"/>
      <c r="AD650" s="145"/>
      <c r="AE650" s="145"/>
      <c r="AF650" s="145"/>
      <c r="AG650" s="145"/>
      <c r="AH650" s="146"/>
      <c r="AI650" s="145"/>
      <c r="AJ650" s="145"/>
      <c r="AK650" s="145"/>
      <c r="AL650" s="145"/>
      <c r="AM650" s="145"/>
      <c r="AN650" s="145"/>
      <c r="AO650" s="145"/>
      <c r="AP650" s="74"/>
      <c r="AQ650" s="74"/>
      <c r="AR650" s="74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</row>
    <row r="651" spans="1:85" ht="15.75" customHeight="1" x14ac:dyDescent="0.45">
      <c r="A651" s="22"/>
      <c r="B651" s="12"/>
      <c r="C651" s="12"/>
      <c r="D651" s="155"/>
      <c r="E651" s="22"/>
      <c r="F651" s="22"/>
      <c r="G651" s="12"/>
      <c r="H651" s="22"/>
      <c r="I651" s="22"/>
      <c r="J651" s="22"/>
      <c r="K651" s="22"/>
      <c r="L651" s="22"/>
      <c r="M651" s="22"/>
      <c r="N651" s="22"/>
      <c r="O651" s="145"/>
      <c r="P651" s="145"/>
      <c r="Q651" s="145"/>
      <c r="R651" s="145"/>
      <c r="S651" s="22"/>
      <c r="T651" s="145"/>
      <c r="U651" s="145"/>
      <c r="V651" s="145"/>
      <c r="W651" s="145"/>
      <c r="X651" s="53"/>
      <c r="Y651" s="74"/>
      <c r="Z651" s="145"/>
      <c r="AA651" s="145"/>
      <c r="AB651" s="145"/>
      <c r="AC651" s="146"/>
      <c r="AD651" s="145"/>
      <c r="AE651" s="145"/>
      <c r="AF651" s="145"/>
      <c r="AG651" s="145"/>
      <c r="AH651" s="146"/>
      <c r="AI651" s="145"/>
      <c r="AJ651" s="145"/>
      <c r="AK651" s="145"/>
      <c r="AL651" s="145"/>
      <c r="AM651" s="145"/>
      <c r="AN651" s="145"/>
      <c r="AO651" s="145"/>
      <c r="AP651" s="74"/>
      <c r="AQ651" s="74"/>
      <c r="AR651" s="74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</row>
    <row r="652" spans="1:85" ht="15.75" customHeight="1" x14ac:dyDescent="0.45">
      <c r="A652" s="22"/>
      <c r="B652" s="12"/>
      <c r="C652" s="12"/>
      <c r="D652" s="155"/>
      <c r="E652" s="22"/>
      <c r="F652" s="22"/>
      <c r="G652" s="12"/>
      <c r="H652" s="22"/>
      <c r="I652" s="22"/>
      <c r="J652" s="22"/>
      <c r="K652" s="22"/>
      <c r="L652" s="22"/>
      <c r="M652" s="22"/>
      <c r="N652" s="22"/>
      <c r="O652" s="145"/>
      <c r="P652" s="145"/>
      <c r="Q652" s="145"/>
      <c r="R652" s="145"/>
      <c r="S652" s="22"/>
      <c r="T652" s="145"/>
      <c r="U652" s="145"/>
      <c r="V652" s="145"/>
      <c r="W652" s="145"/>
      <c r="X652" s="53"/>
      <c r="Y652" s="74"/>
      <c r="Z652" s="145"/>
      <c r="AA652" s="145"/>
      <c r="AB652" s="145"/>
      <c r="AC652" s="146"/>
      <c r="AD652" s="145"/>
      <c r="AE652" s="145"/>
      <c r="AF652" s="145"/>
      <c r="AG652" s="145"/>
      <c r="AH652" s="146"/>
      <c r="AI652" s="145"/>
      <c r="AJ652" s="145"/>
      <c r="AK652" s="145"/>
      <c r="AL652" s="145"/>
      <c r="AM652" s="145"/>
      <c r="AN652" s="145"/>
      <c r="AO652" s="145"/>
      <c r="AP652" s="74"/>
      <c r="AQ652" s="74"/>
      <c r="AR652" s="74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</row>
    <row r="653" spans="1:85" ht="15.75" customHeight="1" x14ac:dyDescent="0.45">
      <c r="A653" s="22"/>
      <c r="B653" s="12"/>
      <c r="C653" s="12"/>
      <c r="D653" s="155"/>
      <c r="E653" s="22"/>
      <c r="F653" s="22"/>
      <c r="G653" s="12"/>
      <c r="H653" s="22"/>
      <c r="I653" s="22"/>
      <c r="J653" s="22"/>
      <c r="K653" s="22"/>
      <c r="L653" s="22"/>
      <c r="M653" s="22"/>
      <c r="N653" s="22"/>
      <c r="O653" s="145"/>
      <c r="P653" s="145"/>
      <c r="Q653" s="145"/>
      <c r="R653" s="145"/>
      <c r="S653" s="22"/>
      <c r="T653" s="145"/>
      <c r="U653" s="145"/>
      <c r="V653" s="145"/>
      <c r="W653" s="145"/>
      <c r="X653" s="53"/>
      <c r="Y653" s="74"/>
      <c r="Z653" s="145"/>
      <c r="AA653" s="145"/>
      <c r="AB653" s="145"/>
      <c r="AC653" s="146"/>
      <c r="AD653" s="145"/>
      <c r="AE653" s="145"/>
      <c r="AF653" s="145"/>
      <c r="AG653" s="145"/>
      <c r="AH653" s="146"/>
      <c r="AI653" s="145"/>
      <c r="AJ653" s="145"/>
      <c r="AK653" s="145"/>
      <c r="AL653" s="145"/>
      <c r="AM653" s="145"/>
      <c r="AN653" s="145"/>
      <c r="AO653" s="145"/>
      <c r="AP653" s="74"/>
      <c r="AQ653" s="74"/>
      <c r="AR653" s="74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</row>
    <row r="654" spans="1:85" ht="15.75" customHeight="1" x14ac:dyDescent="0.45">
      <c r="A654" s="22"/>
      <c r="B654" s="12"/>
      <c r="C654" s="12"/>
      <c r="D654" s="155"/>
      <c r="E654" s="22"/>
      <c r="F654" s="22"/>
      <c r="G654" s="12"/>
      <c r="H654" s="22"/>
      <c r="I654" s="22"/>
      <c r="J654" s="22"/>
      <c r="K654" s="22"/>
      <c r="L654" s="22"/>
      <c r="M654" s="22"/>
      <c r="N654" s="22"/>
      <c r="O654" s="145"/>
      <c r="P654" s="145"/>
      <c r="Q654" s="145"/>
      <c r="R654" s="145"/>
      <c r="S654" s="22"/>
      <c r="T654" s="145"/>
      <c r="U654" s="145"/>
      <c r="V654" s="145"/>
      <c r="W654" s="145"/>
      <c r="X654" s="53"/>
      <c r="Y654" s="74"/>
      <c r="Z654" s="145"/>
      <c r="AA654" s="145"/>
      <c r="AB654" s="145"/>
      <c r="AC654" s="146"/>
      <c r="AD654" s="145"/>
      <c r="AE654" s="145"/>
      <c r="AF654" s="145"/>
      <c r="AG654" s="145"/>
      <c r="AH654" s="146"/>
      <c r="AI654" s="145"/>
      <c r="AJ654" s="145"/>
      <c r="AK654" s="145"/>
      <c r="AL654" s="145"/>
      <c r="AM654" s="145"/>
      <c r="AN654" s="145"/>
      <c r="AO654" s="145"/>
      <c r="AP654" s="74"/>
      <c r="AQ654" s="74"/>
      <c r="AR654" s="74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</row>
    <row r="655" spans="1:85" ht="15.75" customHeight="1" x14ac:dyDescent="0.45">
      <c r="A655" s="22"/>
      <c r="B655" s="12"/>
      <c r="C655" s="12"/>
      <c r="D655" s="155"/>
      <c r="E655" s="22"/>
      <c r="F655" s="22"/>
      <c r="G655" s="12"/>
      <c r="H655" s="22"/>
      <c r="I655" s="22"/>
      <c r="J655" s="22"/>
      <c r="K655" s="22"/>
      <c r="L655" s="22"/>
      <c r="M655" s="22"/>
      <c r="N655" s="22"/>
      <c r="O655" s="145"/>
      <c r="P655" s="145"/>
      <c r="Q655" s="145"/>
      <c r="R655" s="145"/>
      <c r="S655" s="22"/>
      <c r="T655" s="145"/>
      <c r="U655" s="145"/>
      <c r="V655" s="145"/>
      <c r="W655" s="145"/>
      <c r="X655" s="53"/>
      <c r="Y655" s="74"/>
      <c r="Z655" s="145"/>
      <c r="AA655" s="145"/>
      <c r="AB655" s="145"/>
      <c r="AC655" s="146"/>
      <c r="AD655" s="145"/>
      <c r="AE655" s="145"/>
      <c r="AF655" s="145"/>
      <c r="AG655" s="145"/>
      <c r="AH655" s="146"/>
      <c r="AI655" s="145"/>
      <c r="AJ655" s="145"/>
      <c r="AK655" s="145"/>
      <c r="AL655" s="145"/>
      <c r="AM655" s="145"/>
      <c r="AN655" s="145"/>
      <c r="AO655" s="145"/>
      <c r="AP655" s="74"/>
      <c r="AQ655" s="74"/>
      <c r="AR655" s="74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</row>
    <row r="656" spans="1:85" ht="15.75" customHeight="1" x14ac:dyDescent="0.45">
      <c r="A656" s="22"/>
      <c r="B656" s="12"/>
      <c r="C656" s="12"/>
      <c r="D656" s="155"/>
      <c r="E656" s="22"/>
      <c r="F656" s="22"/>
      <c r="G656" s="12"/>
      <c r="H656" s="22"/>
      <c r="I656" s="22"/>
      <c r="J656" s="22"/>
      <c r="K656" s="22"/>
      <c r="L656" s="22"/>
      <c r="M656" s="22"/>
      <c r="N656" s="22"/>
      <c r="O656" s="145"/>
      <c r="P656" s="145"/>
      <c r="Q656" s="145"/>
      <c r="R656" s="145"/>
      <c r="S656" s="22"/>
      <c r="T656" s="145"/>
      <c r="U656" s="145"/>
      <c r="V656" s="145"/>
      <c r="W656" s="145"/>
      <c r="X656" s="53"/>
      <c r="Y656" s="74"/>
      <c r="Z656" s="145"/>
      <c r="AA656" s="145"/>
      <c r="AB656" s="145"/>
      <c r="AC656" s="146"/>
      <c r="AD656" s="145"/>
      <c r="AE656" s="145"/>
      <c r="AF656" s="145"/>
      <c r="AG656" s="145"/>
      <c r="AH656" s="146"/>
      <c r="AI656" s="145"/>
      <c r="AJ656" s="145"/>
      <c r="AK656" s="145"/>
      <c r="AL656" s="145"/>
      <c r="AM656" s="145"/>
      <c r="AN656" s="145"/>
      <c r="AO656" s="145"/>
      <c r="AP656" s="74"/>
      <c r="AQ656" s="74"/>
      <c r="AR656" s="74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</row>
    <row r="657" spans="1:85" ht="15.75" customHeight="1" x14ac:dyDescent="0.45">
      <c r="A657" s="22"/>
      <c r="B657" s="12"/>
      <c r="C657" s="12"/>
      <c r="D657" s="155"/>
      <c r="E657" s="22"/>
      <c r="F657" s="22"/>
      <c r="G657" s="12"/>
      <c r="H657" s="22"/>
      <c r="I657" s="22"/>
      <c r="J657" s="22"/>
      <c r="K657" s="22"/>
      <c r="L657" s="22"/>
      <c r="M657" s="22"/>
      <c r="N657" s="22"/>
      <c r="O657" s="145"/>
      <c r="P657" s="145"/>
      <c r="Q657" s="145"/>
      <c r="R657" s="145"/>
      <c r="S657" s="22"/>
      <c r="T657" s="145"/>
      <c r="U657" s="145"/>
      <c r="V657" s="145"/>
      <c r="W657" s="145"/>
      <c r="X657" s="53"/>
      <c r="Y657" s="74"/>
      <c r="Z657" s="145"/>
      <c r="AA657" s="145"/>
      <c r="AB657" s="145"/>
      <c r="AC657" s="146"/>
      <c r="AD657" s="145"/>
      <c r="AE657" s="145"/>
      <c r="AF657" s="145"/>
      <c r="AG657" s="145"/>
      <c r="AH657" s="146"/>
      <c r="AI657" s="145"/>
      <c r="AJ657" s="145"/>
      <c r="AK657" s="145"/>
      <c r="AL657" s="145"/>
      <c r="AM657" s="145"/>
      <c r="AN657" s="145"/>
      <c r="AO657" s="145"/>
      <c r="AP657" s="74"/>
      <c r="AQ657" s="74"/>
      <c r="AR657" s="74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</row>
    <row r="658" spans="1:85" ht="15.75" customHeight="1" x14ac:dyDescent="0.45">
      <c r="A658" s="22"/>
      <c r="B658" s="12"/>
      <c r="C658" s="12"/>
      <c r="D658" s="155"/>
      <c r="E658" s="22"/>
      <c r="F658" s="22"/>
      <c r="G658" s="12"/>
      <c r="H658" s="22"/>
      <c r="I658" s="22"/>
      <c r="J658" s="22"/>
      <c r="K658" s="22"/>
      <c r="L658" s="22"/>
      <c r="M658" s="22"/>
      <c r="N658" s="22"/>
      <c r="O658" s="145"/>
      <c r="P658" s="145"/>
      <c r="Q658" s="145"/>
      <c r="R658" s="145"/>
      <c r="S658" s="22"/>
      <c r="T658" s="145"/>
      <c r="U658" s="145"/>
      <c r="V658" s="145"/>
      <c r="W658" s="145"/>
      <c r="X658" s="53"/>
      <c r="Y658" s="74"/>
      <c r="Z658" s="145"/>
      <c r="AA658" s="145"/>
      <c r="AB658" s="145"/>
      <c r="AC658" s="146"/>
      <c r="AD658" s="145"/>
      <c r="AE658" s="145"/>
      <c r="AF658" s="145"/>
      <c r="AG658" s="145"/>
      <c r="AH658" s="146"/>
      <c r="AI658" s="145"/>
      <c r="AJ658" s="145"/>
      <c r="AK658" s="145"/>
      <c r="AL658" s="145"/>
      <c r="AM658" s="145"/>
      <c r="AN658" s="145"/>
      <c r="AO658" s="145"/>
      <c r="AP658" s="74"/>
      <c r="AQ658" s="74"/>
      <c r="AR658" s="74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</row>
    <row r="659" spans="1:85" ht="15.75" customHeight="1" x14ac:dyDescent="0.45">
      <c r="A659" s="22"/>
      <c r="B659" s="12"/>
      <c r="C659" s="12"/>
      <c r="D659" s="155"/>
      <c r="E659" s="22"/>
      <c r="F659" s="22"/>
      <c r="G659" s="12"/>
      <c r="H659" s="22"/>
      <c r="I659" s="22"/>
      <c r="J659" s="22"/>
      <c r="K659" s="22"/>
      <c r="L659" s="22"/>
      <c r="M659" s="22"/>
      <c r="N659" s="22"/>
      <c r="O659" s="145"/>
      <c r="P659" s="145"/>
      <c r="Q659" s="145"/>
      <c r="R659" s="145"/>
      <c r="S659" s="22"/>
      <c r="T659" s="145"/>
      <c r="U659" s="145"/>
      <c r="V659" s="145"/>
      <c r="W659" s="145"/>
      <c r="X659" s="53"/>
      <c r="Y659" s="74"/>
      <c r="Z659" s="145"/>
      <c r="AA659" s="145"/>
      <c r="AB659" s="145"/>
      <c r="AC659" s="146"/>
      <c r="AD659" s="145"/>
      <c r="AE659" s="145"/>
      <c r="AF659" s="145"/>
      <c r="AG659" s="145"/>
      <c r="AH659" s="146"/>
      <c r="AI659" s="145"/>
      <c r="AJ659" s="145"/>
      <c r="AK659" s="145"/>
      <c r="AL659" s="145"/>
      <c r="AM659" s="145"/>
      <c r="AN659" s="145"/>
      <c r="AO659" s="145"/>
      <c r="AP659" s="74"/>
      <c r="AQ659" s="74"/>
      <c r="AR659" s="74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</row>
    <row r="660" spans="1:85" ht="15.75" customHeight="1" x14ac:dyDescent="0.45">
      <c r="A660" s="22"/>
      <c r="B660" s="12"/>
      <c r="C660" s="12"/>
      <c r="D660" s="155"/>
      <c r="E660" s="22"/>
      <c r="F660" s="22"/>
      <c r="G660" s="12"/>
      <c r="H660" s="22"/>
      <c r="I660" s="22"/>
      <c r="J660" s="22"/>
      <c r="K660" s="22"/>
      <c r="L660" s="22"/>
      <c r="M660" s="22"/>
      <c r="N660" s="22"/>
      <c r="O660" s="145"/>
      <c r="P660" s="145"/>
      <c r="Q660" s="145"/>
      <c r="R660" s="145"/>
      <c r="S660" s="22"/>
      <c r="T660" s="145"/>
      <c r="U660" s="145"/>
      <c r="V660" s="145"/>
      <c r="W660" s="145"/>
      <c r="X660" s="53"/>
      <c r="Y660" s="74"/>
      <c r="Z660" s="145"/>
      <c r="AA660" s="145"/>
      <c r="AB660" s="145"/>
      <c r="AC660" s="146"/>
      <c r="AD660" s="145"/>
      <c r="AE660" s="145"/>
      <c r="AF660" s="145"/>
      <c r="AG660" s="145"/>
      <c r="AH660" s="146"/>
      <c r="AI660" s="145"/>
      <c r="AJ660" s="145"/>
      <c r="AK660" s="145"/>
      <c r="AL660" s="145"/>
      <c r="AM660" s="145"/>
      <c r="AN660" s="145"/>
      <c r="AO660" s="145"/>
      <c r="AP660" s="74"/>
      <c r="AQ660" s="74"/>
      <c r="AR660" s="74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</row>
    <row r="661" spans="1:85" ht="15.75" customHeight="1" x14ac:dyDescent="0.45">
      <c r="A661" s="22"/>
      <c r="B661" s="12"/>
      <c r="C661" s="12"/>
      <c r="D661" s="155"/>
      <c r="E661" s="22"/>
      <c r="F661" s="22"/>
      <c r="G661" s="12"/>
      <c r="H661" s="22"/>
      <c r="I661" s="22"/>
      <c r="J661" s="22"/>
      <c r="K661" s="22"/>
      <c r="L661" s="22"/>
      <c r="M661" s="22"/>
      <c r="N661" s="22"/>
      <c r="O661" s="145"/>
      <c r="P661" s="145"/>
      <c r="Q661" s="145"/>
      <c r="R661" s="145"/>
      <c r="S661" s="22"/>
      <c r="T661" s="145"/>
      <c r="U661" s="145"/>
      <c r="V661" s="145"/>
      <c r="W661" s="145"/>
      <c r="X661" s="53"/>
      <c r="Y661" s="74"/>
      <c r="Z661" s="145"/>
      <c r="AA661" s="145"/>
      <c r="AB661" s="145"/>
      <c r="AC661" s="146"/>
      <c r="AD661" s="145"/>
      <c r="AE661" s="145"/>
      <c r="AF661" s="145"/>
      <c r="AG661" s="145"/>
      <c r="AH661" s="146"/>
      <c r="AI661" s="145"/>
      <c r="AJ661" s="145"/>
      <c r="AK661" s="145"/>
      <c r="AL661" s="145"/>
      <c r="AM661" s="145"/>
      <c r="AN661" s="145"/>
      <c r="AO661" s="145"/>
      <c r="AP661" s="74"/>
      <c r="AQ661" s="74"/>
      <c r="AR661" s="74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</row>
    <row r="662" spans="1:85" ht="15.75" customHeight="1" x14ac:dyDescent="0.45">
      <c r="A662" s="22"/>
      <c r="B662" s="12"/>
      <c r="C662" s="12"/>
      <c r="D662" s="155"/>
      <c r="E662" s="22"/>
      <c r="F662" s="22"/>
      <c r="G662" s="12"/>
      <c r="H662" s="22"/>
      <c r="I662" s="22"/>
      <c r="J662" s="22"/>
      <c r="K662" s="22"/>
      <c r="L662" s="22"/>
      <c r="M662" s="22"/>
      <c r="N662" s="22"/>
      <c r="O662" s="145"/>
      <c r="P662" s="145"/>
      <c r="Q662" s="145"/>
      <c r="R662" s="145"/>
      <c r="S662" s="22"/>
      <c r="T662" s="145"/>
      <c r="U662" s="145"/>
      <c r="V662" s="145"/>
      <c r="W662" s="145"/>
      <c r="X662" s="53"/>
      <c r="Y662" s="74"/>
      <c r="Z662" s="145"/>
      <c r="AA662" s="145"/>
      <c r="AB662" s="145"/>
      <c r="AC662" s="146"/>
      <c r="AD662" s="145"/>
      <c r="AE662" s="145"/>
      <c r="AF662" s="145"/>
      <c r="AG662" s="145"/>
      <c r="AH662" s="146"/>
      <c r="AI662" s="145"/>
      <c r="AJ662" s="145"/>
      <c r="AK662" s="145"/>
      <c r="AL662" s="145"/>
      <c r="AM662" s="145"/>
      <c r="AN662" s="145"/>
      <c r="AO662" s="145"/>
      <c r="AP662" s="74"/>
      <c r="AQ662" s="74"/>
      <c r="AR662" s="74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</row>
    <row r="663" spans="1:85" ht="15.75" customHeight="1" x14ac:dyDescent="0.45">
      <c r="A663" s="22"/>
      <c r="B663" s="12"/>
      <c r="C663" s="12"/>
      <c r="D663" s="155"/>
      <c r="E663" s="22"/>
      <c r="F663" s="22"/>
      <c r="G663" s="12"/>
      <c r="H663" s="22"/>
      <c r="I663" s="22"/>
      <c r="J663" s="22"/>
      <c r="K663" s="22"/>
      <c r="L663" s="22"/>
      <c r="M663" s="22"/>
      <c r="N663" s="22"/>
      <c r="O663" s="145"/>
      <c r="P663" s="145"/>
      <c r="Q663" s="145"/>
      <c r="R663" s="145"/>
      <c r="S663" s="22"/>
      <c r="T663" s="145"/>
      <c r="U663" s="145"/>
      <c r="V663" s="145"/>
      <c r="W663" s="145"/>
      <c r="X663" s="53"/>
      <c r="Y663" s="74"/>
      <c r="Z663" s="145"/>
      <c r="AA663" s="145"/>
      <c r="AB663" s="145"/>
      <c r="AC663" s="146"/>
      <c r="AD663" s="145"/>
      <c r="AE663" s="145"/>
      <c r="AF663" s="145"/>
      <c r="AG663" s="145"/>
      <c r="AH663" s="146"/>
      <c r="AI663" s="145"/>
      <c r="AJ663" s="145"/>
      <c r="AK663" s="145"/>
      <c r="AL663" s="145"/>
      <c r="AM663" s="145"/>
      <c r="AN663" s="145"/>
      <c r="AO663" s="145"/>
      <c r="AP663" s="74"/>
      <c r="AQ663" s="74"/>
      <c r="AR663" s="74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</row>
    <row r="664" spans="1:85" ht="15.75" customHeight="1" x14ac:dyDescent="0.45">
      <c r="A664" s="22"/>
      <c r="B664" s="12"/>
      <c r="C664" s="12"/>
      <c r="D664" s="155"/>
      <c r="E664" s="22"/>
      <c r="F664" s="22"/>
      <c r="G664" s="12"/>
      <c r="H664" s="22"/>
      <c r="I664" s="22"/>
      <c r="J664" s="22"/>
      <c r="K664" s="22"/>
      <c r="L664" s="22"/>
      <c r="M664" s="22"/>
      <c r="N664" s="22"/>
      <c r="O664" s="145"/>
      <c r="P664" s="145"/>
      <c r="Q664" s="145"/>
      <c r="R664" s="145"/>
      <c r="S664" s="22"/>
      <c r="T664" s="145"/>
      <c r="U664" s="145"/>
      <c r="V664" s="145"/>
      <c r="W664" s="145"/>
      <c r="X664" s="53"/>
      <c r="Y664" s="74"/>
      <c r="Z664" s="145"/>
      <c r="AA664" s="145"/>
      <c r="AB664" s="145"/>
      <c r="AC664" s="146"/>
      <c r="AD664" s="145"/>
      <c r="AE664" s="145"/>
      <c r="AF664" s="145"/>
      <c r="AG664" s="145"/>
      <c r="AH664" s="146"/>
      <c r="AI664" s="145"/>
      <c r="AJ664" s="145"/>
      <c r="AK664" s="145"/>
      <c r="AL664" s="145"/>
      <c r="AM664" s="145"/>
      <c r="AN664" s="145"/>
      <c r="AO664" s="145"/>
      <c r="AP664" s="74"/>
      <c r="AQ664" s="74"/>
      <c r="AR664" s="74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</row>
    <row r="665" spans="1:85" ht="15.75" customHeight="1" x14ac:dyDescent="0.45">
      <c r="A665" s="22"/>
      <c r="B665" s="12"/>
      <c r="C665" s="12"/>
      <c r="D665" s="155"/>
      <c r="E665" s="22"/>
      <c r="F665" s="22"/>
      <c r="G665" s="12"/>
      <c r="H665" s="22"/>
      <c r="I665" s="22"/>
      <c r="J665" s="22"/>
      <c r="K665" s="22"/>
      <c r="L665" s="22"/>
      <c r="M665" s="22"/>
      <c r="N665" s="22"/>
      <c r="O665" s="145"/>
      <c r="P665" s="145"/>
      <c r="Q665" s="145"/>
      <c r="R665" s="145"/>
      <c r="S665" s="22"/>
      <c r="T665" s="145"/>
      <c r="U665" s="145"/>
      <c r="V665" s="145"/>
      <c r="W665" s="145"/>
      <c r="X665" s="53"/>
      <c r="Y665" s="74"/>
      <c r="Z665" s="145"/>
      <c r="AA665" s="145"/>
      <c r="AB665" s="145"/>
      <c r="AC665" s="146"/>
      <c r="AD665" s="145"/>
      <c r="AE665" s="145"/>
      <c r="AF665" s="145"/>
      <c r="AG665" s="145"/>
      <c r="AH665" s="146"/>
      <c r="AI665" s="145"/>
      <c r="AJ665" s="145"/>
      <c r="AK665" s="145"/>
      <c r="AL665" s="145"/>
      <c r="AM665" s="145"/>
      <c r="AN665" s="145"/>
      <c r="AO665" s="145"/>
      <c r="AP665" s="74"/>
      <c r="AQ665" s="74"/>
      <c r="AR665" s="74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</row>
    <row r="666" spans="1:85" ht="15.75" customHeight="1" x14ac:dyDescent="0.45">
      <c r="A666" s="22"/>
      <c r="B666" s="12"/>
      <c r="C666" s="12"/>
      <c r="D666" s="155"/>
      <c r="E666" s="22"/>
      <c r="F666" s="22"/>
      <c r="G666" s="12"/>
      <c r="H666" s="22"/>
      <c r="I666" s="22"/>
      <c r="J666" s="22"/>
      <c r="K666" s="22"/>
      <c r="L666" s="22"/>
      <c r="M666" s="22"/>
      <c r="N666" s="22"/>
      <c r="O666" s="145"/>
      <c r="P666" s="145"/>
      <c r="Q666" s="145"/>
      <c r="R666" s="145"/>
      <c r="S666" s="22"/>
      <c r="T666" s="145"/>
      <c r="U666" s="145"/>
      <c r="V666" s="145"/>
      <c r="W666" s="145"/>
      <c r="X666" s="53"/>
      <c r="Y666" s="74"/>
      <c r="Z666" s="145"/>
      <c r="AA666" s="145"/>
      <c r="AB666" s="145"/>
      <c r="AC666" s="146"/>
      <c r="AD666" s="145"/>
      <c r="AE666" s="145"/>
      <c r="AF666" s="145"/>
      <c r="AG666" s="145"/>
      <c r="AH666" s="146"/>
      <c r="AI666" s="145"/>
      <c r="AJ666" s="145"/>
      <c r="AK666" s="145"/>
      <c r="AL666" s="145"/>
      <c r="AM666" s="145"/>
      <c r="AN666" s="145"/>
      <c r="AO666" s="145"/>
      <c r="AP666" s="74"/>
      <c r="AQ666" s="74"/>
      <c r="AR666" s="74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</row>
    <row r="667" spans="1:85" ht="15.75" customHeight="1" x14ac:dyDescent="0.45">
      <c r="A667" s="22"/>
      <c r="B667" s="12"/>
      <c r="C667" s="12"/>
      <c r="D667" s="155"/>
      <c r="E667" s="22"/>
      <c r="F667" s="22"/>
      <c r="G667" s="12"/>
      <c r="H667" s="22"/>
      <c r="I667" s="22"/>
      <c r="J667" s="22"/>
      <c r="K667" s="22"/>
      <c r="L667" s="22"/>
      <c r="M667" s="22"/>
      <c r="N667" s="22"/>
      <c r="O667" s="145"/>
      <c r="P667" s="145"/>
      <c r="Q667" s="145"/>
      <c r="R667" s="145"/>
      <c r="S667" s="22"/>
      <c r="T667" s="145"/>
      <c r="U667" s="145"/>
      <c r="V667" s="145"/>
      <c r="W667" s="145"/>
      <c r="X667" s="53"/>
      <c r="Y667" s="74"/>
      <c r="Z667" s="145"/>
      <c r="AA667" s="145"/>
      <c r="AB667" s="145"/>
      <c r="AC667" s="146"/>
      <c r="AD667" s="145"/>
      <c r="AE667" s="145"/>
      <c r="AF667" s="145"/>
      <c r="AG667" s="145"/>
      <c r="AH667" s="146"/>
      <c r="AI667" s="145"/>
      <c r="AJ667" s="145"/>
      <c r="AK667" s="145"/>
      <c r="AL667" s="145"/>
      <c r="AM667" s="145"/>
      <c r="AN667" s="145"/>
      <c r="AO667" s="145"/>
      <c r="AP667" s="74"/>
      <c r="AQ667" s="74"/>
      <c r="AR667" s="74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</row>
    <row r="668" spans="1:85" ht="15.75" customHeight="1" x14ac:dyDescent="0.45">
      <c r="A668" s="22"/>
      <c r="B668" s="12"/>
      <c r="C668" s="12"/>
      <c r="D668" s="155"/>
      <c r="E668" s="22"/>
      <c r="F668" s="22"/>
      <c r="G668" s="12"/>
      <c r="H668" s="22"/>
      <c r="I668" s="22"/>
      <c r="J668" s="22"/>
      <c r="K668" s="22"/>
      <c r="L668" s="22"/>
      <c r="M668" s="22"/>
      <c r="N668" s="22"/>
      <c r="O668" s="145"/>
      <c r="P668" s="145"/>
      <c r="Q668" s="145"/>
      <c r="R668" s="145"/>
      <c r="S668" s="22"/>
      <c r="T668" s="145"/>
      <c r="U668" s="145"/>
      <c r="V668" s="145"/>
      <c r="W668" s="145"/>
      <c r="X668" s="53"/>
      <c r="Y668" s="74"/>
      <c r="Z668" s="145"/>
      <c r="AA668" s="145"/>
      <c r="AB668" s="145"/>
      <c r="AC668" s="146"/>
      <c r="AD668" s="145"/>
      <c r="AE668" s="145"/>
      <c r="AF668" s="145"/>
      <c r="AG668" s="145"/>
      <c r="AH668" s="146"/>
      <c r="AI668" s="145"/>
      <c r="AJ668" s="145"/>
      <c r="AK668" s="145"/>
      <c r="AL668" s="145"/>
      <c r="AM668" s="145"/>
      <c r="AN668" s="145"/>
      <c r="AO668" s="145"/>
      <c r="AP668" s="74"/>
      <c r="AQ668" s="74"/>
      <c r="AR668" s="74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</row>
    <row r="669" spans="1:85" ht="15.75" customHeight="1" x14ac:dyDescent="0.45">
      <c r="A669" s="22"/>
      <c r="B669" s="12"/>
      <c r="C669" s="12"/>
      <c r="D669" s="155"/>
      <c r="E669" s="22"/>
      <c r="F669" s="22"/>
      <c r="G669" s="12"/>
      <c r="H669" s="22"/>
      <c r="I669" s="22"/>
      <c r="J669" s="22"/>
      <c r="K669" s="22"/>
      <c r="L669" s="22"/>
      <c r="M669" s="22"/>
      <c r="N669" s="22"/>
      <c r="O669" s="145"/>
      <c r="P669" s="145"/>
      <c r="Q669" s="145"/>
      <c r="R669" s="145"/>
      <c r="S669" s="22"/>
      <c r="T669" s="145"/>
      <c r="U669" s="145"/>
      <c r="V669" s="145"/>
      <c r="W669" s="145"/>
      <c r="X669" s="53"/>
      <c r="Y669" s="74"/>
      <c r="Z669" s="145"/>
      <c r="AA669" s="145"/>
      <c r="AB669" s="145"/>
      <c r="AC669" s="146"/>
      <c r="AD669" s="145"/>
      <c r="AE669" s="145"/>
      <c r="AF669" s="145"/>
      <c r="AG669" s="145"/>
      <c r="AH669" s="146"/>
      <c r="AI669" s="145"/>
      <c r="AJ669" s="145"/>
      <c r="AK669" s="145"/>
      <c r="AL669" s="145"/>
      <c r="AM669" s="145"/>
      <c r="AN669" s="145"/>
      <c r="AO669" s="145"/>
      <c r="AP669" s="74"/>
      <c r="AQ669" s="74"/>
      <c r="AR669" s="74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</row>
    <row r="670" spans="1:85" ht="15.75" customHeight="1" x14ac:dyDescent="0.45">
      <c r="A670" s="22"/>
      <c r="B670" s="12"/>
      <c r="C670" s="12"/>
      <c r="D670" s="155"/>
      <c r="E670" s="22"/>
      <c r="F670" s="22"/>
      <c r="G670" s="12"/>
      <c r="H670" s="22"/>
      <c r="I670" s="22"/>
      <c r="J670" s="22"/>
      <c r="K670" s="22"/>
      <c r="L670" s="22"/>
      <c r="M670" s="22"/>
      <c r="N670" s="22"/>
      <c r="O670" s="145"/>
      <c r="P670" s="145"/>
      <c r="Q670" s="145"/>
      <c r="R670" s="145"/>
      <c r="S670" s="22"/>
      <c r="T670" s="145"/>
      <c r="U670" s="145"/>
      <c r="V670" s="145"/>
      <c r="W670" s="145"/>
      <c r="X670" s="53"/>
      <c r="Y670" s="74"/>
      <c r="Z670" s="145"/>
      <c r="AA670" s="145"/>
      <c r="AB670" s="145"/>
      <c r="AC670" s="146"/>
      <c r="AD670" s="145"/>
      <c r="AE670" s="145"/>
      <c r="AF670" s="145"/>
      <c r="AG670" s="145"/>
      <c r="AH670" s="146"/>
      <c r="AI670" s="145"/>
      <c r="AJ670" s="145"/>
      <c r="AK670" s="145"/>
      <c r="AL670" s="145"/>
      <c r="AM670" s="145"/>
      <c r="AN670" s="145"/>
      <c r="AO670" s="145"/>
      <c r="AP670" s="74"/>
      <c r="AQ670" s="74"/>
      <c r="AR670" s="74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</row>
    <row r="671" spans="1:85" ht="15.75" customHeight="1" x14ac:dyDescent="0.45">
      <c r="A671" s="22"/>
      <c r="B671" s="12"/>
      <c r="C671" s="12"/>
      <c r="D671" s="155"/>
      <c r="E671" s="22"/>
      <c r="F671" s="22"/>
      <c r="G671" s="12"/>
      <c r="H671" s="22"/>
      <c r="I671" s="22"/>
      <c r="J671" s="22"/>
      <c r="K671" s="22"/>
      <c r="L671" s="22"/>
      <c r="M671" s="22"/>
      <c r="N671" s="22"/>
      <c r="O671" s="145"/>
      <c r="P671" s="145"/>
      <c r="Q671" s="145"/>
      <c r="R671" s="145"/>
      <c r="S671" s="22"/>
      <c r="T671" s="145"/>
      <c r="U671" s="145"/>
      <c r="V671" s="145"/>
      <c r="W671" s="145"/>
      <c r="X671" s="53"/>
      <c r="Y671" s="74"/>
      <c r="Z671" s="145"/>
      <c r="AA671" s="145"/>
      <c r="AB671" s="145"/>
      <c r="AC671" s="146"/>
      <c r="AD671" s="145"/>
      <c r="AE671" s="145"/>
      <c r="AF671" s="145"/>
      <c r="AG671" s="145"/>
      <c r="AH671" s="146"/>
      <c r="AI671" s="145"/>
      <c r="AJ671" s="145"/>
      <c r="AK671" s="145"/>
      <c r="AL671" s="145"/>
      <c r="AM671" s="145"/>
      <c r="AN671" s="145"/>
      <c r="AO671" s="145"/>
      <c r="AP671" s="74"/>
      <c r="AQ671" s="74"/>
      <c r="AR671" s="74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</row>
    <row r="672" spans="1:85" ht="15.75" customHeight="1" x14ac:dyDescent="0.45">
      <c r="A672" s="22"/>
      <c r="B672" s="12"/>
      <c r="C672" s="12"/>
      <c r="D672" s="155"/>
      <c r="E672" s="22"/>
      <c r="F672" s="22"/>
      <c r="G672" s="12"/>
      <c r="H672" s="22"/>
      <c r="I672" s="22"/>
      <c r="J672" s="22"/>
      <c r="K672" s="22"/>
      <c r="L672" s="22"/>
      <c r="M672" s="22"/>
      <c r="N672" s="22"/>
      <c r="O672" s="145"/>
      <c r="P672" s="145"/>
      <c r="Q672" s="145"/>
      <c r="R672" s="145"/>
      <c r="S672" s="22"/>
      <c r="T672" s="145"/>
      <c r="U672" s="145"/>
      <c r="V672" s="145"/>
      <c r="W672" s="145"/>
      <c r="X672" s="53"/>
      <c r="Y672" s="74"/>
      <c r="Z672" s="145"/>
      <c r="AA672" s="145"/>
      <c r="AB672" s="145"/>
      <c r="AC672" s="146"/>
      <c r="AD672" s="145"/>
      <c r="AE672" s="145"/>
      <c r="AF672" s="145"/>
      <c r="AG672" s="145"/>
      <c r="AH672" s="146"/>
      <c r="AI672" s="145"/>
      <c r="AJ672" s="145"/>
      <c r="AK672" s="145"/>
      <c r="AL672" s="145"/>
      <c r="AM672" s="145"/>
      <c r="AN672" s="145"/>
      <c r="AO672" s="145"/>
      <c r="AP672" s="74"/>
      <c r="AQ672" s="74"/>
      <c r="AR672" s="74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</row>
    <row r="673" spans="1:85" ht="15.75" customHeight="1" x14ac:dyDescent="0.45">
      <c r="A673" s="22"/>
      <c r="B673" s="12"/>
      <c r="C673" s="12"/>
      <c r="D673" s="155"/>
      <c r="E673" s="22"/>
      <c r="F673" s="22"/>
      <c r="G673" s="12"/>
      <c r="H673" s="22"/>
      <c r="I673" s="22"/>
      <c r="J673" s="22"/>
      <c r="K673" s="22"/>
      <c r="L673" s="22"/>
      <c r="M673" s="22"/>
      <c r="N673" s="22"/>
      <c r="O673" s="145"/>
      <c r="P673" s="145"/>
      <c r="Q673" s="145"/>
      <c r="R673" s="145"/>
      <c r="S673" s="22"/>
      <c r="T673" s="145"/>
      <c r="U673" s="145"/>
      <c r="V673" s="145"/>
      <c r="W673" s="145"/>
      <c r="X673" s="53"/>
      <c r="Y673" s="74"/>
      <c r="Z673" s="145"/>
      <c r="AA673" s="145"/>
      <c r="AB673" s="145"/>
      <c r="AC673" s="146"/>
      <c r="AD673" s="145"/>
      <c r="AE673" s="145"/>
      <c r="AF673" s="145"/>
      <c r="AG673" s="145"/>
      <c r="AH673" s="146"/>
      <c r="AI673" s="145"/>
      <c r="AJ673" s="145"/>
      <c r="AK673" s="145"/>
      <c r="AL673" s="145"/>
      <c r="AM673" s="145"/>
      <c r="AN673" s="145"/>
      <c r="AO673" s="145"/>
      <c r="AP673" s="74"/>
      <c r="AQ673" s="74"/>
      <c r="AR673" s="74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</row>
    <row r="674" spans="1:85" ht="15.75" customHeight="1" x14ac:dyDescent="0.45">
      <c r="A674" s="22"/>
      <c r="B674" s="12"/>
      <c r="C674" s="12"/>
      <c r="D674" s="155"/>
      <c r="E674" s="22"/>
      <c r="F674" s="22"/>
      <c r="G674" s="12"/>
      <c r="H674" s="22"/>
      <c r="I674" s="22"/>
      <c r="J674" s="22"/>
      <c r="K674" s="22"/>
      <c r="L674" s="22"/>
      <c r="M674" s="22"/>
      <c r="N674" s="22"/>
      <c r="O674" s="145"/>
      <c r="P674" s="145"/>
      <c r="Q674" s="145"/>
      <c r="R674" s="145"/>
      <c r="S674" s="22"/>
      <c r="T674" s="145"/>
      <c r="U674" s="145"/>
      <c r="V674" s="145"/>
      <c r="W674" s="145"/>
      <c r="X674" s="53"/>
      <c r="Y674" s="74"/>
      <c r="Z674" s="145"/>
      <c r="AA674" s="145"/>
      <c r="AB674" s="145"/>
      <c r="AC674" s="146"/>
      <c r="AD674" s="145"/>
      <c r="AE674" s="145"/>
      <c r="AF674" s="145"/>
      <c r="AG674" s="145"/>
      <c r="AH674" s="146"/>
      <c r="AI674" s="145"/>
      <c r="AJ674" s="145"/>
      <c r="AK674" s="145"/>
      <c r="AL674" s="145"/>
      <c r="AM674" s="145"/>
      <c r="AN674" s="145"/>
      <c r="AO674" s="145"/>
      <c r="AP674" s="74"/>
      <c r="AQ674" s="74"/>
      <c r="AR674" s="74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</row>
    <row r="675" spans="1:85" ht="15.75" customHeight="1" x14ac:dyDescent="0.45">
      <c r="A675" s="22"/>
      <c r="B675" s="12"/>
      <c r="C675" s="12"/>
      <c r="D675" s="155"/>
      <c r="E675" s="22"/>
      <c r="F675" s="22"/>
      <c r="G675" s="12"/>
      <c r="H675" s="22"/>
      <c r="I675" s="22"/>
      <c r="J675" s="22"/>
      <c r="K675" s="22"/>
      <c r="L675" s="22"/>
      <c r="M675" s="22"/>
      <c r="N675" s="22"/>
      <c r="O675" s="145"/>
      <c r="P675" s="145"/>
      <c r="Q675" s="145"/>
      <c r="R675" s="145"/>
      <c r="S675" s="22"/>
      <c r="T675" s="145"/>
      <c r="U675" s="145"/>
      <c r="V675" s="145"/>
      <c r="W675" s="145"/>
      <c r="X675" s="53"/>
      <c r="Y675" s="74"/>
      <c r="Z675" s="145"/>
      <c r="AA675" s="145"/>
      <c r="AB675" s="145"/>
      <c r="AC675" s="146"/>
      <c r="AD675" s="145"/>
      <c r="AE675" s="145"/>
      <c r="AF675" s="145"/>
      <c r="AG675" s="145"/>
      <c r="AH675" s="146"/>
      <c r="AI675" s="145"/>
      <c r="AJ675" s="145"/>
      <c r="AK675" s="145"/>
      <c r="AL675" s="145"/>
      <c r="AM675" s="145"/>
      <c r="AN675" s="145"/>
      <c r="AO675" s="145"/>
      <c r="AP675" s="74"/>
      <c r="AQ675" s="74"/>
      <c r="AR675" s="74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</row>
    <row r="676" spans="1:85" ht="15.75" customHeight="1" x14ac:dyDescent="0.45">
      <c r="A676" s="22"/>
      <c r="B676" s="12"/>
      <c r="C676" s="12"/>
      <c r="D676" s="155"/>
      <c r="E676" s="22"/>
      <c r="F676" s="22"/>
      <c r="G676" s="12"/>
      <c r="H676" s="22"/>
      <c r="I676" s="22"/>
      <c r="J676" s="22"/>
      <c r="K676" s="22"/>
      <c r="L676" s="22"/>
      <c r="M676" s="22"/>
      <c r="N676" s="22"/>
      <c r="O676" s="145"/>
      <c r="P676" s="145"/>
      <c r="Q676" s="145"/>
      <c r="R676" s="145"/>
      <c r="S676" s="22"/>
      <c r="T676" s="145"/>
      <c r="U676" s="145"/>
      <c r="V676" s="145"/>
      <c r="W676" s="145"/>
      <c r="X676" s="53"/>
      <c r="Y676" s="74"/>
      <c r="Z676" s="145"/>
      <c r="AA676" s="145"/>
      <c r="AB676" s="145"/>
      <c r="AC676" s="146"/>
      <c r="AD676" s="145"/>
      <c r="AE676" s="145"/>
      <c r="AF676" s="145"/>
      <c r="AG676" s="145"/>
      <c r="AH676" s="146"/>
      <c r="AI676" s="145"/>
      <c r="AJ676" s="145"/>
      <c r="AK676" s="145"/>
      <c r="AL676" s="145"/>
      <c r="AM676" s="145"/>
      <c r="AN676" s="145"/>
      <c r="AO676" s="145"/>
      <c r="AP676" s="74"/>
      <c r="AQ676" s="74"/>
      <c r="AR676" s="74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</row>
    <row r="677" spans="1:85" ht="15.75" customHeight="1" x14ac:dyDescent="0.45">
      <c r="A677" s="22"/>
      <c r="B677" s="12"/>
      <c r="C677" s="12"/>
      <c r="D677" s="155"/>
      <c r="E677" s="22"/>
      <c r="F677" s="22"/>
      <c r="G677" s="12"/>
      <c r="H677" s="22"/>
      <c r="I677" s="22"/>
      <c r="J677" s="22"/>
      <c r="K677" s="22"/>
      <c r="L677" s="22"/>
      <c r="M677" s="22"/>
      <c r="N677" s="22"/>
      <c r="O677" s="145"/>
      <c r="P677" s="145"/>
      <c r="Q677" s="145"/>
      <c r="R677" s="145"/>
      <c r="S677" s="22"/>
      <c r="T677" s="145"/>
      <c r="U677" s="145"/>
      <c r="V677" s="145"/>
      <c r="W677" s="145"/>
      <c r="X677" s="53"/>
      <c r="Y677" s="74"/>
      <c r="Z677" s="145"/>
      <c r="AA677" s="145"/>
      <c r="AB677" s="145"/>
      <c r="AC677" s="146"/>
      <c r="AD677" s="145"/>
      <c r="AE677" s="145"/>
      <c r="AF677" s="145"/>
      <c r="AG677" s="145"/>
      <c r="AH677" s="146"/>
      <c r="AI677" s="145"/>
      <c r="AJ677" s="145"/>
      <c r="AK677" s="145"/>
      <c r="AL677" s="145"/>
      <c r="AM677" s="145"/>
      <c r="AN677" s="145"/>
      <c r="AO677" s="145"/>
      <c r="AP677" s="74"/>
      <c r="AQ677" s="74"/>
      <c r="AR677" s="74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</row>
    <row r="678" spans="1:85" ht="15.75" customHeight="1" x14ac:dyDescent="0.45">
      <c r="A678" s="22"/>
      <c r="B678" s="12"/>
      <c r="C678" s="12"/>
      <c r="D678" s="155"/>
      <c r="E678" s="22"/>
      <c r="F678" s="22"/>
      <c r="G678" s="12"/>
      <c r="H678" s="22"/>
      <c r="I678" s="22"/>
      <c r="J678" s="22"/>
      <c r="K678" s="22"/>
      <c r="L678" s="22"/>
      <c r="M678" s="22"/>
      <c r="N678" s="22"/>
      <c r="O678" s="145"/>
      <c r="P678" s="145"/>
      <c r="Q678" s="145"/>
      <c r="R678" s="145"/>
      <c r="S678" s="22"/>
      <c r="T678" s="145"/>
      <c r="U678" s="145"/>
      <c r="V678" s="145"/>
      <c r="W678" s="145"/>
      <c r="X678" s="53"/>
      <c r="Y678" s="74"/>
      <c r="Z678" s="145"/>
      <c r="AA678" s="145"/>
      <c r="AB678" s="145"/>
      <c r="AC678" s="146"/>
      <c r="AD678" s="145"/>
      <c r="AE678" s="145"/>
      <c r="AF678" s="145"/>
      <c r="AG678" s="145"/>
      <c r="AH678" s="146"/>
      <c r="AI678" s="145"/>
      <c r="AJ678" s="145"/>
      <c r="AK678" s="145"/>
      <c r="AL678" s="145"/>
      <c r="AM678" s="145"/>
      <c r="AN678" s="145"/>
      <c r="AO678" s="145"/>
      <c r="AP678" s="74"/>
      <c r="AQ678" s="74"/>
      <c r="AR678" s="74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</row>
    <row r="679" spans="1:85" ht="15.75" customHeight="1" x14ac:dyDescent="0.45">
      <c r="A679" s="22"/>
      <c r="B679" s="12"/>
      <c r="C679" s="12"/>
      <c r="D679" s="155"/>
      <c r="E679" s="22"/>
      <c r="F679" s="22"/>
      <c r="G679" s="12"/>
      <c r="H679" s="22"/>
      <c r="I679" s="22"/>
      <c r="J679" s="22"/>
      <c r="K679" s="22"/>
      <c r="L679" s="22"/>
      <c r="M679" s="22"/>
      <c r="N679" s="22"/>
      <c r="O679" s="145"/>
      <c r="P679" s="145"/>
      <c r="Q679" s="145"/>
      <c r="R679" s="145"/>
      <c r="S679" s="22"/>
      <c r="T679" s="145"/>
      <c r="U679" s="145"/>
      <c r="V679" s="145"/>
      <c r="W679" s="145"/>
      <c r="X679" s="53"/>
      <c r="Y679" s="74"/>
      <c r="Z679" s="145"/>
      <c r="AA679" s="145"/>
      <c r="AB679" s="145"/>
      <c r="AC679" s="146"/>
      <c r="AD679" s="145"/>
      <c r="AE679" s="145"/>
      <c r="AF679" s="145"/>
      <c r="AG679" s="145"/>
      <c r="AH679" s="146"/>
      <c r="AI679" s="145"/>
      <c r="AJ679" s="145"/>
      <c r="AK679" s="145"/>
      <c r="AL679" s="145"/>
      <c r="AM679" s="145"/>
      <c r="AN679" s="145"/>
      <c r="AO679" s="145"/>
      <c r="AP679" s="74"/>
      <c r="AQ679" s="74"/>
      <c r="AR679" s="74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</row>
    <row r="680" spans="1:85" ht="15.75" customHeight="1" x14ac:dyDescent="0.45">
      <c r="A680" s="22"/>
      <c r="B680" s="12"/>
      <c r="C680" s="12"/>
      <c r="D680" s="155"/>
      <c r="E680" s="22"/>
      <c r="F680" s="22"/>
      <c r="G680" s="12"/>
      <c r="H680" s="22"/>
      <c r="I680" s="22"/>
      <c r="J680" s="22"/>
      <c r="K680" s="22"/>
      <c r="L680" s="22"/>
      <c r="M680" s="22"/>
      <c r="N680" s="22"/>
      <c r="O680" s="145"/>
      <c r="P680" s="145"/>
      <c r="Q680" s="145"/>
      <c r="R680" s="145"/>
      <c r="S680" s="22"/>
      <c r="T680" s="145"/>
      <c r="U680" s="145"/>
      <c r="V680" s="145"/>
      <c r="W680" s="145"/>
      <c r="X680" s="53"/>
      <c r="Y680" s="74"/>
      <c r="Z680" s="145"/>
      <c r="AA680" s="145"/>
      <c r="AB680" s="145"/>
      <c r="AC680" s="146"/>
      <c r="AD680" s="145"/>
      <c r="AE680" s="145"/>
      <c r="AF680" s="145"/>
      <c r="AG680" s="145"/>
      <c r="AH680" s="146"/>
      <c r="AI680" s="145"/>
      <c r="AJ680" s="145"/>
      <c r="AK680" s="145"/>
      <c r="AL680" s="145"/>
      <c r="AM680" s="145"/>
      <c r="AN680" s="145"/>
      <c r="AO680" s="145"/>
      <c r="AP680" s="74"/>
      <c r="AQ680" s="74"/>
      <c r="AR680" s="74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</row>
    <row r="681" spans="1:85" ht="15.75" customHeight="1" x14ac:dyDescent="0.45">
      <c r="A681" s="22"/>
      <c r="B681" s="12"/>
      <c r="C681" s="12"/>
      <c r="D681" s="155"/>
      <c r="E681" s="22"/>
      <c r="F681" s="22"/>
      <c r="G681" s="12"/>
      <c r="H681" s="22"/>
      <c r="I681" s="22"/>
      <c r="J681" s="22"/>
      <c r="K681" s="22"/>
      <c r="L681" s="22"/>
      <c r="M681" s="22"/>
      <c r="N681" s="22"/>
      <c r="O681" s="145"/>
      <c r="P681" s="145"/>
      <c r="Q681" s="145"/>
      <c r="R681" s="145"/>
      <c r="S681" s="22"/>
      <c r="T681" s="145"/>
      <c r="U681" s="145"/>
      <c r="V681" s="145"/>
      <c r="W681" s="145"/>
      <c r="X681" s="53"/>
      <c r="Y681" s="74"/>
      <c r="Z681" s="145"/>
      <c r="AA681" s="145"/>
      <c r="AB681" s="145"/>
      <c r="AC681" s="146"/>
      <c r="AD681" s="145"/>
      <c r="AE681" s="145"/>
      <c r="AF681" s="145"/>
      <c r="AG681" s="145"/>
      <c r="AH681" s="146"/>
      <c r="AI681" s="145"/>
      <c r="AJ681" s="145"/>
      <c r="AK681" s="145"/>
      <c r="AL681" s="145"/>
      <c r="AM681" s="145"/>
      <c r="AN681" s="145"/>
      <c r="AO681" s="145"/>
      <c r="AP681" s="74"/>
      <c r="AQ681" s="74"/>
      <c r="AR681" s="74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</row>
    <row r="682" spans="1:85" ht="15.75" customHeight="1" x14ac:dyDescent="0.45">
      <c r="A682" s="22"/>
      <c r="B682" s="12"/>
      <c r="C682" s="12"/>
      <c r="D682" s="155"/>
      <c r="E682" s="22"/>
      <c r="F682" s="22"/>
      <c r="G682" s="12"/>
      <c r="H682" s="22"/>
      <c r="I682" s="22"/>
      <c r="J682" s="22"/>
      <c r="K682" s="22"/>
      <c r="L682" s="22"/>
      <c r="M682" s="22"/>
      <c r="N682" s="22"/>
      <c r="O682" s="145"/>
      <c r="P682" s="145"/>
      <c r="Q682" s="145"/>
      <c r="R682" s="145"/>
      <c r="S682" s="22"/>
      <c r="T682" s="145"/>
      <c r="U682" s="145"/>
      <c r="V682" s="145"/>
      <c r="W682" s="145"/>
      <c r="X682" s="53"/>
      <c r="Y682" s="74"/>
      <c r="Z682" s="145"/>
      <c r="AA682" s="145"/>
      <c r="AB682" s="145"/>
      <c r="AC682" s="146"/>
      <c r="AD682" s="145"/>
      <c r="AE682" s="145"/>
      <c r="AF682" s="145"/>
      <c r="AG682" s="145"/>
      <c r="AH682" s="146"/>
      <c r="AI682" s="145"/>
      <c r="AJ682" s="145"/>
      <c r="AK682" s="145"/>
      <c r="AL682" s="145"/>
      <c r="AM682" s="145"/>
      <c r="AN682" s="145"/>
      <c r="AO682" s="145"/>
      <c r="AP682" s="74"/>
      <c r="AQ682" s="74"/>
      <c r="AR682" s="74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</row>
    <row r="683" spans="1:85" ht="15.75" customHeight="1" x14ac:dyDescent="0.45">
      <c r="A683" s="22"/>
      <c r="B683" s="12"/>
      <c r="C683" s="12"/>
      <c r="D683" s="155"/>
      <c r="E683" s="22"/>
      <c r="F683" s="22"/>
      <c r="G683" s="12"/>
      <c r="H683" s="22"/>
      <c r="I683" s="22"/>
      <c r="J683" s="22"/>
      <c r="K683" s="22"/>
      <c r="L683" s="22"/>
      <c r="M683" s="22"/>
      <c r="N683" s="22"/>
      <c r="O683" s="145"/>
      <c r="P683" s="145"/>
      <c r="Q683" s="145"/>
      <c r="R683" s="145"/>
      <c r="S683" s="22"/>
      <c r="T683" s="145"/>
      <c r="U683" s="145"/>
      <c r="V683" s="145"/>
      <c r="W683" s="145"/>
      <c r="X683" s="53"/>
      <c r="Y683" s="74"/>
      <c r="Z683" s="145"/>
      <c r="AA683" s="145"/>
      <c r="AB683" s="145"/>
      <c r="AC683" s="146"/>
      <c r="AD683" s="145"/>
      <c r="AE683" s="145"/>
      <c r="AF683" s="145"/>
      <c r="AG683" s="145"/>
      <c r="AH683" s="146"/>
      <c r="AI683" s="145"/>
      <c r="AJ683" s="145"/>
      <c r="AK683" s="145"/>
      <c r="AL683" s="145"/>
      <c r="AM683" s="145"/>
      <c r="AN683" s="145"/>
      <c r="AO683" s="145"/>
      <c r="AP683" s="74"/>
      <c r="AQ683" s="74"/>
      <c r="AR683" s="74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</row>
    <row r="684" spans="1:85" ht="15.75" customHeight="1" x14ac:dyDescent="0.45">
      <c r="A684" s="22"/>
      <c r="B684" s="12"/>
      <c r="C684" s="12"/>
      <c r="D684" s="155"/>
      <c r="E684" s="22"/>
      <c r="F684" s="22"/>
      <c r="G684" s="12"/>
      <c r="H684" s="22"/>
      <c r="I684" s="22"/>
      <c r="J684" s="22"/>
      <c r="K684" s="22"/>
      <c r="L684" s="22"/>
      <c r="M684" s="22"/>
      <c r="N684" s="22"/>
      <c r="O684" s="145"/>
      <c r="P684" s="145"/>
      <c r="Q684" s="145"/>
      <c r="R684" s="145"/>
      <c r="S684" s="22"/>
      <c r="T684" s="145"/>
      <c r="U684" s="145"/>
      <c r="V684" s="145"/>
      <c r="W684" s="145"/>
      <c r="X684" s="53"/>
      <c r="Y684" s="74"/>
      <c r="Z684" s="145"/>
      <c r="AA684" s="145"/>
      <c r="AB684" s="145"/>
      <c r="AC684" s="146"/>
      <c r="AD684" s="145"/>
      <c r="AE684" s="145"/>
      <c r="AF684" s="145"/>
      <c r="AG684" s="145"/>
      <c r="AH684" s="146"/>
      <c r="AI684" s="145"/>
      <c r="AJ684" s="145"/>
      <c r="AK684" s="145"/>
      <c r="AL684" s="145"/>
      <c r="AM684" s="145"/>
      <c r="AN684" s="145"/>
      <c r="AO684" s="145"/>
      <c r="AP684" s="74"/>
      <c r="AQ684" s="74"/>
      <c r="AR684" s="74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</row>
    <row r="685" spans="1:85" ht="15.75" customHeight="1" x14ac:dyDescent="0.45">
      <c r="A685" s="22"/>
      <c r="B685" s="12"/>
      <c r="C685" s="12"/>
      <c r="D685" s="155"/>
      <c r="E685" s="22"/>
      <c r="F685" s="22"/>
      <c r="G685" s="12"/>
      <c r="H685" s="22"/>
      <c r="I685" s="22"/>
      <c r="J685" s="22"/>
      <c r="K685" s="22"/>
      <c r="L685" s="22"/>
      <c r="M685" s="22"/>
      <c r="N685" s="22"/>
      <c r="O685" s="145"/>
      <c r="P685" s="145"/>
      <c r="Q685" s="145"/>
      <c r="R685" s="145"/>
      <c r="S685" s="22"/>
      <c r="T685" s="145"/>
      <c r="U685" s="145"/>
      <c r="V685" s="145"/>
      <c r="W685" s="145"/>
      <c r="X685" s="53"/>
      <c r="Y685" s="74"/>
      <c r="Z685" s="145"/>
      <c r="AA685" s="145"/>
      <c r="AB685" s="145"/>
      <c r="AC685" s="146"/>
      <c r="AD685" s="145"/>
      <c r="AE685" s="145"/>
      <c r="AF685" s="145"/>
      <c r="AG685" s="145"/>
      <c r="AH685" s="146"/>
      <c r="AI685" s="145"/>
      <c r="AJ685" s="145"/>
      <c r="AK685" s="145"/>
      <c r="AL685" s="145"/>
      <c r="AM685" s="145"/>
      <c r="AN685" s="145"/>
      <c r="AO685" s="145"/>
      <c r="AP685" s="74"/>
      <c r="AQ685" s="74"/>
      <c r="AR685" s="74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</row>
    <row r="686" spans="1:85" ht="15.75" customHeight="1" x14ac:dyDescent="0.45">
      <c r="A686" s="22"/>
      <c r="B686" s="12"/>
      <c r="C686" s="12"/>
      <c r="D686" s="155"/>
      <c r="E686" s="22"/>
      <c r="F686" s="22"/>
      <c r="G686" s="12"/>
      <c r="H686" s="22"/>
      <c r="I686" s="22"/>
      <c r="J686" s="22"/>
      <c r="K686" s="22"/>
      <c r="L686" s="22"/>
      <c r="M686" s="22"/>
      <c r="N686" s="22"/>
      <c r="O686" s="145"/>
      <c r="P686" s="145"/>
      <c r="Q686" s="145"/>
      <c r="R686" s="145"/>
      <c r="S686" s="22"/>
      <c r="T686" s="145"/>
      <c r="U686" s="145"/>
      <c r="V686" s="145"/>
      <c r="W686" s="145"/>
      <c r="X686" s="53"/>
      <c r="Y686" s="74"/>
      <c r="Z686" s="145"/>
      <c r="AA686" s="145"/>
      <c r="AB686" s="145"/>
      <c r="AC686" s="146"/>
      <c r="AD686" s="145"/>
      <c r="AE686" s="145"/>
      <c r="AF686" s="145"/>
      <c r="AG686" s="145"/>
      <c r="AH686" s="146"/>
      <c r="AI686" s="145"/>
      <c r="AJ686" s="145"/>
      <c r="AK686" s="145"/>
      <c r="AL686" s="145"/>
      <c r="AM686" s="145"/>
      <c r="AN686" s="145"/>
      <c r="AO686" s="145"/>
      <c r="AP686" s="74"/>
      <c r="AQ686" s="74"/>
      <c r="AR686" s="74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</row>
    <row r="687" spans="1:85" ht="15.75" customHeight="1" x14ac:dyDescent="0.45">
      <c r="A687" s="22"/>
      <c r="B687" s="12"/>
      <c r="C687" s="12"/>
      <c r="D687" s="155"/>
      <c r="E687" s="22"/>
      <c r="F687" s="22"/>
      <c r="G687" s="12"/>
      <c r="H687" s="22"/>
      <c r="I687" s="22"/>
      <c r="J687" s="22"/>
      <c r="K687" s="22"/>
      <c r="L687" s="22"/>
      <c r="M687" s="22"/>
      <c r="N687" s="22"/>
      <c r="O687" s="145"/>
      <c r="P687" s="145"/>
      <c r="Q687" s="145"/>
      <c r="R687" s="145"/>
      <c r="S687" s="22"/>
      <c r="T687" s="145"/>
      <c r="U687" s="145"/>
      <c r="V687" s="145"/>
      <c r="W687" s="145"/>
      <c r="X687" s="53"/>
      <c r="Y687" s="74"/>
      <c r="Z687" s="145"/>
      <c r="AA687" s="145"/>
      <c r="AB687" s="145"/>
      <c r="AC687" s="146"/>
      <c r="AD687" s="145"/>
      <c r="AE687" s="145"/>
      <c r="AF687" s="145"/>
      <c r="AG687" s="145"/>
      <c r="AH687" s="146"/>
      <c r="AI687" s="145"/>
      <c r="AJ687" s="145"/>
      <c r="AK687" s="145"/>
      <c r="AL687" s="145"/>
      <c r="AM687" s="145"/>
      <c r="AN687" s="145"/>
      <c r="AO687" s="145"/>
      <c r="AP687" s="74"/>
      <c r="AQ687" s="74"/>
      <c r="AR687" s="74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</row>
    <row r="688" spans="1:85" ht="15.75" customHeight="1" x14ac:dyDescent="0.45">
      <c r="A688" s="22"/>
      <c r="B688" s="12"/>
      <c r="C688" s="12"/>
      <c r="D688" s="155"/>
      <c r="E688" s="22"/>
      <c r="F688" s="22"/>
      <c r="G688" s="12"/>
      <c r="H688" s="22"/>
      <c r="I688" s="22"/>
      <c r="J688" s="22"/>
      <c r="K688" s="22"/>
      <c r="L688" s="22"/>
      <c r="M688" s="22"/>
      <c r="N688" s="22"/>
      <c r="O688" s="145"/>
      <c r="P688" s="145"/>
      <c r="Q688" s="145"/>
      <c r="R688" s="145"/>
      <c r="S688" s="22"/>
      <c r="T688" s="145"/>
      <c r="U688" s="145"/>
      <c r="V688" s="145"/>
      <c r="W688" s="145"/>
      <c r="X688" s="53"/>
      <c r="Y688" s="74"/>
      <c r="Z688" s="145"/>
      <c r="AA688" s="145"/>
      <c r="AB688" s="145"/>
      <c r="AC688" s="146"/>
      <c r="AD688" s="145"/>
      <c r="AE688" s="145"/>
      <c r="AF688" s="145"/>
      <c r="AG688" s="145"/>
      <c r="AH688" s="146"/>
      <c r="AI688" s="145"/>
      <c r="AJ688" s="145"/>
      <c r="AK688" s="145"/>
      <c r="AL688" s="145"/>
      <c r="AM688" s="145"/>
      <c r="AN688" s="145"/>
      <c r="AO688" s="145"/>
      <c r="AP688" s="74"/>
      <c r="AQ688" s="74"/>
      <c r="AR688" s="74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</row>
    <row r="689" spans="1:85" ht="15.75" customHeight="1" x14ac:dyDescent="0.45">
      <c r="A689" s="22"/>
      <c r="B689" s="12"/>
      <c r="C689" s="12"/>
      <c r="D689" s="155"/>
      <c r="E689" s="22"/>
      <c r="F689" s="22"/>
      <c r="G689" s="12"/>
      <c r="H689" s="22"/>
      <c r="I689" s="22"/>
      <c r="J689" s="22"/>
      <c r="K689" s="22"/>
      <c r="L689" s="22"/>
      <c r="M689" s="22"/>
      <c r="N689" s="22"/>
      <c r="O689" s="145"/>
      <c r="P689" s="145"/>
      <c r="Q689" s="145"/>
      <c r="R689" s="145"/>
      <c r="S689" s="22"/>
      <c r="T689" s="145"/>
      <c r="U689" s="145"/>
      <c r="V689" s="145"/>
      <c r="W689" s="145"/>
      <c r="X689" s="53"/>
      <c r="Y689" s="74"/>
      <c r="Z689" s="145"/>
      <c r="AA689" s="145"/>
      <c r="AB689" s="145"/>
      <c r="AC689" s="146"/>
      <c r="AD689" s="145"/>
      <c r="AE689" s="145"/>
      <c r="AF689" s="145"/>
      <c r="AG689" s="145"/>
      <c r="AH689" s="146"/>
      <c r="AI689" s="145"/>
      <c r="AJ689" s="145"/>
      <c r="AK689" s="145"/>
      <c r="AL689" s="145"/>
      <c r="AM689" s="145"/>
      <c r="AN689" s="145"/>
      <c r="AO689" s="145"/>
      <c r="AP689" s="74"/>
      <c r="AQ689" s="74"/>
      <c r="AR689" s="74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</row>
    <row r="690" spans="1:85" ht="15.75" customHeight="1" x14ac:dyDescent="0.45">
      <c r="A690" s="22"/>
      <c r="B690" s="12"/>
      <c r="C690" s="12"/>
      <c r="D690" s="155"/>
      <c r="E690" s="22"/>
      <c r="F690" s="22"/>
      <c r="G690" s="12"/>
      <c r="H690" s="22"/>
      <c r="I690" s="22"/>
      <c r="J690" s="22"/>
      <c r="K690" s="22"/>
      <c r="L690" s="22"/>
      <c r="M690" s="22"/>
      <c r="N690" s="22"/>
      <c r="O690" s="145"/>
      <c r="P690" s="145"/>
      <c r="Q690" s="145"/>
      <c r="R690" s="145"/>
      <c r="S690" s="22"/>
      <c r="T690" s="145"/>
      <c r="U690" s="145"/>
      <c r="V690" s="145"/>
      <c r="W690" s="145"/>
      <c r="X690" s="53"/>
      <c r="Y690" s="74"/>
      <c r="Z690" s="145"/>
      <c r="AA690" s="145"/>
      <c r="AB690" s="145"/>
      <c r="AC690" s="146"/>
      <c r="AD690" s="145"/>
      <c r="AE690" s="145"/>
      <c r="AF690" s="145"/>
      <c r="AG690" s="145"/>
      <c r="AH690" s="146"/>
      <c r="AI690" s="145"/>
      <c r="AJ690" s="145"/>
      <c r="AK690" s="145"/>
      <c r="AL690" s="145"/>
      <c r="AM690" s="145"/>
      <c r="AN690" s="145"/>
      <c r="AO690" s="145"/>
      <c r="AP690" s="74"/>
      <c r="AQ690" s="74"/>
      <c r="AR690" s="74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</row>
    <row r="691" spans="1:85" ht="15.75" customHeight="1" x14ac:dyDescent="0.45">
      <c r="A691" s="22"/>
      <c r="B691" s="12"/>
      <c r="C691" s="12"/>
      <c r="D691" s="155"/>
      <c r="E691" s="22"/>
      <c r="F691" s="22"/>
      <c r="G691" s="12"/>
      <c r="H691" s="22"/>
      <c r="I691" s="22"/>
      <c r="J691" s="22"/>
      <c r="K691" s="22"/>
      <c r="L691" s="22"/>
      <c r="M691" s="22"/>
      <c r="N691" s="22"/>
      <c r="O691" s="145"/>
      <c r="P691" s="145"/>
      <c r="Q691" s="145"/>
      <c r="R691" s="145"/>
      <c r="S691" s="22"/>
      <c r="T691" s="145"/>
      <c r="U691" s="145"/>
      <c r="V691" s="145"/>
      <c r="W691" s="145"/>
      <c r="X691" s="53"/>
      <c r="Y691" s="74"/>
      <c r="Z691" s="145"/>
      <c r="AA691" s="145"/>
      <c r="AB691" s="145"/>
      <c r="AC691" s="146"/>
      <c r="AD691" s="145"/>
      <c r="AE691" s="145"/>
      <c r="AF691" s="145"/>
      <c r="AG691" s="145"/>
      <c r="AH691" s="146"/>
      <c r="AI691" s="145"/>
      <c r="AJ691" s="145"/>
      <c r="AK691" s="145"/>
      <c r="AL691" s="145"/>
      <c r="AM691" s="145"/>
      <c r="AN691" s="145"/>
      <c r="AO691" s="145"/>
      <c r="AP691" s="74"/>
      <c r="AQ691" s="74"/>
      <c r="AR691" s="74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</row>
    <row r="692" spans="1:85" ht="15.75" customHeight="1" x14ac:dyDescent="0.45">
      <c r="A692" s="22"/>
      <c r="B692" s="12"/>
      <c r="C692" s="12"/>
      <c r="D692" s="155"/>
      <c r="E692" s="22"/>
      <c r="F692" s="22"/>
      <c r="G692" s="12"/>
      <c r="H692" s="22"/>
      <c r="I692" s="22"/>
      <c r="J692" s="22"/>
      <c r="K692" s="22"/>
      <c r="L692" s="22"/>
      <c r="M692" s="22"/>
      <c r="N692" s="22"/>
      <c r="O692" s="145"/>
      <c r="P692" s="145"/>
      <c r="Q692" s="145"/>
      <c r="R692" s="145"/>
      <c r="S692" s="22"/>
      <c r="T692" s="145"/>
      <c r="U692" s="145"/>
      <c r="V692" s="145"/>
      <c r="W692" s="145"/>
      <c r="X692" s="53"/>
      <c r="Y692" s="74"/>
      <c r="Z692" s="145"/>
      <c r="AA692" s="145"/>
      <c r="AB692" s="145"/>
      <c r="AC692" s="146"/>
      <c r="AD692" s="145"/>
      <c r="AE692" s="145"/>
      <c r="AF692" s="145"/>
      <c r="AG692" s="145"/>
      <c r="AH692" s="146"/>
      <c r="AI692" s="145"/>
      <c r="AJ692" s="145"/>
      <c r="AK692" s="145"/>
      <c r="AL692" s="145"/>
      <c r="AM692" s="145"/>
      <c r="AN692" s="145"/>
      <c r="AO692" s="145"/>
      <c r="AP692" s="74"/>
      <c r="AQ692" s="74"/>
      <c r="AR692" s="74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</row>
    <row r="693" spans="1:85" ht="15.75" customHeight="1" x14ac:dyDescent="0.45">
      <c r="A693" s="22"/>
      <c r="B693" s="12"/>
      <c r="C693" s="12"/>
      <c r="D693" s="155"/>
      <c r="E693" s="22"/>
      <c r="F693" s="22"/>
      <c r="G693" s="12"/>
      <c r="H693" s="22"/>
      <c r="I693" s="22"/>
      <c r="J693" s="22"/>
      <c r="K693" s="22"/>
      <c r="L693" s="22"/>
      <c r="M693" s="22"/>
      <c r="N693" s="22"/>
      <c r="O693" s="145"/>
      <c r="P693" s="145"/>
      <c r="Q693" s="145"/>
      <c r="R693" s="145"/>
      <c r="S693" s="22"/>
      <c r="T693" s="145"/>
      <c r="U693" s="145"/>
      <c r="V693" s="145"/>
      <c r="W693" s="145"/>
      <c r="X693" s="53"/>
      <c r="Y693" s="74"/>
      <c r="Z693" s="145"/>
      <c r="AA693" s="145"/>
      <c r="AB693" s="145"/>
      <c r="AC693" s="146"/>
      <c r="AD693" s="145"/>
      <c r="AE693" s="145"/>
      <c r="AF693" s="145"/>
      <c r="AG693" s="145"/>
      <c r="AH693" s="146"/>
      <c r="AI693" s="145"/>
      <c r="AJ693" s="145"/>
      <c r="AK693" s="145"/>
      <c r="AL693" s="145"/>
      <c r="AM693" s="145"/>
      <c r="AN693" s="145"/>
      <c r="AO693" s="145"/>
      <c r="AP693" s="74"/>
      <c r="AQ693" s="74"/>
      <c r="AR693" s="74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</row>
    <row r="694" spans="1:85" ht="15.75" customHeight="1" x14ac:dyDescent="0.45">
      <c r="A694" s="22"/>
      <c r="B694" s="12"/>
      <c r="C694" s="12"/>
      <c r="D694" s="155"/>
      <c r="E694" s="22"/>
      <c r="F694" s="22"/>
      <c r="G694" s="12"/>
      <c r="H694" s="22"/>
      <c r="I694" s="22"/>
      <c r="J694" s="22"/>
      <c r="K694" s="22"/>
      <c r="L694" s="22"/>
      <c r="M694" s="22"/>
      <c r="N694" s="22"/>
      <c r="O694" s="145"/>
      <c r="P694" s="145"/>
      <c r="Q694" s="145"/>
      <c r="R694" s="145"/>
      <c r="S694" s="22"/>
      <c r="T694" s="145"/>
      <c r="U694" s="145"/>
      <c r="V694" s="145"/>
      <c r="W694" s="145"/>
      <c r="X694" s="53"/>
      <c r="Y694" s="74"/>
      <c r="Z694" s="145"/>
      <c r="AA694" s="145"/>
      <c r="AB694" s="145"/>
      <c r="AC694" s="146"/>
      <c r="AD694" s="145"/>
      <c r="AE694" s="145"/>
      <c r="AF694" s="145"/>
      <c r="AG694" s="145"/>
      <c r="AH694" s="146"/>
      <c r="AI694" s="145"/>
      <c r="AJ694" s="145"/>
      <c r="AK694" s="145"/>
      <c r="AL694" s="145"/>
      <c r="AM694" s="145"/>
      <c r="AN694" s="145"/>
      <c r="AO694" s="145"/>
      <c r="AP694" s="74"/>
      <c r="AQ694" s="74"/>
      <c r="AR694" s="74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</row>
    <row r="695" spans="1:85" ht="15.75" customHeight="1" x14ac:dyDescent="0.45">
      <c r="A695" s="22"/>
      <c r="B695" s="12"/>
      <c r="C695" s="12"/>
      <c r="D695" s="155"/>
      <c r="E695" s="22"/>
      <c r="F695" s="22"/>
      <c r="G695" s="12"/>
      <c r="H695" s="22"/>
      <c r="I695" s="22"/>
      <c r="J695" s="22"/>
      <c r="K695" s="22"/>
      <c r="L695" s="22"/>
      <c r="M695" s="22"/>
      <c r="N695" s="22"/>
      <c r="O695" s="145"/>
      <c r="P695" s="145"/>
      <c r="Q695" s="145"/>
      <c r="R695" s="145"/>
      <c r="S695" s="22"/>
      <c r="T695" s="145"/>
      <c r="U695" s="145"/>
      <c r="V695" s="145"/>
      <c r="W695" s="145"/>
      <c r="X695" s="53"/>
      <c r="Y695" s="74"/>
      <c r="Z695" s="145"/>
      <c r="AA695" s="145"/>
      <c r="AB695" s="145"/>
      <c r="AC695" s="146"/>
      <c r="AD695" s="145"/>
      <c r="AE695" s="145"/>
      <c r="AF695" s="145"/>
      <c r="AG695" s="145"/>
      <c r="AH695" s="146"/>
      <c r="AI695" s="145"/>
      <c r="AJ695" s="145"/>
      <c r="AK695" s="145"/>
      <c r="AL695" s="145"/>
      <c r="AM695" s="145"/>
      <c r="AN695" s="145"/>
      <c r="AO695" s="145"/>
      <c r="AP695" s="74"/>
      <c r="AQ695" s="74"/>
      <c r="AR695" s="74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</row>
    <row r="696" spans="1:85" ht="15.75" customHeight="1" x14ac:dyDescent="0.45">
      <c r="A696" s="22"/>
      <c r="B696" s="12"/>
      <c r="C696" s="12"/>
      <c r="D696" s="155"/>
      <c r="E696" s="22"/>
      <c r="F696" s="22"/>
      <c r="G696" s="12"/>
      <c r="H696" s="22"/>
      <c r="I696" s="22"/>
      <c r="J696" s="22"/>
      <c r="K696" s="22"/>
      <c r="L696" s="22"/>
      <c r="M696" s="22"/>
      <c r="N696" s="22"/>
      <c r="O696" s="145"/>
      <c r="P696" s="145"/>
      <c r="Q696" s="145"/>
      <c r="R696" s="145"/>
      <c r="S696" s="22"/>
      <c r="T696" s="145"/>
      <c r="U696" s="145"/>
      <c r="V696" s="145"/>
      <c r="W696" s="145"/>
      <c r="X696" s="53"/>
      <c r="Y696" s="74"/>
      <c r="Z696" s="145"/>
      <c r="AA696" s="145"/>
      <c r="AB696" s="145"/>
      <c r="AC696" s="146"/>
      <c r="AD696" s="145"/>
      <c r="AE696" s="145"/>
      <c r="AF696" s="145"/>
      <c r="AG696" s="145"/>
      <c r="AH696" s="146"/>
      <c r="AI696" s="145"/>
      <c r="AJ696" s="145"/>
      <c r="AK696" s="145"/>
      <c r="AL696" s="145"/>
      <c r="AM696" s="145"/>
      <c r="AN696" s="145"/>
      <c r="AO696" s="145"/>
      <c r="AP696" s="74"/>
      <c r="AQ696" s="74"/>
      <c r="AR696" s="74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</row>
    <row r="697" spans="1:85" ht="15.75" customHeight="1" x14ac:dyDescent="0.45">
      <c r="A697" s="22"/>
      <c r="B697" s="12"/>
      <c r="C697" s="12"/>
      <c r="D697" s="155"/>
      <c r="E697" s="22"/>
      <c r="F697" s="22"/>
      <c r="G697" s="12"/>
      <c r="H697" s="22"/>
      <c r="I697" s="22"/>
      <c r="J697" s="22"/>
      <c r="K697" s="22"/>
      <c r="L697" s="22"/>
      <c r="M697" s="22"/>
      <c r="N697" s="22"/>
      <c r="O697" s="145"/>
      <c r="P697" s="145"/>
      <c r="Q697" s="145"/>
      <c r="R697" s="145"/>
      <c r="S697" s="22"/>
      <c r="T697" s="145"/>
      <c r="U697" s="145"/>
      <c r="V697" s="145"/>
      <c r="W697" s="145"/>
      <c r="X697" s="53"/>
      <c r="Y697" s="74"/>
      <c r="Z697" s="145"/>
      <c r="AA697" s="145"/>
      <c r="AB697" s="145"/>
      <c r="AC697" s="146"/>
      <c r="AD697" s="145"/>
      <c r="AE697" s="145"/>
      <c r="AF697" s="145"/>
      <c r="AG697" s="145"/>
      <c r="AH697" s="146"/>
      <c r="AI697" s="145"/>
      <c r="AJ697" s="145"/>
      <c r="AK697" s="145"/>
      <c r="AL697" s="145"/>
      <c r="AM697" s="145"/>
      <c r="AN697" s="145"/>
      <c r="AO697" s="145"/>
      <c r="AP697" s="74"/>
      <c r="AQ697" s="74"/>
      <c r="AR697" s="74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</row>
    <row r="698" spans="1:85" ht="15.75" customHeight="1" x14ac:dyDescent="0.45">
      <c r="A698" s="22"/>
      <c r="B698" s="12"/>
      <c r="C698" s="12"/>
      <c r="D698" s="155"/>
      <c r="E698" s="22"/>
      <c r="F698" s="22"/>
      <c r="G698" s="12"/>
      <c r="H698" s="22"/>
      <c r="I698" s="22"/>
      <c r="J698" s="22"/>
      <c r="K698" s="22"/>
      <c r="L698" s="22"/>
      <c r="M698" s="22"/>
      <c r="N698" s="22"/>
      <c r="O698" s="145"/>
      <c r="P698" s="145"/>
      <c r="Q698" s="145"/>
      <c r="R698" s="145"/>
      <c r="S698" s="22"/>
      <c r="T698" s="145"/>
      <c r="U698" s="145"/>
      <c r="V698" s="145"/>
      <c r="W698" s="145"/>
      <c r="X698" s="53"/>
      <c r="Y698" s="74"/>
      <c r="Z698" s="145"/>
      <c r="AA698" s="145"/>
      <c r="AB698" s="145"/>
      <c r="AC698" s="146"/>
      <c r="AD698" s="145"/>
      <c r="AE698" s="145"/>
      <c r="AF698" s="145"/>
      <c r="AG698" s="145"/>
      <c r="AH698" s="146"/>
      <c r="AI698" s="145"/>
      <c r="AJ698" s="145"/>
      <c r="AK698" s="145"/>
      <c r="AL698" s="145"/>
      <c r="AM698" s="145"/>
      <c r="AN698" s="145"/>
      <c r="AO698" s="145"/>
      <c r="AP698" s="74"/>
      <c r="AQ698" s="74"/>
      <c r="AR698" s="74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</row>
    <row r="699" spans="1:85" ht="15.75" customHeight="1" x14ac:dyDescent="0.45">
      <c r="A699" s="22"/>
      <c r="B699" s="12"/>
      <c r="C699" s="12"/>
      <c r="D699" s="155"/>
      <c r="E699" s="22"/>
      <c r="F699" s="22"/>
      <c r="G699" s="12"/>
      <c r="H699" s="22"/>
      <c r="I699" s="22"/>
      <c r="J699" s="22"/>
      <c r="K699" s="22"/>
      <c r="L699" s="22"/>
      <c r="M699" s="22"/>
      <c r="N699" s="22"/>
      <c r="O699" s="145"/>
      <c r="P699" s="145"/>
      <c r="Q699" s="145"/>
      <c r="R699" s="145"/>
      <c r="S699" s="22"/>
      <c r="T699" s="145"/>
      <c r="U699" s="145"/>
      <c r="V699" s="145"/>
      <c r="W699" s="145"/>
      <c r="X699" s="53"/>
      <c r="Y699" s="74"/>
      <c r="Z699" s="145"/>
      <c r="AA699" s="145"/>
      <c r="AB699" s="145"/>
      <c r="AC699" s="146"/>
      <c r="AD699" s="145"/>
      <c r="AE699" s="145"/>
      <c r="AF699" s="145"/>
      <c r="AG699" s="145"/>
      <c r="AH699" s="146"/>
      <c r="AI699" s="145"/>
      <c r="AJ699" s="145"/>
      <c r="AK699" s="145"/>
      <c r="AL699" s="145"/>
      <c r="AM699" s="145"/>
      <c r="AN699" s="145"/>
      <c r="AO699" s="145"/>
      <c r="AP699" s="74"/>
      <c r="AQ699" s="74"/>
      <c r="AR699" s="74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</row>
    <row r="700" spans="1:85" ht="15.75" customHeight="1" x14ac:dyDescent="0.45">
      <c r="A700" s="22"/>
      <c r="B700" s="12"/>
      <c r="C700" s="12"/>
      <c r="D700" s="155"/>
      <c r="E700" s="22"/>
      <c r="F700" s="22"/>
      <c r="G700" s="12"/>
      <c r="H700" s="22"/>
      <c r="I700" s="22"/>
      <c r="J700" s="22"/>
      <c r="K700" s="22"/>
      <c r="L700" s="22"/>
      <c r="M700" s="22"/>
      <c r="N700" s="22"/>
      <c r="O700" s="145"/>
      <c r="P700" s="145"/>
      <c r="Q700" s="145"/>
      <c r="R700" s="145"/>
      <c r="S700" s="22"/>
      <c r="T700" s="145"/>
      <c r="U700" s="145"/>
      <c r="V700" s="145"/>
      <c r="W700" s="145"/>
      <c r="X700" s="53"/>
      <c r="Y700" s="74"/>
      <c r="Z700" s="145"/>
      <c r="AA700" s="145"/>
      <c r="AB700" s="145"/>
      <c r="AC700" s="146"/>
      <c r="AD700" s="145"/>
      <c r="AE700" s="145"/>
      <c r="AF700" s="145"/>
      <c r="AG700" s="145"/>
      <c r="AH700" s="146"/>
      <c r="AI700" s="145"/>
      <c r="AJ700" s="145"/>
      <c r="AK700" s="145"/>
      <c r="AL700" s="145"/>
      <c r="AM700" s="145"/>
      <c r="AN700" s="145"/>
      <c r="AO700" s="145"/>
      <c r="AP700" s="74"/>
      <c r="AQ700" s="74"/>
      <c r="AR700" s="74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</row>
    <row r="701" spans="1:85" ht="15.75" customHeight="1" x14ac:dyDescent="0.45">
      <c r="A701" s="22"/>
      <c r="B701" s="12"/>
      <c r="C701" s="12"/>
      <c r="D701" s="155"/>
      <c r="E701" s="22"/>
      <c r="F701" s="22"/>
      <c r="G701" s="12"/>
      <c r="H701" s="22"/>
      <c r="I701" s="22"/>
      <c r="J701" s="22"/>
      <c r="K701" s="22"/>
      <c r="L701" s="22"/>
      <c r="M701" s="22"/>
      <c r="N701" s="22"/>
      <c r="O701" s="145"/>
      <c r="P701" s="145"/>
      <c r="Q701" s="145"/>
      <c r="R701" s="145"/>
      <c r="S701" s="22"/>
      <c r="T701" s="145"/>
      <c r="U701" s="145"/>
      <c r="V701" s="145"/>
      <c r="W701" s="145"/>
      <c r="X701" s="53"/>
      <c r="Y701" s="74"/>
      <c r="Z701" s="145"/>
      <c r="AA701" s="145"/>
      <c r="AB701" s="145"/>
      <c r="AC701" s="146"/>
      <c r="AD701" s="145"/>
      <c r="AE701" s="145"/>
      <c r="AF701" s="145"/>
      <c r="AG701" s="145"/>
      <c r="AH701" s="146"/>
      <c r="AI701" s="145"/>
      <c r="AJ701" s="145"/>
      <c r="AK701" s="145"/>
      <c r="AL701" s="145"/>
      <c r="AM701" s="145"/>
      <c r="AN701" s="145"/>
      <c r="AO701" s="145"/>
      <c r="AP701" s="74"/>
      <c r="AQ701" s="74"/>
      <c r="AR701" s="74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</row>
    <row r="702" spans="1:85" ht="15.75" customHeight="1" x14ac:dyDescent="0.45">
      <c r="A702" s="22"/>
      <c r="B702" s="12"/>
      <c r="C702" s="12"/>
      <c r="D702" s="155"/>
      <c r="E702" s="22"/>
      <c r="F702" s="22"/>
      <c r="G702" s="12"/>
      <c r="H702" s="22"/>
      <c r="I702" s="22"/>
      <c r="J702" s="22"/>
      <c r="K702" s="22"/>
      <c r="L702" s="22"/>
      <c r="M702" s="22"/>
      <c r="N702" s="22"/>
      <c r="O702" s="145"/>
      <c r="P702" s="145"/>
      <c r="Q702" s="145"/>
      <c r="R702" s="145"/>
      <c r="S702" s="22"/>
      <c r="T702" s="145"/>
      <c r="U702" s="145"/>
      <c r="V702" s="145"/>
      <c r="W702" s="145"/>
      <c r="X702" s="53"/>
      <c r="Y702" s="74"/>
      <c r="Z702" s="145"/>
      <c r="AA702" s="145"/>
      <c r="AB702" s="145"/>
      <c r="AC702" s="146"/>
      <c r="AD702" s="145"/>
      <c r="AE702" s="145"/>
      <c r="AF702" s="145"/>
      <c r="AG702" s="145"/>
      <c r="AH702" s="146"/>
      <c r="AI702" s="145"/>
      <c r="AJ702" s="145"/>
      <c r="AK702" s="145"/>
      <c r="AL702" s="145"/>
      <c r="AM702" s="145"/>
      <c r="AN702" s="145"/>
      <c r="AO702" s="145"/>
      <c r="AP702" s="74"/>
      <c r="AQ702" s="74"/>
      <c r="AR702" s="74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</row>
    <row r="703" spans="1:85" ht="15.75" customHeight="1" x14ac:dyDescent="0.45">
      <c r="A703" s="22"/>
      <c r="B703" s="12"/>
      <c r="C703" s="12"/>
      <c r="D703" s="155"/>
      <c r="E703" s="22"/>
      <c r="F703" s="22"/>
      <c r="G703" s="12"/>
      <c r="H703" s="22"/>
      <c r="I703" s="22"/>
      <c r="J703" s="22"/>
      <c r="K703" s="22"/>
      <c r="L703" s="22"/>
      <c r="M703" s="22"/>
      <c r="N703" s="22"/>
      <c r="O703" s="145"/>
      <c r="P703" s="145"/>
      <c r="Q703" s="145"/>
      <c r="R703" s="145"/>
      <c r="S703" s="22"/>
      <c r="T703" s="145"/>
      <c r="U703" s="145"/>
      <c r="V703" s="145"/>
      <c r="W703" s="145"/>
      <c r="X703" s="53"/>
      <c r="Y703" s="74"/>
      <c r="Z703" s="145"/>
      <c r="AA703" s="145"/>
      <c r="AB703" s="145"/>
      <c r="AC703" s="146"/>
      <c r="AD703" s="145"/>
      <c r="AE703" s="145"/>
      <c r="AF703" s="145"/>
      <c r="AG703" s="145"/>
      <c r="AH703" s="146"/>
      <c r="AI703" s="145"/>
      <c r="AJ703" s="145"/>
      <c r="AK703" s="145"/>
      <c r="AL703" s="145"/>
      <c r="AM703" s="145"/>
      <c r="AN703" s="145"/>
      <c r="AO703" s="145"/>
      <c r="AP703" s="74"/>
      <c r="AQ703" s="74"/>
      <c r="AR703" s="74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</row>
    <row r="704" spans="1:85" ht="15.75" customHeight="1" x14ac:dyDescent="0.45">
      <c r="A704" s="22"/>
      <c r="B704" s="12"/>
      <c r="C704" s="12"/>
      <c r="D704" s="155"/>
      <c r="E704" s="22"/>
      <c r="F704" s="22"/>
      <c r="G704" s="12"/>
      <c r="H704" s="22"/>
      <c r="I704" s="22"/>
      <c r="J704" s="22"/>
      <c r="K704" s="22"/>
      <c r="L704" s="22"/>
      <c r="M704" s="22"/>
      <c r="N704" s="22"/>
      <c r="O704" s="145"/>
      <c r="P704" s="145"/>
      <c r="Q704" s="145"/>
      <c r="R704" s="145"/>
      <c r="S704" s="22"/>
      <c r="T704" s="145"/>
      <c r="U704" s="145"/>
      <c r="V704" s="145"/>
      <c r="W704" s="145"/>
      <c r="X704" s="53"/>
      <c r="Y704" s="74"/>
      <c r="Z704" s="145"/>
      <c r="AA704" s="145"/>
      <c r="AB704" s="145"/>
      <c r="AC704" s="146"/>
      <c r="AD704" s="145"/>
      <c r="AE704" s="145"/>
      <c r="AF704" s="145"/>
      <c r="AG704" s="145"/>
      <c r="AH704" s="146"/>
      <c r="AI704" s="145"/>
      <c r="AJ704" s="145"/>
      <c r="AK704" s="145"/>
      <c r="AL704" s="145"/>
      <c r="AM704" s="145"/>
      <c r="AN704" s="145"/>
      <c r="AO704" s="145"/>
      <c r="AP704" s="74"/>
      <c r="AQ704" s="74"/>
      <c r="AR704" s="74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</row>
    <row r="705" spans="1:85" ht="15.75" customHeight="1" x14ac:dyDescent="0.45">
      <c r="A705" s="22"/>
      <c r="B705" s="12"/>
      <c r="C705" s="12"/>
      <c r="D705" s="155"/>
      <c r="E705" s="22"/>
      <c r="F705" s="22"/>
      <c r="G705" s="12"/>
      <c r="H705" s="22"/>
      <c r="I705" s="22"/>
      <c r="J705" s="22"/>
      <c r="K705" s="22"/>
      <c r="L705" s="22"/>
      <c r="M705" s="22"/>
      <c r="N705" s="22"/>
      <c r="O705" s="145"/>
      <c r="P705" s="145"/>
      <c r="Q705" s="145"/>
      <c r="R705" s="145"/>
      <c r="S705" s="22"/>
      <c r="T705" s="145"/>
      <c r="U705" s="145"/>
      <c r="V705" s="145"/>
      <c r="W705" s="145"/>
      <c r="X705" s="53"/>
      <c r="Y705" s="74"/>
      <c r="Z705" s="145"/>
      <c r="AA705" s="145"/>
      <c r="AB705" s="145"/>
      <c r="AC705" s="146"/>
      <c r="AD705" s="145"/>
      <c r="AE705" s="145"/>
      <c r="AF705" s="145"/>
      <c r="AG705" s="145"/>
      <c r="AH705" s="146"/>
      <c r="AI705" s="145"/>
      <c r="AJ705" s="145"/>
      <c r="AK705" s="145"/>
      <c r="AL705" s="145"/>
      <c r="AM705" s="145"/>
      <c r="AN705" s="145"/>
      <c r="AO705" s="145"/>
      <c r="AP705" s="74"/>
      <c r="AQ705" s="74"/>
      <c r="AR705" s="74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</row>
    <row r="706" spans="1:85" ht="15.75" customHeight="1" x14ac:dyDescent="0.45">
      <c r="A706" s="22"/>
      <c r="B706" s="12"/>
      <c r="C706" s="12"/>
      <c r="D706" s="155"/>
      <c r="E706" s="22"/>
      <c r="F706" s="22"/>
      <c r="G706" s="12"/>
      <c r="H706" s="22"/>
      <c r="I706" s="22"/>
      <c r="J706" s="22"/>
      <c r="K706" s="22"/>
      <c r="L706" s="22"/>
      <c r="M706" s="22"/>
      <c r="N706" s="22"/>
      <c r="O706" s="145"/>
      <c r="P706" s="145"/>
      <c r="Q706" s="145"/>
      <c r="R706" s="145"/>
      <c r="S706" s="22"/>
      <c r="T706" s="145"/>
      <c r="U706" s="145"/>
      <c r="V706" s="145"/>
      <c r="W706" s="145"/>
      <c r="X706" s="53"/>
      <c r="Y706" s="74"/>
      <c r="Z706" s="145"/>
      <c r="AA706" s="145"/>
      <c r="AB706" s="145"/>
      <c r="AC706" s="146"/>
      <c r="AD706" s="145"/>
      <c r="AE706" s="145"/>
      <c r="AF706" s="145"/>
      <c r="AG706" s="145"/>
      <c r="AH706" s="146"/>
      <c r="AI706" s="145"/>
      <c r="AJ706" s="145"/>
      <c r="AK706" s="145"/>
      <c r="AL706" s="145"/>
      <c r="AM706" s="145"/>
      <c r="AN706" s="145"/>
      <c r="AO706" s="145"/>
      <c r="AP706" s="74"/>
      <c r="AQ706" s="74"/>
      <c r="AR706" s="74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</row>
    <row r="707" spans="1:85" ht="15.75" customHeight="1" x14ac:dyDescent="0.45">
      <c r="A707" s="22"/>
      <c r="B707" s="12"/>
      <c r="C707" s="12"/>
      <c r="D707" s="155"/>
      <c r="E707" s="22"/>
      <c r="F707" s="22"/>
      <c r="G707" s="12"/>
      <c r="H707" s="22"/>
      <c r="I707" s="22"/>
      <c r="J707" s="22"/>
      <c r="K707" s="22"/>
      <c r="L707" s="22"/>
      <c r="M707" s="22"/>
      <c r="N707" s="22"/>
      <c r="O707" s="145"/>
      <c r="P707" s="145"/>
      <c r="Q707" s="145"/>
      <c r="R707" s="145"/>
      <c r="S707" s="22"/>
      <c r="T707" s="145"/>
      <c r="U707" s="145"/>
      <c r="V707" s="145"/>
      <c r="W707" s="145"/>
      <c r="X707" s="53"/>
      <c r="Y707" s="74"/>
      <c r="Z707" s="145"/>
      <c r="AA707" s="145"/>
      <c r="AB707" s="145"/>
      <c r="AC707" s="146"/>
      <c r="AD707" s="145"/>
      <c r="AE707" s="145"/>
      <c r="AF707" s="145"/>
      <c r="AG707" s="145"/>
      <c r="AH707" s="146"/>
      <c r="AI707" s="145"/>
      <c r="AJ707" s="145"/>
      <c r="AK707" s="145"/>
      <c r="AL707" s="145"/>
      <c r="AM707" s="145"/>
      <c r="AN707" s="145"/>
      <c r="AO707" s="145"/>
      <c r="AP707" s="74"/>
      <c r="AQ707" s="74"/>
      <c r="AR707" s="74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</row>
    <row r="708" spans="1:85" ht="15.75" customHeight="1" x14ac:dyDescent="0.45">
      <c r="A708" s="22"/>
      <c r="B708" s="12"/>
      <c r="C708" s="12"/>
      <c r="D708" s="155"/>
      <c r="E708" s="22"/>
      <c r="F708" s="22"/>
      <c r="G708" s="12"/>
      <c r="H708" s="22"/>
      <c r="I708" s="22"/>
      <c r="J708" s="22"/>
      <c r="K708" s="22"/>
      <c r="L708" s="22"/>
      <c r="M708" s="22"/>
      <c r="N708" s="22"/>
      <c r="O708" s="145"/>
      <c r="P708" s="145"/>
      <c r="Q708" s="145"/>
      <c r="R708" s="145"/>
      <c r="S708" s="22"/>
      <c r="T708" s="145"/>
      <c r="U708" s="145"/>
      <c r="V708" s="145"/>
      <c r="W708" s="145"/>
      <c r="X708" s="53"/>
      <c r="Y708" s="74"/>
      <c r="Z708" s="145"/>
      <c r="AA708" s="145"/>
      <c r="AB708" s="145"/>
      <c r="AC708" s="146"/>
      <c r="AD708" s="145"/>
      <c r="AE708" s="145"/>
      <c r="AF708" s="145"/>
      <c r="AG708" s="145"/>
      <c r="AH708" s="146"/>
      <c r="AI708" s="145"/>
      <c r="AJ708" s="145"/>
      <c r="AK708" s="145"/>
      <c r="AL708" s="145"/>
      <c r="AM708" s="145"/>
      <c r="AN708" s="145"/>
      <c r="AO708" s="145"/>
      <c r="AP708" s="74"/>
      <c r="AQ708" s="74"/>
      <c r="AR708" s="74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</row>
    <row r="709" spans="1:85" ht="15.75" customHeight="1" x14ac:dyDescent="0.45">
      <c r="A709" s="22"/>
      <c r="B709" s="12"/>
      <c r="C709" s="12"/>
      <c r="D709" s="155"/>
      <c r="E709" s="22"/>
      <c r="F709" s="22"/>
      <c r="G709" s="12"/>
      <c r="H709" s="22"/>
      <c r="I709" s="22"/>
      <c r="J709" s="22"/>
      <c r="K709" s="22"/>
      <c r="L709" s="22"/>
      <c r="M709" s="22"/>
      <c r="N709" s="22"/>
      <c r="O709" s="145"/>
      <c r="P709" s="145"/>
      <c r="Q709" s="145"/>
      <c r="R709" s="145"/>
      <c r="S709" s="22"/>
      <c r="T709" s="145"/>
      <c r="U709" s="145"/>
      <c r="V709" s="145"/>
      <c r="W709" s="145"/>
      <c r="X709" s="53"/>
      <c r="Y709" s="74"/>
      <c r="Z709" s="145"/>
      <c r="AA709" s="145"/>
      <c r="AB709" s="145"/>
      <c r="AC709" s="146"/>
      <c r="AD709" s="145"/>
      <c r="AE709" s="145"/>
      <c r="AF709" s="145"/>
      <c r="AG709" s="145"/>
      <c r="AH709" s="146"/>
      <c r="AI709" s="145"/>
      <c r="AJ709" s="145"/>
      <c r="AK709" s="145"/>
      <c r="AL709" s="145"/>
      <c r="AM709" s="145"/>
      <c r="AN709" s="145"/>
      <c r="AO709" s="145"/>
      <c r="AP709" s="74"/>
      <c r="AQ709" s="74"/>
      <c r="AR709" s="74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</row>
    <row r="710" spans="1:85" ht="15.75" customHeight="1" x14ac:dyDescent="0.45">
      <c r="A710" s="22"/>
      <c r="B710" s="12"/>
      <c r="C710" s="12"/>
      <c r="D710" s="155"/>
      <c r="E710" s="22"/>
      <c r="F710" s="22"/>
      <c r="G710" s="12"/>
      <c r="H710" s="22"/>
      <c r="I710" s="22"/>
      <c r="J710" s="22"/>
      <c r="K710" s="22"/>
      <c r="L710" s="22"/>
      <c r="M710" s="22"/>
      <c r="N710" s="22"/>
      <c r="O710" s="145"/>
      <c r="P710" s="145"/>
      <c r="Q710" s="145"/>
      <c r="R710" s="145"/>
      <c r="S710" s="22"/>
      <c r="T710" s="145"/>
      <c r="U710" s="145"/>
      <c r="V710" s="145"/>
      <c r="W710" s="145"/>
      <c r="X710" s="53"/>
      <c r="Y710" s="74"/>
      <c r="Z710" s="145"/>
      <c r="AA710" s="145"/>
      <c r="AB710" s="145"/>
      <c r="AC710" s="146"/>
      <c r="AD710" s="145"/>
      <c r="AE710" s="145"/>
      <c r="AF710" s="145"/>
      <c r="AG710" s="145"/>
      <c r="AH710" s="146"/>
      <c r="AI710" s="145"/>
      <c r="AJ710" s="145"/>
      <c r="AK710" s="145"/>
      <c r="AL710" s="145"/>
      <c r="AM710" s="145"/>
      <c r="AN710" s="145"/>
      <c r="AO710" s="145"/>
      <c r="AP710" s="74"/>
      <c r="AQ710" s="74"/>
      <c r="AR710" s="74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</row>
    <row r="711" spans="1:85" ht="15.75" customHeight="1" x14ac:dyDescent="0.45">
      <c r="A711" s="22"/>
      <c r="B711" s="12"/>
      <c r="C711" s="12"/>
      <c r="D711" s="155"/>
      <c r="E711" s="22"/>
      <c r="F711" s="22"/>
      <c r="G711" s="12"/>
      <c r="H711" s="22"/>
      <c r="I711" s="22"/>
      <c r="J711" s="22"/>
      <c r="K711" s="22"/>
      <c r="L711" s="22"/>
      <c r="M711" s="22"/>
      <c r="N711" s="22"/>
      <c r="O711" s="145"/>
      <c r="P711" s="145"/>
      <c r="Q711" s="145"/>
      <c r="R711" s="145"/>
      <c r="S711" s="22"/>
      <c r="T711" s="145"/>
      <c r="U711" s="145"/>
      <c r="V711" s="145"/>
      <c r="W711" s="145"/>
      <c r="X711" s="53"/>
      <c r="Y711" s="74"/>
      <c r="Z711" s="145"/>
      <c r="AA711" s="145"/>
      <c r="AB711" s="145"/>
      <c r="AC711" s="146"/>
      <c r="AD711" s="145"/>
      <c r="AE711" s="145"/>
      <c r="AF711" s="145"/>
      <c r="AG711" s="145"/>
      <c r="AH711" s="146"/>
      <c r="AI711" s="145"/>
      <c r="AJ711" s="145"/>
      <c r="AK711" s="145"/>
      <c r="AL711" s="145"/>
      <c r="AM711" s="145"/>
      <c r="AN711" s="145"/>
      <c r="AO711" s="145"/>
      <c r="AP711" s="74"/>
      <c r="AQ711" s="74"/>
      <c r="AR711" s="74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</row>
    <row r="712" spans="1:85" ht="15.75" customHeight="1" x14ac:dyDescent="0.45">
      <c r="A712" s="22"/>
      <c r="B712" s="12"/>
      <c r="C712" s="12"/>
      <c r="D712" s="155"/>
      <c r="E712" s="22"/>
      <c r="F712" s="22"/>
      <c r="G712" s="12"/>
      <c r="H712" s="22"/>
      <c r="I712" s="22"/>
      <c r="J712" s="22"/>
      <c r="K712" s="22"/>
      <c r="L712" s="22"/>
      <c r="M712" s="22"/>
      <c r="N712" s="22"/>
      <c r="O712" s="145"/>
      <c r="P712" s="145"/>
      <c r="Q712" s="145"/>
      <c r="R712" s="145"/>
      <c r="S712" s="22"/>
      <c r="T712" s="145"/>
      <c r="U712" s="145"/>
      <c r="V712" s="145"/>
      <c r="W712" s="145"/>
      <c r="X712" s="53"/>
      <c r="Y712" s="74"/>
      <c r="Z712" s="145"/>
      <c r="AA712" s="145"/>
      <c r="AB712" s="145"/>
      <c r="AC712" s="146"/>
      <c r="AD712" s="145"/>
      <c r="AE712" s="145"/>
      <c r="AF712" s="145"/>
      <c r="AG712" s="145"/>
      <c r="AH712" s="146"/>
      <c r="AI712" s="145"/>
      <c r="AJ712" s="145"/>
      <c r="AK712" s="145"/>
      <c r="AL712" s="145"/>
      <c r="AM712" s="145"/>
      <c r="AN712" s="145"/>
      <c r="AO712" s="145"/>
      <c r="AP712" s="74"/>
      <c r="AQ712" s="74"/>
      <c r="AR712" s="74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</row>
    <row r="713" spans="1:85" ht="15.75" customHeight="1" x14ac:dyDescent="0.45">
      <c r="A713" s="22"/>
      <c r="B713" s="12"/>
      <c r="C713" s="12"/>
      <c r="D713" s="155"/>
      <c r="E713" s="22"/>
      <c r="F713" s="22"/>
      <c r="G713" s="12"/>
      <c r="H713" s="22"/>
      <c r="I713" s="22"/>
      <c r="J713" s="22"/>
      <c r="K713" s="22"/>
      <c r="L713" s="22"/>
      <c r="M713" s="22"/>
      <c r="N713" s="22"/>
      <c r="O713" s="145"/>
      <c r="P713" s="145"/>
      <c r="Q713" s="145"/>
      <c r="R713" s="145"/>
      <c r="S713" s="22"/>
      <c r="T713" s="145"/>
      <c r="U713" s="145"/>
      <c r="V713" s="145"/>
      <c r="W713" s="145"/>
      <c r="X713" s="53"/>
      <c r="Y713" s="74"/>
      <c r="Z713" s="145"/>
      <c r="AA713" s="145"/>
      <c r="AB713" s="145"/>
      <c r="AC713" s="146"/>
      <c r="AD713" s="145"/>
      <c r="AE713" s="145"/>
      <c r="AF713" s="145"/>
      <c r="AG713" s="145"/>
      <c r="AH713" s="146"/>
      <c r="AI713" s="145"/>
      <c r="AJ713" s="145"/>
      <c r="AK713" s="145"/>
      <c r="AL713" s="145"/>
      <c r="AM713" s="145"/>
      <c r="AN713" s="145"/>
      <c r="AO713" s="145"/>
      <c r="AP713" s="74"/>
      <c r="AQ713" s="74"/>
      <c r="AR713" s="74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</row>
    <row r="714" spans="1:85" ht="15.75" customHeight="1" x14ac:dyDescent="0.45">
      <c r="A714" s="22"/>
      <c r="B714" s="12"/>
      <c r="C714" s="12"/>
      <c r="D714" s="155"/>
      <c r="E714" s="22"/>
      <c r="F714" s="22"/>
      <c r="G714" s="12"/>
      <c r="H714" s="22"/>
      <c r="I714" s="22"/>
      <c r="J714" s="22"/>
      <c r="K714" s="22"/>
      <c r="L714" s="22"/>
      <c r="M714" s="22"/>
      <c r="N714" s="22"/>
      <c r="O714" s="145"/>
      <c r="P714" s="145"/>
      <c r="Q714" s="145"/>
      <c r="R714" s="145"/>
      <c r="S714" s="22"/>
      <c r="T714" s="145"/>
      <c r="U714" s="145"/>
      <c r="V714" s="145"/>
      <c r="W714" s="145"/>
      <c r="X714" s="53"/>
      <c r="Y714" s="74"/>
      <c r="Z714" s="145"/>
      <c r="AA714" s="145"/>
      <c r="AB714" s="145"/>
      <c r="AC714" s="146"/>
      <c r="AD714" s="145"/>
      <c r="AE714" s="145"/>
      <c r="AF714" s="145"/>
      <c r="AG714" s="145"/>
      <c r="AH714" s="146"/>
      <c r="AI714" s="145"/>
      <c r="AJ714" s="145"/>
      <c r="AK714" s="145"/>
      <c r="AL714" s="145"/>
      <c r="AM714" s="145"/>
      <c r="AN714" s="145"/>
      <c r="AO714" s="145"/>
      <c r="AP714" s="74"/>
      <c r="AQ714" s="74"/>
      <c r="AR714" s="74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</row>
    <row r="715" spans="1:85" ht="15.75" customHeight="1" x14ac:dyDescent="0.45">
      <c r="A715" s="22"/>
      <c r="B715" s="12"/>
      <c r="C715" s="12"/>
      <c r="D715" s="155"/>
      <c r="E715" s="22"/>
      <c r="F715" s="22"/>
      <c r="G715" s="12"/>
      <c r="H715" s="22"/>
      <c r="I715" s="22"/>
      <c r="J715" s="22"/>
      <c r="K715" s="22"/>
      <c r="L715" s="22"/>
      <c r="M715" s="22"/>
      <c r="N715" s="22"/>
      <c r="O715" s="145"/>
      <c r="P715" s="145"/>
      <c r="Q715" s="145"/>
      <c r="R715" s="145"/>
      <c r="S715" s="22"/>
      <c r="T715" s="145"/>
      <c r="U715" s="145"/>
      <c r="V715" s="145"/>
      <c r="W715" s="145"/>
      <c r="X715" s="53"/>
      <c r="Y715" s="74"/>
      <c r="Z715" s="145"/>
      <c r="AA715" s="145"/>
      <c r="AB715" s="145"/>
      <c r="AC715" s="146"/>
      <c r="AD715" s="145"/>
      <c r="AE715" s="145"/>
      <c r="AF715" s="145"/>
      <c r="AG715" s="145"/>
      <c r="AH715" s="146"/>
      <c r="AI715" s="145"/>
      <c r="AJ715" s="145"/>
      <c r="AK715" s="145"/>
      <c r="AL715" s="145"/>
      <c r="AM715" s="145"/>
      <c r="AN715" s="145"/>
      <c r="AO715" s="145"/>
      <c r="AP715" s="74"/>
      <c r="AQ715" s="74"/>
      <c r="AR715" s="74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</row>
    <row r="716" spans="1:85" ht="15.75" customHeight="1" x14ac:dyDescent="0.45">
      <c r="A716" s="22"/>
      <c r="B716" s="12"/>
      <c r="C716" s="12"/>
      <c r="D716" s="155"/>
      <c r="E716" s="22"/>
      <c r="F716" s="22"/>
      <c r="G716" s="12"/>
      <c r="H716" s="22"/>
      <c r="I716" s="22"/>
      <c r="J716" s="22"/>
      <c r="K716" s="22"/>
      <c r="L716" s="22"/>
      <c r="M716" s="22"/>
      <c r="N716" s="22"/>
      <c r="O716" s="145"/>
      <c r="P716" s="145"/>
      <c r="Q716" s="145"/>
      <c r="R716" s="145"/>
      <c r="S716" s="22"/>
      <c r="T716" s="145"/>
      <c r="U716" s="145"/>
      <c r="V716" s="145"/>
      <c r="W716" s="145"/>
      <c r="X716" s="53"/>
      <c r="Y716" s="74"/>
      <c r="Z716" s="145"/>
      <c r="AA716" s="145"/>
      <c r="AB716" s="145"/>
      <c r="AC716" s="146"/>
      <c r="AD716" s="145"/>
      <c r="AE716" s="145"/>
      <c r="AF716" s="145"/>
      <c r="AG716" s="145"/>
      <c r="AH716" s="146"/>
      <c r="AI716" s="145"/>
      <c r="AJ716" s="145"/>
      <c r="AK716" s="145"/>
      <c r="AL716" s="145"/>
      <c r="AM716" s="145"/>
      <c r="AN716" s="145"/>
      <c r="AO716" s="145"/>
      <c r="AP716" s="74"/>
      <c r="AQ716" s="74"/>
      <c r="AR716" s="74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</row>
    <row r="717" spans="1:85" ht="15.75" customHeight="1" x14ac:dyDescent="0.45">
      <c r="A717" s="22"/>
      <c r="B717" s="12"/>
      <c r="C717" s="12"/>
      <c r="D717" s="155"/>
      <c r="E717" s="22"/>
      <c r="F717" s="22"/>
      <c r="G717" s="12"/>
      <c r="H717" s="22"/>
      <c r="I717" s="22"/>
      <c r="J717" s="22"/>
      <c r="K717" s="22"/>
      <c r="L717" s="22"/>
      <c r="M717" s="22"/>
      <c r="N717" s="22"/>
      <c r="O717" s="145"/>
      <c r="P717" s="145"/>
      <c r="Q717" s="145"/>
      <c r="R717" s="145"/>
      <c r="S717" s="22"/>
      <c r="T717" s="145"/>
      <c r="U717" s="145"/>
      <c r="V717" s="145"/>
      <c r="W717" s="145"/>
      <c r="X717" s="53"/>
      <c r="Y717" s="74"/>
      <c r="Z717" s="145"/>
      <c r="AA717" s="145"/>
      <c r="AB717" s="145"/>
      <c r="AC717" s="146"/>
      <c r="AD717" s="145"/>
      <c r="AE717" s="145"/>
      <c r="AF717" s="145"/>
      <c r="AG717" s="145"/>
      <c r="AH717" s="146"/>
      <c r="AI717" s="145"/>
      <c r="AJ717" s="145"/>
      <c r="AK717" s="145"/>
      <c r="AL717" s="145"/>
      <c r="AM717" s="145"/>
      <c r="AN717" s="145"/>
      <c r="AO717" s="145"/>
      <c r="AP717" s="74"/>
      <c r="AQ717" s="74"/>
      <c r="AR717" s="74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</row>
    <row r="718" spans="1:85" ht="15.75" customHeight="1" x14ac:dyDescent="0.45">
      <c r="A718" s="22"/>
      <c r="B718" s="12"/>
      <c r="C718" s="12"/>
      <c r="D718" s="155"/>
      <c r="E718" s="22"/>
      <c r="F718" s="22"/>
      <c r="G718" s="12"/>
      <c r="H718" s="22"/>
      <c r="I718" s="22"/>
      <c r="J718" s="22"/>
      <c r="K718" s="22"/>
      <c r="L718" s="22"/>
      <c r="M718" s="22"/>
      <c r="N718" s="22"/>
      <c r="O718" s="145"/>
      <c r="P718" s="145"/>
      <c r="Q718" s="145"/>
      <c r="R718" s="145"/>
      <c r="S718" s="22"/>
      <c r="T718" s="145"/>
      <c r="U718" s="145"/>
      <c r="V718" s="145"/>
      <c r="W718" s="145"/>
      <c r="X718" s="53"/>
      <c r="Y718" s="74"/>
      <c r="Z718" s="145"/>
      <c r="AA718" s="145"/>
      <c r="AB718" s="145"/>
      <c r="AC718" s="146"/>
      <c r="AD718" s="145"/>
      <c r="AE718" s="145"/>
      <c r="AF718" s="145"/>
      <c r="AG718" s="145"/>
      <c r="AH718" s="146"/>
      <c r="AI718" s="145"/>
      <c r="AJ718" s="145"/>
      <c r="AK718" s="145"/>
      <c r="AL718" s="145"/>
      <c r="AM718" s="145"/>
      <c r="AN718" s="145"/>
      <c r="AO718" s="145"/>
      <c r="AP718" s="74"/>
      <c r="AQ718" s="74"/>
      <c r="AR718" s="74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</row>
    <row r="719" spans="1:85" ht="15.75" customHeight="1" x14ac:dyDescent="0.45">
      <c r="A719" s="22"/>
      <c r="B719" s="12"/>
      <c r="C719" s="12"/>
      <c r="D719" s="155"/>
      <c r="E719" s="22"/>
      <c r="F719" s="22"/>
      <c r="G719" s="12"/>
      <c r="H719" s="22"/>
      <c r="I719" s="22"/>
      <c r="J719" s="22"/>
      <c r="K719" s="22"/>
      <c r="L719" s="22"/>
      <c r="M719" s="22"/>
      <c r="N719" s="22"/>
      <c r="O719" s="145"/>
      <c r="P719" s="145"/>
      <c r="Q719" s="145"/>
      <c r="R719" s="145"/>
      <c r="S719" s="22"/>
      <c r="T719" s="145"/>
      <c r="U719" s="145"/>
      <c r="V719" s="145"/>
      <c r="W719" s="145"/>
      <c r="X719" s="53"/>
      <c r="Y719" s="74"/>
      <c r="Z719" s="145"/>
      <c r="AA719" s="145"/>
      <c r="AB719" s="145"/>
      <c r="AC719" s="146"/>
      <c r="AD719" s="145"/>
      <c r="AE719" s="145"/>
      <c r="AF719" s="145"/>
      <c r="AG719" s="145"/>
      <c r="AH719" s="146"/>
      <c r="AI719" s="145"/>
      <c r="AJ719" s="145"/>
      <c r="AK719" s="145"/>
      <c r="AL719" s="145"/>
      <c r="AM719" s="145"/>
      <c r="AN719" s="145"/>
      <c r="AO719" s="145"/>
      <c r="AP719" s="74"/>
      <c r="AQ719" s="74"/>
      <c r="AR719" s="74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</row>
    <row r="720" spans="1:85" ht="15.75" customHeight="1" x14ac:dyDescent="0.45">
      <c r="A720" s="22"/>
      <c r="B720" s="12"/>
      <c r="C720" s="12"/>
      <c r="D720" s="155"/>
      <c r="E720" s="22"/>
      <c r="F720" s="22"/>
      <c r="G720" s="12"/>
      <c r="H720" s="22"/>
      <c r="I720" s="22"/>
      <c r="J720" s="22"/>
      <c r="K720" s="22"/>
      <c r="L720" s="22"/>
      <c r="M720" s="22"/>
      <c r="N720" s="22"/>
      <c r="O720" s="145"/>
      <c r="P720" s="145"/>
      <c r="Q720" s="145"/>
      <c r="R720" s="145"/>
      <c r="S720" s="22"/>
      <c r="T720" s="145"/>
      <c r="U720" s="145"/>
      <c r="V720" s="145"/>
      <c r="W720" s="145"/>
      <c r="X720" s="53"/>
      <c r="Y720" s="74"/>
      <c r="Z720" s="145"/>
      <c r="AA720" s="145"/>
      <c r="AB720" s="145"/>
      <c r="AC720" s="146"/>
      <c r="AD720" s="145"/>
      <c r="AE720" s="145"/>
      <c r="AF720" s="145"/>
      <c r="AG720" s="145"/>
      <c r="AH720" s="146"/>
      <c r="AI720" s="145"/>
      <c r="AJ720" s="145"/>
      <c r="AK720" s="145"/>
      <c r="AL720" s="145"/>
      <c r="AM720" s="145"/>
      <c r="AN720" s="145"/>
      <c r="AO720" s="145"/>
      <c r="AP720" s="74"/>
      <c r="AQ720" s="74"/>
      <c r="AR720" s="74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</row>
    <row r="721" spans="1:85" ht="15.75" customHeight="1" x14ac:dyDescent="0.45">
      <c r="A721" s="22"/>
      <c r="B721" s="12"/>
      <c r="C721" s="12"/>
      <c r="D721" s="155"/>
      <c r="E721" s="22"/>
      <c r="F721" s="22"/>
      <c r="G721" s="12"/>
      <c r="H721" s="22"/>
      <c r="I721" s="22"/>
      <c r="J721" s="22"/>
      <c r="K721" s="22"/>
      <c r="L721" s="22"/>
      <c r="M721" s="22"/>
      <c r="N721" s="22"/>
      <c r="O721" s="145"/>
      <c r="P721" s="145"/>
      <c r="Q721" s="145"/>
      <c r="R721" s="145"/>
      <c r="S721" s="22"/>
      <c r="T721" s="145"/>
      <c r="U721" s="145"/>
      <c r="V721" s="145"/>
      <c r="W721" s="145"/>
      <c r="X721" s="53"/>
      <c r="Y721" s="74"/>
      <c r="Z721" s="145"/>
      <c r="AA721" s="145"/>
      <c r="AB721" s="145"/>
      <c r="AC721" s="146"/>
      <c r="AD721" s="145"/>
      <c r="AE721" s="145"/>
      <c r="AF721" s="145"/>
      <c r="AG721" s="145"/>
      <c r="AH721" s="146"/>
      <c r="AI721" s="145"/>
      <c r="AJ721" s="145"/>
      <c r="AK721" s="145"/>
      <c r="AL721" s="145"/>
      <c r="AM721" s="145"/>
      <c r="AN721" s="145"/>
      <c r="AO721" s="145"/>
      <c r="AP721" s="74"/>
      <c r="AQ721" s="74"/>
      <c r="AR721" s="74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</row>
    <row r="722" spans="1:85" ht="15.75" customHeight="1" x14ac:dyDescent="0.45">
      <c r="A722" s="22"/>
      <c r="B722" s="12"/>
      <c r="C722" s="12"/>
      <c r="D722" s="155"/>
      <c r="E722" s="22"/>
      <c r="F722" s="22"/>
      <c r="G722" s="12"/>
      <c r="H722" s="22"/>
      <c r="I722" s="22"/>
      <c r="J722" s="22"/>
      <c r="K722" s="22"/>
      <c r="L722" s="22"/>
      <c r="M722" s="22"/>
      <c r="N722" s="22"/>
      <c r="O722" s="145"/>
      <c r="P722" s="145"/>
      <c r="Q722" s="145"/>
      <c r="R722" s="145"/>
      <c r="S722" s="22"/>
      <c r="T722" s="145"/>
      <c r="U722" s="145"/>
      <c r="V722" s="145"/>
      <c r="W722" s="145"/>
      <c r="X722" s="53"/>
      <c r="Y722" s="74"/>
      <c r="Z722" s="145"/>
      <c r="AA722" s="145"/>
      <c r="AB722" s="145"/>
      <c r="AC722" s="146"/>
      <c r="AD722" s="145"/>
      <c r="AE722" s="145"/>
      <c r="AF722" s="145"/>
      <c r="AG722" s="145"/>
      <c r="AH722" s="146"/>
      <c r="AI722" s="145"/>
      <c r="AJ722" s="145"/>
      <c r="AK722" s="145"/>
      <c r="AL722" s="145"/>
      <c r="AM722" s="145"/>
      <c r="AN722" s="145"/>
      <c r="AO722" s="145"/>
      <c r="AP722" s="74"/>
      <c r="AQ722" s="74"/>
      <c r="AR722" s="74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</row>
    <row r="723" spans="1:85" ht="15.75" customHeight="1" x14ac:dyDescent="0.45">
      <c r="A723" s="22"/>
      <c r="B723" s="12"/>
      <c r="C723" s="12"/>
      <c r="D723" s="155"/>
      <c r="E723" s="22"/>
      <c r="F723" s="22"/>
      <c r="G723" s="12"/>
      <c r="H723" s="22"/>
      <c r="I723" s="22"/>
      <c r="J723" s="22"/>
      <c r="K723" s="22"/>
      <c r="L723" s="22"/>
      <c r="M723" s="22"/>
      <c r="N723" s="22"/>
      <c r="O723" s="145"/>
      <c r="P723" s="145"/>
      <c r="Q723" s="145"/>
      <c r="R723" s="145"/>
      <c r="S723" s="22"/>
      <c r="T723" s="145"/>
      <c r="U723" s="145"/>
      <c r="V723" s="145"/>
      <c r="W723" s="145"/>
      <c r="X723" s="53"/>
      <c r="Y723" s="74"/>
      <c r="Z723" s="145"/>
      <c r="AA723" s="145"/>
      <c r="AB723" s="145"/>
      <c r="AC723" s="146"/>
      <c r="AD723" s="145"/>
      <c r="AE723" s="145"/>
      <c r="AF723" s="145"/>
      <c r="AG723" s="145"/>
      <c r="AH723" s="146"/>
      <c r="AI723" s="145"/>
      <c r="AJ723" s="145"/>
      <c r="AK723" s="145"/>
      <c r="AL723" s="145"/>
      <c r="AM723" s="145"/>
      <c r="AN723" s="145"/>
      <c r="AO723" s="145"/>
      <c r="AP723" s="74"/>
      <c r="AQ723" s="74"/>
      <c r="AR723" s="74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</row>
    <row r="724" spans="1:85" ht="15.75" customHeight="1" x14ac:dyDescent="0.45">
      <c r="A724" s="22"/>
      <c r="B724" s="12"/>
      <c r="C724" s="12"/>
      <c r="D724" s="155"/>
      <c r="E724" s="22"/>
      <c r="F724" s="22"/>
      <c r="G724" s="12"/>
      <c r="H724" s="22"/>
      <c r="I724" s="22"/>
      <c r="J724" s="22"/>
      <c r="K724" s="22"/>
      <c r="L724" s="22"/>
      <c r="M724" s="22"/>
      <c r="N724" s="22"/>
      <c r="O724" s="145"/>
      <c r="P724" s="145"/>
      <c r="Q724" s="145"/>
      <c r="R724" s="145"/>
      <c r="S724" s="22"/>
      <c r="T724" s="145"/>
      <c r="U724" s="145"/>
      <c r="V724" s="145"/>
      <c r="W724" s="145"/>
      <c r="X724" s="53"/>
      <c r="Y724" s="74"/>
      <c r="Z724" s="145"/>
      <c r="AA724" s="145"/>
      <c r="AB724" s="145"/>
      <c r="AC724" s="146"/>
      <c r="AD724" s="145"/>
      <c r="AE724" s="145"/>
      <c r="AF724" s="145"/>
      <c r="AG724" s="145"/>
      <c r="AH724" s="146"/>
      <c r="AI724" s="145"/>
      <c r="AJ724" s="145"/>
      <c r="AK724" s="145"/>
      <c r="AL724" s="145"/>
      <c r="AM724" s="145"/>
      <c r="AN724" s="145"/>
      <c r="AO724" s="145"/>
      <c r="AP724" s="74"/>
      <c r="AQ724" s="74"/>
      <c r="AR724" s="74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</row>
    <row r="725" spans="1:85" ht="15.75" customHeight="1" x14ac:dyDescent="0.45">
      <c r="A725" s="22"/>
      <c r="B725" s="12"/>
      <c r="C725" s="12"/>
      <c r="D725" s="155"/>
      <c r="E725" s="22"/>
      <c r="F725" s="22"/>
      <c r="G725" s="12"/>
      <c r="H725" s="22"/>
      <c r="I725" s="22"/>
      <c r="J725" s="22"/>
      <c r="K725" s="22"/>
      <c r="L725" s="22"/>
      <c r="M725" s="22"/>
      <c r="N725" s="22"/>
      <c r="O725" s="145"/>
      <c r="P725" s="145"/>
      <c r="Q725" s="145"/>
      <c r="R725" s="145"/>
      <c r="S725" s="22"/>
      <c r="T725" s="145"/>
      <c r="U725" s="145"/>
      <c r="V725" s="145"/>
      <c r="W725" s="145"/>
      <c r="X725" s="53"/>
      <c r="Y725" s="74"/>
      <c r="Z725" s="145"/>
      <c r="AA725" s="145"/>
      <c r="AB725" s="145"/>
      <c r="AC725" s="146"/>
      <c r="AD725" s="145"/>
      <c r="AE725" s="145"/>
      <c r="AF725" s="145"/>
      <c r="AG725" s="145"/>
      <c r="AH725" s="146"/>
      <c r="AI725" s="145"/>
      <c r="AJ725" s="145"/>
      <c r="AK725" s="145"/>
      <c r="AL725" s="145"/>
      <c r="AM725" s="145"/>
      <c r="AN725" s="145"/>
      <c r="AO725" s="145"/>
      <c r="AP725" s="74"/>
      <c r="AQ725" s="74"/>
      <c r="AR725" s="74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</row>
    <row r="726" spans="1:85" ht="15.75" customHeight="1" x14ac:dyDescent="0.45">
      <c r="A726" s="22"/>
      <c r="B726" s="12"/>
      <c r="C726" s="12"/>
      <c r="D726" s="155"/>
      <c r="E726" s="22"/>
      <c r="F726" s="22"/>
      <c r="G726" s="12"/>
      <c r="H726" s="22"/>
      <c r="I726" s="22"/>
      <c r="J726" s="22"/>
      <c r="K726" s="22"/>
      <c r="L726" s="22"/>
      <c r="M726" s="22"/>
      <c r="N726" s="22"/>
      <c r="O726" s="145"/>
      <c r="P726" s="145"/>
      <c r="Q726" s="145"/>
      <c r="R726" s="145"/>
      <c r="S726" s="22"/>
      <c r="T726" s="145"/>
      <c r="U726" s="145"/>
      <c r="V726" s="145"/>
      <c r="W726" s="145"/>
      <c r="X726" s="53"/>
      <c r="Y726" s="74"/>
      <c r="Z726" s="145"/>
      <c r="AA726" s="145"/>
      <c r="AB726" s="145"/>
      <c r="AC726" s="146"/>
      <c r="AD726" s="145"/>
      <c r="AE726" s="145"/>
      <c r="AF726" s="145"/>
      <c r="AG726" s="145"/>
      <c r="AH726" s="146"/>
      <c r="AI726" s="145"/>
      <c r="AJ726" s="145"/>
      <c r="AK726" s="145"/>
      <c r="AL726" s="145"/>
      <c r="AM726" s="145"/>
      <c r="AN726" s="145"/>
      <c r="AO726" s="145"/>
      <c r="AP726" s="74"/>
      <c r="AQ726" s="74"/>
      <c r="AR726" s="74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</row>
    <row r="727" spans="1:85" ht="15.75" customHeight="1" x14ac:dyDescent="0.45">
      <c r="A727" s="22"/>
      <c r="B727" s="12"/>
      <c r="C727" s="12"/>
      <c r="D727" s="155"/>
      <c r="E727" s="22"/>
      <c r="F727" s="22"/>
      <c r="G727" s="12"/>
      <c r="H727" s="22"/>
      <c r="I727" s="22"/>
      <c r="J727" s="22"/>
      <c r="K727" s="22"/>
      <c r="L727" s="22"/>
      <c r="M727" s="22"/>
      <c r="N727" s="22"/>
      <c r="O727" s="145"/>
      <c r="P727" s="145"/>
      <c r="Q727" s="145"/>
      <c r="R727" s="145"/>
      <c r="S727" s="22"/>
      <c r="T727" s="145"/>
      <c r="U727" s="145"/>
      <c r="V727" s="145"/>
      <c r="W727" s="145"/>
      <c r="X727" s="53"/>
      <c r="Y727" s="74"/>
      <c r="Z727" s="145"/>
      <c r="AA727" s="145"/>
      <c r="AB727" s="145"/>
      <c r="AC727" s="146"/>
      <c r="AD727" s="145"/>
      <c r="AE727" s="145"/>
      <c r="AF727" s="145"/>
      <c r="AG727" s="145"/>
      <c r="AH727" s="146"/>
      <c r="AI727" s="145"/>
      <c r="AJ727" s="145"/>
      <c r="AK727" s="145"/>
      <c r="AL727" s="145"/>
      <c r="AM727" s="145"/>
      <c r="AN727" s="145"/>
      <c r="AO727" s="145"/>
      <c r="AP727" s="74"/>
      <c r="AQ727" s="74"/>
      <c r="AR727" s="74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</row>
    <row r="728" spans="1:85" ht="15.75" customHeight="1" x14ac:dyDescent="0.45">
      <c r="A728" s="22"/>
      <c r="B728" s="12"/>
      <c r="C728" s="12"/>
      <c r="D728" s="155"/>
      <c r="E728" s="22"/>
      <c r="F728" s="22"/>
      <c r="G728" s="12"/>
      <c r="H728" s="22"/>
      <c r="I728" s="22"/>
      <c r="J728" s="22"/>
      <c r="K728" s="22"/>
      <c r="L728" s="22"/>
      <c r="M728" s="22"/>
      <c r="N728" s="22"/>
      <c r="O728" s="145"/>
      <c r="P728" s="145"/>
      <c r="Q728" s="145"/>
      <c r="R728" s="145"/>
      <c r="S728" s="22"/>
      <c r="T728" s="145"/>
      <c r="U728" s="145"/>
      <c r="V728" s="145"/>
      <c r="W728" s="145"/>
      <c r="X728" s="53"/>
      <c r="Y728" s="74"/>
      <c r="Z728" s="145"/>
      <c r="AA728" s="145"/>
      <c r="AB728" s="145"/>
      <c r="AC728" s="146"/>
      <c r="AD728" s="145"/>
      <c r="AE728" s="145"/>
      <c r="AF728" s="145"/>
      <c r="AG728" s="145"/>
      <c r="AH728" s="146"/>
      <c r="AI728" s="145"/>
      <c r="AJ728" s="145"/>
      <c r="AK728" s="145"/>
      <c r="AL728" s="145"/>
      <c r="AM728" s="145"/>
      <c r="AN728" s="145"/>
      <c r="AO728" s="145"/>
      <c r="AP728" s="74"/>
      <c r="AQ728" s="74"/>
      <c r="AR728" s="74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</row>
    <row r="729" spans="1:85" ht="15.75" customHeight="1" x14ac:dyDescent="0.45">
      <c r="A729" s="22"/>
      <c r="B729" s="12"/>
      <c r="C729" s="12"/>
      <c r="D729" s="155"/>
      <c r="E729" s="22"/>
      <c r="F729" s="22"/>
      <c r="G729" s="12"/>
      <c r="H729" s="22"/>
      <c r="I729" s="22"/>
      <c r="J729" s="22"/>
      <c r="K729" s="22"/>
      <c r="L729" s="22"/>
      <c r="M729" s="22"/>
      <c r="N729" s="22"/>
      <c r="O729" s="145"/>
      <c r="P729" s="145"/>
      <c r="Q729" s="145"/>
      <c r="R729" s="145"/>
      <c r="S729" s="22"/>
      <c r="T729" s="145"/>
      <c r="U729" s="145"/>
      <c r="V729" s="145"/>
      <c r="W729" s="145"/>
      <c r="X729" s="53"/>
      <c r="Y729" s="74"/>
      <c r="Z729" s="145"/>
      <c r="AA729" s="145"/>
      <c r="AB729" s="145"/>
      <c r="AC729" s="146"/>
      <c r="AD729" s="145"/>
      <c r="AE729" s="145"/>
      <c r="AF729" s="145"/>
      <c r="AG729" s="145"/>
      <c r="AH729" s="146"/>
      <c r="AI729" s="145"/>
      <c r="AJ729" s="145"/>
      <c r="AK729" s="145"/>
      <c r="AL729" s="145"/>
      <c r="AM729" s="145"/>
      <c r="AN729" s="145"/>
      <c r="AO729" s="145"/>
      <c r="AP729" s="74"/>
      <c r="AQ729" s="74"/>
      <c r="AR729" s="74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</row>
    <row r="730" spans="1:85" ht="15.75" customHeight="1" x14ac:dyDescent="0.45">
      <c r="A730" s="22"/>
      <c r="B730" s="12"/>
      <c r="C730" s="12"/>
      <c r="D730" s="155"/>
      <c r="E730" s="22"/>
      <c r="F730" s="22"/>
      <c r="G730" s="12"/>
      <c r="H730" s="22"/>
      <c r="I730" s="22"/>
      <c r="J730" s="22"/>
      <c r="K730" s="22"/>
      <c r="L730" s="22"/>
      <c r="M730" s="22"/>
      <c r="N730" s="22"/>
      <c r="O730" s="145"/>
      <c r="P730" s="145"/>
      <c r="Q730" s="145"/>
      <c r="R730" s="145"/>
      <c r="S730" s="22"/>
      <c r="T730" s="145"/>
      <c r="U730" s="145"/>
      <c r="V730" s="145"/>
      <c r="W730" s="145"/>
      <c r="X730" s="53"/>
      <c r="Y730" s="74"/>
      <c r="Z730" s="145"/>
      <c r="AA730" s="145"/>
      <c r="AB730" s="145"/>
      <c r="AC730" s="146"/>
      <c r="AD730" s="145"/>
      <c r="AE730" s="145"/>
      <c r="AF730" s="145"/>
      <c r="AG730" s="145"/>
      <c r="AH730" s="146"/>
      <c r="AI730" s="145"/>
      <c r="AJ730" s="145"/>
      <c r="AK730" s="145"/>
      <c r="AL730" s="145"/>
      <c r="AM730" s="145"/>
      <c r="AN730" s="145"/>
      <c r="AO730" s="145"/>
      <c r="AP730" s="74"/>
      <c r="AQ730" s="74"/>
      <c r="AR730" s="74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</row>
    <row r="731" spans="1:85" ht="15.75" customHeight="1" x14ac:dyDescent="0.45">
      <c r="A731" s="22"/>
      <c r="B731" s="12"/>
      <c r="C731" s="12"/>
      <c r="D731" s="155"/>
      <c r="E731" s="22"/>
      <c r="F731" s="22"/>
      <c r="G731" s="12"/>
      <c r="H731" s="22"/>
      <c r="I731" s="22"/>
      <c r="J731" s="22"/>
      <c r="K731" s="22"/>
      <c r="L731" s="22"/>
      <c r="M731" s="22"/>
      <c r="N731" s="22"/>
      <c r="O731" s="145"/>
      <c r="P731" s="145"/>
      <c r="Q731" s="145"/>
      <c r="R731" s="145"/>
      <c r="S731" s="22"/>
      <c r="T731" s="145"/>
      <c r="U731" s="145"/>
      <c r="V731" s="145"/>
      <c r="W731" s="145"/>
      <c r="X731" s="53"/>
      <c r="Y731" s="74"/>
      <c r="Z731" s="145"/>
      <c r="AA731" s="145"/>
      <c r="AB731" s="145"/>
      <c r="AC731" s="146"/>
      <c r="AD731" s="145"/>
      <c r="AE731" s="145"/>
      <c r="AF731" s="145"/>
      <c r="AG731" s="145"/>
      <c r="AH731" s="146"/>
      <c r="AI731" s="145"/>
      <c r="AJ731" s="145"/>
      <c r="AK731" s="145"/>
      <c r="AL731" s="145"/>
      <c r="AM731" s="145"/>
      <c r="AN731" s="145"/>
      <c r="AO731" s="145"/>
      <c r="AP731" s="74"/>
      <c r="AQ731" s="74"/>
      <c r="AR731" s="74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</row>
    <row r="732" spans="1:85" ht="15.75" customHeight="1" x14ac:dyDescent="0.45">
      <c r="A732" s="22"/>
      <c r="B732" s="12"/>
      <c r="C732" s="12"/>
      <c r="D732" s="155"/>
      <c r="E732" s="22"/>
      <c r="F732" s="22"/>
      <c r="G732" s="12"/>
      <c r="H732" s="22"/>
      <c r="I732" s="22"/>
      <c r="J732" s="22"/>
      <c r="K732" s="22"/>
      <c r="L732" s="22"/>
      <c r="M732" s="22"/>
      <c r="N732" s="22"/>
      <c r="O732" s="145"/>
      <c r="P732" s="145"/>
      <c r="Q732" s="145"/>
      <c r="R732" s="145"/>
      <c r="S732" s="22"/>
      <c r="T732" s="145"/>
      <c r="U732" s="145"/>
      <c r="V732" s="145"/>
      <c r="W732" s="145"/>
      <c r="X732" s="53"/>
      <c r="Y732" s="74"/>
      <c r="Z732" s="145"/>
      <c r="AA732" s="145"/>
      <c r="AB732" s="145"/>
      <c r="AC732" s="146"/>
      <c r="AD732" s="145"/>
      <c r="AE732" s="145"/>
      <c r="AF732" s="145"/>
      <c r="AG732" s="145"/>
      <c r="AH732" s="146"/>
      <c r="AI732" s="145"/>
      <c r="AJ732" s="145"/>
      <c r="AK732" s="145"/>
      <c r="AL732" s="145"/>
      <c r="AM732" s="145"/>
      <c r="AN732" s="145"/>
      <c r="AO732" s="145"/>
      <c r="AP732" s="74"/>
      <c r="AQ732" s="74"/>
      <c r="AR732" s="74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</row>
    <row r="733" spans="1:85" ht="15.75" customHeight="1" x14ac:dyDescent="0.45">
      <c r="A733" s="22"/>
      <c r="B733" s="12"/>
      <c r="C733" s="12"/>
      <c r="D733" s="155"/>
      <c r="E733" s="22"/>
      <c r="F733" s="22"/>
      <c r="G733" s="12"/>
      <c r="H733" s="22"/>
      <c r="I733" s="22"/>
      <c r="J733" s="22"/>
      <c r="K733" s="22"/>
      <c r="L733" s="22"/>
      <c r="M733" s="22"/>
      <c r="N733" s="22"/>
      <c r="O733" s="145"/>
      <c r="P733" s="145"/>
      <c r="Q733" s="145"/>
      <c r="R733" s="145"/>
      <c r="S733" s="22"/>
      <c r="T733" s="145"/>
      <c r="U733" s="145"/>
      <c r="V733" s="145"/>
      <c r="W733" s="145"/>
      <c r="X733" s="53"/>
      <c r="Y733" s="74"/>
      <c r="Z733" s="145"/>
      <c r="AA733" s="145"/>
      <c r="AB733" s="145"/>
      <c r="AC733" s="146"/>
      <c r="AD733" s="145"/>
      <c r="AE733" s="145"/>
      <c r="AF733" s="145"/>
      <c r="AG733" s="145"/>
      <c r="AH733" s="146"/>
      <c r="AI733" s="145"/>
      <c r="AJ733" s="145"/>
      <c r="AK733" s="145"/>
      <c r="AL733" s="145"/>
      <c r="AM733" s="145"/>
      <c r="AN733" s="145"/>
      <c r="AO733" s="145"/>
      <c r="AP733" s="74"/>
      <c r="AQ733" s="74"/>
      <c r="AR733" s="74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</row>
    <row r="734" spans="1:85" ht="15.75" customHeight="1" x14ac:dyDescent="0.45">
      <c r="A734" s="22"/>
      <c r="B734" s="12"/>
      <c r="C734" s="12"/>
      <c r="D734" s="155"/>
      <c r="E734" s="22"/>
      <c r="F734" s="22"/>
      <c r="G734" s="12"/>
      <c r="H734" s="22"/>
      <c r="I734" s="22"/>
      <c r="J734" s="22"/>
      <c r="K734" s="22"/>
      <c r="L734" s="22"/>
      <c r="M734" s="22"/>
      <c r="N734" s="22"/>
      <c r="O734" s="145"/>
      <c r="P734" s="145"/>
      <c r="Q734" s="145"/>
      <c r="R734" s="145"/>
      <c r="S734" s="22"/>
      <c r="T734" s="145"/>
      <c r="U734" s="145"/>
      <c r="V734" s="145"/>
      <c r="W734" s="145"/>
      <c r="X734" s="53"/>
      <c r="Y734" s="74"/>
      <c r="Z734" s="145"/>
      <c r="AA734" s="145"/>
      <c r="AB734" s="145"/>
      <c r="AC734" s="146"/>
      <c r="AD734" s="145"/>
      <c r="AE734" s="145"/>
      <c r="AF734" s="145"/>
      <c r="AG734" s="145"/>
      <c r="AH734" s="146"/>
      <c r="AI734" s="145"/>
      <c r="AJ734" s="145"/>
      <c r="AK734" s="145"/>
      <c r="AL734" s="145"/>
      <c r="AM734" s="145"/>
      <c r="AN734" s="145"/>
      <c r="AO734" s="145"/>
      <c r="AP734" s="74"/>
      <c r="AQ734" s="74"/>
      <c r="AR734" s="74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</row>
    <row r="735" spans="1:85" ht="15.75" customHeight="1" x14ac:dyDescent="0.45">
      <c r="A735" s="22"/>
      <c r="B735" s="12"/>
      <c r="C735" s="12"/>
      <c r="D735" s="155"/>
      <c r="E735" s="22"/>
      <c r="F735" s="22"/>
      <c r="G735" s="12"/>
      <c r="H735" s="22"/>
      <c r="I735" s="22"/>
      <c r="J735" s="22"/>
      <c r="K735" s="22"/>
      <c r="L735" s="22"/>
      <c r="M735" s="22"/>
      <c r="N735" s="22"/>
      <c r="O735" s="145"/>
      <c r="P735" s="145"/>
      <c r="Q735" s="145"/>
      <c r="R735" s="145"/>
      <c r="S735" s="22"/>
      <c r="T735" s="145"/>
      <c r="U735" s="145"/>
      <c r="V735" s="145"/>
      <c r="W735" s="145"/>
      <c r="X735" s="53"/>
      <c r="Y735" s="74"/>
      <c r="Z735" s="145"/>
      <c r="AA735" s="145"/>
      <c r="AB735" s="145"/>
      <c r="AC735" s="146"/>
      <c r="AD735" s="145"/>
      <c r="AE735" s="145"/>
      <c r="AF735" s="145"/>
      <c r="AG735" s="145"/>
      <c r="AH735" s="146"/>
      <c r="AI735" s="145"/>
      <c r="AJ735" s="145"/>
      <c r="AK735" s="145"/>
      <c r="AL735" s="145"/>
      <c r="AM735" s="145"/>
      <c r="AN735" s="145"/>
      <c r="AO735" s="145"/>
      <c r="AP735" s="74"/>
      <c r="AQ735" s="74"/>
      <c r="AR735" s="74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</row>
    <row r="736" spans="1:85" ht="15.75" customHeight="1" x14ac:dyDescent="0.45">
      <c r="A736" s="22"/>
      <c r="B736" s="12"/>
      <c r="C736" s="12"/>
      <c r="D736" s="155"/>
      <c r="E736" s="22"/>
      <c r="F736" s="22"/>
      <c r="G736" s="12"/>
      <c r="H736" s="22"/>
      <c r="I736" s="22"/>
      <c r="J736" s="22"/>
      <c r="K736" s="22"/>
      <c r="L736" s="22"/>
      <c r="M736" s="22"/>
      <c r="N736" s="22"/>
      <c r="O736" s="145"/>
      <c r="P736" s="145"/>
      <c r="Q736" s="145"/>
      <c r="R736" s="145"/>
      <c r="S736" s="22"/>
      <c r="T736" s="145"/>
      <c r="U736" s="145"/>
      <c r="V736" s="145"/>
      <c r="W736" s="145"/>
      <c r="X736" s="53"/>
      <c r="Y736" s="74"/>
      <c r="Z736" s="145"/>
      <c r="AA736" s="145"/>
      <c r="AB736" s="145"/>
      <c r="AC736" s="146"/>
      <c r="AD736" s="145"/>
      <c r="AE736" s="145"/>
      <c r="AF736" s="145"/>
      <c r="AG736" s="145"/>
      <c r="AH736" s="146"/>
      <c r="AI736" s="145"/>
      <c r="AJ736" s="145"/>
      <c r="AK736" s="145"/>
      <c r="AL736" s="145"/>
      <c r="AM736" s="145"/>
      <c r="AN736" s="145"/>
      <c r="AO736" s="145"/>
      <c r="AP736" s="74"/>
      <c r="AQ736" s="74"/>
      <c r="AR736" s="74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</row>
    <row r="737" spans="1:85" ht="15.75" customHeight="1" x14ac:dyDescent="0.45">
      <c r="A737" s="22"/>
      <c r="B737" s="12"/>
      <c r="C737" s="12"/>
      <c r="D737" s="155"/>
      <c r="E737" s="22"/>
      <c r="F737" s="22"/>
      <c r="G737" s="12"/>
      <c r="H737" s="22"/>
      <c r="I737" s="22"/>
      <c r="J737" s="22"/>
      <c r="K737" s="22"/>
      <c r="L737" s="22"/>
      <c r="M737" s="22"/>
      <c r="N737" s="22"/>
      <c r="O737" s="145"/>
      <c r="P737" s="145"/>
      <c r="Q737" s="145"/>
      <c r="R737" s="145"/>
      <c r="S737" s="22"/>
      <c r="T737" s="145"/>
      <c r="U737" s="145"/>
      <c r="V737" s="145"/>
      <c r="W737" s="145"/>
      <c r="X737" s="53"/>
      <c r="Y737" s="74"/>
      <c r="Z737" s="145"/>
      <c r="AA737" s="145"/>
      <c r="AB737" s="145"/>
      <c r="AC737" s="146"/>
      <c r="AD737" s="145"/>
      <c r="AE737" s="145"/>
      <c r="AF737" s="145"/>
      <c r="AG737" s="145"/>
      <c r="AH737" s="146"/>
      <c r="AI737" s="145"/>
      <c r="AJ737" s="145"/>
      <c r="AK737" s="145"/>
      <c r="AL737" s="145"/>
      <c r="AM737" s="145"/>
      <c r="AN737" s="145"/>
      <c r="AO737" s="145"/>
      <c r="AP737" s="74"/>
      <c r="AQ737" s="74"/>
      <c r="AR737" s="74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</row>
    <row r="738" spans="1:85" ht="15.75" customHeight="1" x14ac:dyDescent="0.45">
      <c r="A738" s="22"/>
      <c r="B738" s="12"/>
      <c r="C738" s="12"/>
      <c r="D738" s="155"/>
      <c r="E738" s="22"/>
      <c r="F738" s="22"/>
      <c r="G738" s="12"/>
      <c r="H738" s="22"/>
      <c r="I738" s="22"/>
      <c r="J738" s="22"/>
      <c r="K738" s="22"/>
      <c r="L738" s="22"/>
      <c r="M738" s="22"/>
      <c r="N738" s="22"/>
      <c r="O738" s="145"/>
      <c r="P738" s="145"/>
      <c r="Q738" s="145"/>
      <c r="R738" s="145"/>
      <c r="S738" s="22"/>
      <c r="T738" s="145"/>
      <c r="U738" s="145"/>
      <c r="V738" s="145"/>
      <c r="W738" s="145"/>
      <c r="X738" s="53"/>
      <c r="Y738" s="74"/>
      <c r="Z738" s="145"/>
      <c r="AA738" s="145"/>
      <c r="AB738" s="145"/>
      <c r="AC738" s="146"/>
      <c r="AD738" s="145"/>
      <c r="AE738" s="145"/>
      <c r="AF738" s="145"/>
      <c r="AG738" s="145"/>
      <c r="AH738" s="146"/>
      <c r="AI738" s="145"/>
      <c r="AJ738" s="145"/>
      <c r="AK738" s="145"/>
      <c r="AL738" s="145"/>
      <c r="AM738" s="145"/>
      <c r="AN738" s="145"/>
      <c r="AO738" s="145"/>
      <c r="AP738" s="74"/>
      <c r="AQ738" s="74"/>
      <c r="AR738" s="74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</row>
    <row r="739" spans="1:85" ht="15.75" customHeight="1" x14ac:dyDescent="0.45">
      <c r="A739" s="22"/>
      <c r="B739" s="12"/>
      <c r="C739" s="12"/>
      <c r="D739" s="155"/>
      <c r="E739" s="22"/>
      <c r="F739" s="22"/>
      <c r="G739" s="12"/>
      <c r="H739" s="22"/>
      <c r="I739" s="22"/>
      <c r="J739" s="22"/>
      <c r="K739" s="22"/>
      <c r="L739" s="22"/>
      <c r="M739" s="22"/>
      <c r="N739" s="22"/>
      <c r="O739" s="145"/>
      <c r="P739" s="145"/>
      <c r="Q739" s="145"/>
      <c r="R739" s="145"/>
      <c r="S739" s="22"/>
      <c r="T739" s="145"/>
      <c r="U739" s="145"/>
      <c r="V739" s="145"/>
      <c r="W739" s="145"/>
      <c r="X739" s="53"/>
      <c r="Y739" s="74"/>
      <c r="Z739" s="145"/>
      <c r="AA739" s="145"/>
      <c r="AB739" s="145"/>
      <c r="AC739" s="146"/>
      <c r="AD739" s="145"/>
      <c r="AE739" s="145"/>
      <c r="AF739" s="145"/>
      <c r="AG739" s="145"/>
      <c r="AH739" s="146"/>
      <c r="AI739" s="145"/>
      <c r="AJ739" s="145"/>
      <c r="AK739" s="145"/>
      <c r="AL739" s="145"/>
      <c r="AM739" s="145"/>
      <c r="AN739" s="145"/>
      <c r="AO739" s="145"/>
      <c r="AP739" s="74"/>
      <c r="AQ739" s="74"/>
      <c r="AR739" s="74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</row>
    <row r="740" spans="1:85" ht="15.75" customHeight="1" x14ac:dyDescent="0.45">
      <c r="A740" s="22"/>
      <c r="B740" s="12"/>
      <c r="C740" s="12"/>
      <c r="D740" s="155"/>
      <c r="E740" s="22"/>
      <c r="F740" s="22"/>
      <c r="G740" s="12"/>
      <c r="H740" s="22"/>
      <c r="I740" s="22"/>
      <c r="J740" s="22"/>
      <c r="K740" s="22"/>
      <c r="L740" s="22"/>
      <c r="M740" s="22"/>
      <c r="N740" s="22"/>
      <c r="O740" s="145"/>
      <c r="P740" s="145"/>
      <c r="Q740" s="145"/>
      <c r="R740" s="145"/>
      <c r="S740" s="22"/>
      <c r="T740" s="145"/>
      <c r="U740" s="145"/>
      <c r="V740" s="145"/>
      <c r="W740" s="145"/>
      <c r="X740" s="53"/>
      <c r="Y740" s="74"/>
      <c r="Z740" s="145"/>
      <c r="AA740" s="145"/>
      <c r="AB740" s="145"/>
      <c r="AC740" s="146"/>
      <c r="AD740" s="145"/>
      <c r="AE740" s="145"/>
      <c r="AF740" s="145"/>
      <c r="AG740" s="145"/>
      <c r="AH740" s="146"/>
      <c r="AI740" s="145"/>
      <c r="AJ740" s="145"/>
      <c r="AK740" s="145"/>
      <c r="AL740" s="145"/>
      <c r="AM740" s="145"/>
      <c r="AN740" s="145"/>
      <c r="AO740" s="145"/>
      <c r="AP740" s="74"/>
      <c r="AQ740" s="74"/>
      <c r="AR740" s="74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</row>
    <row r="741" spans="1:85" ht="15.75" customHeight="1" x14ac:dyDescent="0.45">
      <c r="A741" s="22"/>
      <c r="B741" s="12"/>
      <c r="C741" s="12"/>
      <c r="D741" s="155"/>
      <c r="E741" s="22"/>
      <c r="F741" s="22"/>
      <c r="G741" s="12"/>
      <c r="H741" s="22"/>
      <c r="I741" s="22"/>
      <c r="J741" s="22"/>
      <c r="K741" s="22"/>
      <c r="L741" s="22"/>
      <c r="M741" s="22"/>
      <c r="N741" s="22"/>
      <c r="O741" s="145"/>
      <c r="P741" s="145"/>
      <c r="Q741" s="145"/>
      <c r="R741" s="145"/>
      <c r="S741" s="22"/>
      <c r="T741" s="145"/>
      <c r="U741" s="145"/>
      <c r="V741" s="145"/>
      <c r="W741" s="145"/>
      <c r="X741" s="53"/>
      <c r="Y741" s="74"/>
      <c r="Z741" s="145"/>
      <c r="AA741" s="145"/>
      <c r="AB741" s="145"/>
      <c r="AC741" s="146"/>
      <c r="AD741" s="145"/>
      <c r="AE741" s="145"/>
      <c r="AF741" s="145"/>
      <c r="AG741" s="145"/>
      <c r="AH741" s="146"/>
      <c r="AI741" s="145"/>
      <c r="AJ741" s="145"/>
      <c r="AK741" s="145"/>
      <c r="AL741" s="145"/>
      <c r="AM741" s="145"/>
      <c r="AN741" s="145"/>
      <c r="AO741" s="145"/>
      <c r="AP741" s="74"/>
      <c r="AQ741" s="74"/>
      <c r="AR741" s="74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</row>
    <row r="742" spans="1:85" ht="15.75" customHeight="1" x14ac:dyDescent="0.45">
      <c r="A742" s="22"/>
      <c r="B742" s="12"/>
      <c r="C742" s="12"/>
      <c r="D742" s="155"/>
      <c r="E742" s="22"/>
      <c r="F742" s="22"/>
      <c r="G742" s="12"/>
      <c r="H742" s="22"/>
      <c r="I742" s="22"/>
      <c r="J742" s="22"/>
      <c r="K742" s="22"/>
      <c r="L742" s="22"/>
      <c r="M742" s="22"/>
      <c r="N742" s="22"/>
      <c r="O742" s="145"/>
      <c r="P742" s="145"/>
      <c r="Q742" s="145"/>
      <c r="R742" s="145"/>
      <c r="S742" s="22"/>
      <c r="T742" s="145"/>
      <c r="U742" s="145"/>
      <c r="V742" s="145"/>
      <c r="W742" s="145"/>
      <c r="X742" s="53"/>
      <c r="Y742" s="74"/>
      <c r="Z742" s="145"/>
      <c r="AA742" s="145"/>
      <c r="AB742" s="145"/>
      <c r="AC742" s="146"/>
      <c r="AD742" s="145"/>
      <c r="AE742" s="145"/>
      <c r="AF742" s="145"/>
      <c r="AG742" s="145"/>
      <c r="AH742" s="146"/>
      <c r="AI742" s="145"/>
      <c r="AJ742" s="145"/>
      <c r="AK742" s="145"/>
      <c r="AL742" s="145"/>
      <c r="AM742" s="145"/>
      <c r="AN742" s="145"/>
      <c r="AO742" s="145"/>
      <c r="AP742" s="74"/>
      <c r="AQ742" s="74"/>
      <c r="AR742" s="74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</row>
    <row r="743" spans="1:85" ht="15.75" customHeight="1" x14ac:dyDescent="0.45">
      <c r="A743" s="22"/>
      <c r="B743" s="12"/>
      <c r="C743" s="12"/>
      <c r="D743" s="155"/>
      <c r="E743" s="22"/>
      <c r="F743" s="22"/>
      <c r="G743" s="12"/>
      <c r="H743" s="22"/>
      <c r="I743" s="22"/>
      <c r="J743" s="22"/>
      <c r="K743" s="22"/>
      <c r="L743" s="22"/>
      <c r="M743" s="22"/>
      <c r="N743" s="22"/>
      <c r="O743" s="145"/>
      <c r="P743" s="145"/>
      <c r="Q743" s="145"/>
      <c r="R743" s="145"/>
      <c r="S743" s="22"/>
      <c r="T743" s="145"/>
      <c r="U743" s="145"/>
      <c r="V743" s="145"/>
      <c r="W743" s="145"/>
      <c r="X743" s="53"/>
      <c r="Y743" s="74"/>
      <c r="Z743" s="145"/>
      <c r="AA743" s="145"/>
      <c r="AB743" s="145"/>
      <c r="AC743" s="146"/>
      <c r="AD743" s="145"/>
      <c r="AE743" s="145"/>
      <c r="AF743" s="145"/>
      <c r="AG743" s="145"/>
      <c r="AH743" s="146"/>
      <c r="AI743" s="145"/>
      <c r="AJ743" s="145"/>
      <c r="AK743" s="145"/>
      <c r="AL743" s="145"/>
      <c r="AM743" s="145"/>
      <c r="AN743" s="145"/>
      <c r="AO743" s="145"/>
      <c r="AP743" s="74"/>
      <c r="AQ743" s="74"/>
      <c r="AR743" s="74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</row>
    <row r="744" spans="1:85" ht="15.75" customHeight="1" x14ac:dyDescent="0.45">
      <c r="A744" s="22"/>
      <c r="B744" s="12"/>
      <c r="C744" s="12"/>
      <c r="D744" s="155"/>
      <c r="E744" s="22"/>
      <c r="F744" s="22"/>
      <c r="G744" s="12"/>
      <c r="H744" s="22"/>
      <c r="I744" s="22"/>
      <c r="J744" s="22"/>
      <c r="K744" s="22"/>
      <c r="L744" s="22"/>
      <c r="M744" s="22"/>
      <c r="N744" s="22"/>
      <c r="O744" s="145"/>
      <c r="P744" s="145"/>
      <c r="Q744" s="145"/>
      <c r="R744" s="145"/>
      <c r="S744" s="22"/>
      <c r="T744" s="145"/>
      <c r="U744" s="145"/>
      <c r="V744" s="145"/>
      <c r="W744" s="145"/>
      <c r="X744" s="53"/>
      <c r="Y744" s="74"/>
      <c r="Z744" s="145"/>
      <c r="AA744" s="145"/>
      <c r="AB744" s="145"/>
      <c r="AC744" s="146"/>
      <c r="AD744" s="145"/>
      <c r="AE744" s="145"/>
      <c r="AF744" s="145"/>
      <c r="AG744" s="145"/>
      <c r="AH744" s="146"/>
      <c r="AI744" s="145"/>
      <c r="AJ744" s="145"/>
      <c r="AK744" s="145"/>
      <c r="AL744" s="145"/>
      <c r="AM744" s="145"/>
      <c r="AN744" s="145"/>
      <c r="AO744" s="145"/>
      <c r="AP744" s="74"/>
      <c r="AQ744" s="74"/>
      <c r="AR744" s="74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</row>
    <row r="745" spans="1:85" ht="15.75" customHeight="1" x14ac:dyDescent="0.45">
      <c r="A745" s="22"/>
      <c r="B745" s="12"/>
      <c r="C745" s="12"/>
      <c r="D745" s="155"/>
      <c r="E745" s="22"/>
      <c r="F745" s="22"/>
      <c r="G745" s="12"/>
      <c r="H745" s="22"/>
      <c r="I745" s="22"/>
      <c r="J745" s="22"/>
      <c r="K745" s="22"/>
      <c r="L745" s="22"/>
      <c r="M745" s="22"/>
      <c r="N745" s="22"/>
      <c r="O745" s="145"/>
      <c r="P745" s="145"/>
      <c r="Q745" s="145"/>
      <c r="R745" s="145"/>
      <c r="S745" s="22"/>
      <c r="T745" s="145"/>
      <c r="U745" s="145"/>
      <c r="V745" s="145"/>
      <c r="W745" s="145"/>
      <c r="X745" s="53"/>
      <c r="Y745" s="74"/>
      <c r="Z745" s="145"/>
      <c r="AA745" s="145"/>
      <c r="AB745" s="145"/>
      <c r="AC745" s="146"/>
      <c r="AD745" s="145"/>
      <c r="AE745" s="145"/>
      <c r="AF745" s="145"/>
      <c r="AG745" s="145"/>
      <c r="AH745" s="146"/>
      <c r="AI745" s="145"/>
      <c r="AJ745" s="145"/>
      <c r="AK745" s="145"/>
      <c r="AL745" s="145"/>
      <c r="AM745" s="145"/>
      <c r="AN745" s="145"/>
      <c r="AO745" s="145"/>
      <c r="AP745" s="74"/>
      <c r="AQ745" s="74"/>
      <c r="AR745" s="74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</row>
    <row r="746" spans="1:85" ht="15.75" customHeight="1" x14ac:dyDescent="0.45">
      <c r="A746" s="22"/>
      <c r="B746" s="12"/>
      <c r="C746" s="12"/>
      <c r="D746" s="155"/>
      <c r="E746" s="22"/>
      <c r="F746" s="22"/>
      <c r="G746" s="12"/>
      <c r="H746" s="22"/>
      <c r="I746" s="22"/>
      <c r="J746" s="22"/>
      <c r="K746" s="22"/>
      <c r="L746" s="22"/>
      <c r="M746" s="22"/>
      <c r="N746" s="22"/>
      <c r="O746" s="145"/>
      <c r="P746" s="145"/>
      <c r="Q746" s="145"/>
      <c r="R746" s="145"/>
      <c r="S746" s="22"/>
      <c r="T746" s="145"/>
      <c r="U746" s="145"/>
      <c r="V746" s="145"/>
      <c r="W746" s="145"/>
      <c r="X746" s="53"/>
      <c r="Y746" s="74"/>
      <c r="Z746" s="145"/>
      <c r="AA746" s="145"/>
      <c r="AB746" s="145"/>
      <c r="AC746" s="146"/>
      <c r="AD746" s="145"/>
      <c r="AE746" s="145"/>
      <c r="AF746" s="145"/>
      <c r="AG746" s="145"/>
      <c r="AH746" s="146"/>
      <c r="AI746" s="145"/>
      <c r="AJ746" s="145"/>
      <c r="AK746" s="145"/>
      <c r="AL746" s="145"/>
      <c r="AM746" s="145"/>
      <c r="AN746" s="145"/>
      <c r="AO746" s="145"/>
      <c r="AP746" s="74"/>
      <c r="AQ746" s="74"/>
      <c r="AR746" s="74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</row>
    <row r="747" spans="1:85" ht="15.75" customHeight="1" x14ac:dyDescent="0.45">
      <c r="A747" s="22"/>
      <c r="B747" s="12"/>
      <c r="C747" s="12"/>
      <c r="D747" s="155"/>
      <c r="E747" s="22"/>
      <c r="F747" s="22"/>
      <c r="G747" s="12"/>
      <c r="H747" s="22"/>
      <c r="I747" s="22"/>
      <c r="J747" s="22"/>
      <c r="K747" s="22"/>
      <c r="L747" s="22"/>
      <c r="M747" s="22"/>
      <c r="N747" s="22"/>
      <c r="O747" s="145"/>
      <c r="P747" s="145"/>
      <c r="Q747" s="145"/>
      <c r="R747" s="145"/>
      <c r="S747" s="22"/>
      <c r="T747" s="145"/>
      <c r="U747" s="145"/>
      <c r="V747" s="145"/>
      <c r="W747" s="145"/>
      <c r="X747" s="53"/>
      <c r="Y747" s="74"/>
      <c r="Z747" s="145"/>
      <c r="AA747" s="145"/>
      <c r="AB747" s="145"/>
      <c r="AC747" s="146"/>
      <c r="AD747" s="145"/>
      <c r="AE747" s="145"/>
      <c r="AF747" s="145"/>
      <c r="AG747" s="145"/>
      <c r="AH747" s="146"/>
      <c r="AI747" s="145"/>
      <c r="AJ747" s="145"/>
      <c r="AK747" s="145"/>
      <c r="AL747" s="145"/>
      <c r="AM747" s="145"/>
      <c r="AN747" s="145"/>
      <c r="AO747" s="145"/>
      <c r="AP747" s="74"/>
      <c r="AQ747" s="74"/>
      <c r="AR747" s="74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</row>
    <row r="748" spans="1:85" ht="15.75" customHeight="1" x14ac:dyDescent="0.45">
      <c r="A748" s="22"/>
      <c r="B748" s="12"/>
      <c r="C748" s="12"/>
      <c r="D748" s="155"/>
      <c r="E748" s="22"/>
      <c r="F748" s="22"/>
      <c r="G748" s="12"/>
      <c r="H748" s="22"/>
      <c r="I748" s="22"/>
      <c r="J748" s="22"/>
      <c r="K748" s="22"/>
      <c r="L748" s="22"/>
      <c r="M748" s="22"/>
      <c r="N748" s="22"/>
      <c r="O748" s="145"/>
      <c r="P748" s="145"/>
      <c r="Q748" s="145"/>
      <c r="R748" s="145"/>
      <c r="S748" s="22"/>
      <c r="T748" s="145"/>
      <c r="U748" s="145"/>
      <c r="V748" s="145"/>
      <c r="W748" s="145"/>
      <c r="X748" s="53"/>
      <c r="Y748" s="74"/>
      <c r="Z748" s="145"/>
      <c r="AA748" s="145"/>
      <c r="AB748" s="145"/>
      <c r="AC748" s="146"/>
      <c r="AD748" s="145"/>
      <c r="AE748" s="145"/>
      <c r="AF748" s="145"/>
      <c r="AG748" s="145"/>
      <c r="AH748" s="146"/>
      <c r="AI748" s="145"/>
      <c r="AJ748" s="145"/>
      <c r="AK748" s="145"/>
      <c r="AL748" s="145"/>
      <c r="AM748" s="145"/>
      <c r="AN748" s="145"/>
      <c r="AO748" s="145"/>
      <c r="AP748" s="74"/>
      <c r="AQ748" s="74"/>
      <c r="AR748" s="74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</row>
    <row r="749" spans="1:85" ht="15.75" customHeight="1" x14ac:dyDescent="0.45">
      <c r="A749" s="22"/>
      <c r="B749" s="12"/>
      <c r="C749" s="12"/>
      <c r="D749" s="155"/>
      <c r="E749" s="22"/>
      <c r="F749" s="22"/>
      <c r="G749" s="12"/>
      <c r="H749" s="22"/>
      <c r="I749" s="22"/>
      <c r="J749" s="22"/>
      <c r="K749" s="22"/>
      <c r="L749" s="22"/>
      <c r="M749" s="22"/>
      <c r="N749" s="22"/>
      <c r="O749" s="145"/>
      <c r="P749" s="145"/>
      <c r="Q749" s="145"/>
      <c r="R749" s="145"/>
      <c r="S749" s="22"/>
      <c r="T749" s="145"/>
      <c r="U749" s="145"/>
      <c r="V749" s="145"/>
      <c r="W749" s="145"/>
      <c r="X749" s="53"/>
      <c r="Y749" s="74"/>
      <c r="Z749" s="145"/>
      <c r="AA749" s="145"/>
      <c r="AB749" s="145"/>
      <c r="AC749" s="146"/>
      <c r="AD749" s="145"/>
      <c r="AE749" s="145"/>
      <c r="AF749" s="145"/>
      <c r="AG749" s="145"/>
      <c r="AH749" s="146"/>
      <c r="AI749" s="145"/>
      <c r="AJ749" s="145"/>
      <c r="AK749" s="145"/>
      <c r="AL749" s="145"/>
      <c r="AM749" s="145"/>
      <c r="AN749" s="145"/>
      <c r="AO749" s="145"/>
      <c r="AP749" s="74"/>
      <c r="AQ749" s="74"/>
      <c r="AR749" s="74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</row>
    <row r="750" spans="1:85" ht="15.75" customHeight="1" x14ac:dyDescent="0.45">
      <c r="A750" s="22"/>
      <c r="B750" s="12"/>
      <c r="C750" s="12"/>
      <c r="D750" s="155"/>
      <c r="E750" s="22"/>
      <c r="F750" s="22"/>
      <c r="G750" s="12"/>
      <c r="H750" s="22"/>
      <c r="I750" s="22"/>
      <c r="J750" s="22"/>
      <c r="K750" s="22"/>
      <c r="L750" s="22"/>
      <c r="M750" s="22"/>
      <c r="N750" s="22"/>
      <c r="O750" s="145"/>
      <c r="P750" s="145"/>
      <c r="Q750" s="145"/>
      <c r="R750" s="145"/>
      <c r="S750" s="22"/>
      <c r="T750" s="145"/>
      <c r="U750" s="145"/>
      <c r="V750" s="145"/>
      <c r="W750" s="145"/>
      <c r="X750" s="53"/>
      <c r="Y750" s="74"/>
      <c r="Z750" s="145"/>
      <c r="AA750" s="145"/>
      <c r="AB750" s="145"/>
      <c r="AC750" s="146"/>
      <c r="AD750" s="145"/>
      <c r="AE750" s="145"/>
      <c r="AF750" s="145"/>
      <c r="AG750" s="145"/>
      <c r="AH750" s="146"/>
      <c r="AI750" s="145"/>
      <c r="AJ750" s="145"/>
      <c r="AK750" s="145"/>
      <c r="AL750" s="145"/>
      <c r="AM750" s="145"/>
      <c r="AN750" s="145"/>
      <c r="AO750" s="145"/>
      <c r="AP750" s="74"/>
      <c r="AQ750" s="74"/>
      <c r="AR750" s="74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</row>
    <row r="751" spans="1:85" ht="15.75" customHeight="1" x14ac:dyDescent="0.45">
      <c r="A751" s="22"/>
      <c r="B751" s="12"/>
      <c r="C751" s="12"/>
      <c r="D751" s="155"/>
      <c r="E751" s="22"/>
      <c r="F751" s="22"/>
      <c r="G751" s="12"/>
      <c r="H751" s="22"/>
      <c r="I751" s="22"/>
      <c r="J751" s="22"/>
      <c r="K751" s="22"/>
      <c r="L751" s="22"/>
      <c r="M751" s="22"/>
      <c r="N751" s="22"/>
      <c r="O751" s="145"/>
      <c r="P751" s="145"/>
      <c r="Q751" s="145"/>
      <c r="R751" s="145"/>
      <c r="S751" s="22"/>
      <c r="T751" s="145"/>
      <c r="U751" s="145"/>
      <c r="V751" s="145"/>
      <c r="W751" s="145"/>
      <c r="X751" s="53"/>
      <c r="Y751" s="74"/>
      <c r="Z751" s="145"/>
      <c r="AA751" s="145"/>
      <c r="AB751" s="145"/>
      <c r="AC751" s="146"/>
      <c r="AD751" s="145"/>
      <c r="AE751" s="145"/>
      <c r="AF751" s="145"/>
      <c r="AG751" s="145"/>
      <c r="AH751" s="146"/>
      <c r="AI751" s="145"/>
      <c r="AJ751" s="145"/>
      <c r="AK751" s="145"/>
      <c r="AL751" s="145"/>
      <c r="AM751" s="145"/>
      <c r="AN751" s="145"/>
      <c r="AO751" s="145"/>
      <c r="AP751" s="74"/>
      <c r="AQ751" s="74"/>
      <c r="AR751" s="74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</row>
    <row r="752" spans="1:85" ht="15.75" customHeight="1" x14ac:dyDescent="0.45">
      <c r="A752" s="22"/>
      <c r="B752" s="12"/>
      <c r="C752" s="12"/>
      <c r="D752" s="155"/>
      <c r="E752" s="22"/>
      <c r="F752" s="22"/>
      <c r="G752" s="12"/>
      <c r="H752" s="22"/>
      <c r="I752" s="22"/>
      <c r="J752" s="22"/>
      <c r="K752" s="22"/>
      <c r="L752" s="22"/>
      <c r="M752" s="22"/>
      <c r="N752" s="22"/>
      <c r="O752" s="145"/>
      <c r="P752" s="145"/>
      <c r="Q752" s="145"/>
      <c r="R752" s="145"/>
      <c r="S752" s="22"/>
      <c r="T752" s="145"/>
      <c r="U752" s="145"/>
      <c r="V752" s="145"/>
      <c r="W752" s="145"/>
      <c r="X752" s="53"/>
      <c r="Y752" s="74"/>
      <c r="Z752" s="145"/>
      <c r="AA752" s="145"/>
      <c r="AB752" s="145"/>
      <c r="AC752" s="146"/>
      <c r="AD752" s="145"/>
      <c r="AE752" s="145"/>
      <c r="AF752" s="145"/>
      <c r="AG752" s="145"/>
      <c r="AH752" s="146"/>
      <c r="AI752" s="145"/>
      <c r="AJ752" s="145"/>
      <c r="AK752" s="145"/>
      <c r="AL752" s="145"/>
      <c r="AM752" s="145"/>
      <c r="AN752" s="145"/>
      <c r="AO752" s="145"/>
      <c r="AP752" s="74"/>
      <c r="AQ752" s="74"/>
      <c r="AR752" s="74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</row>
    <row r="753" spans="1:85" ht="15.75" customHeight="1" x14ac:dyDescent="0.45">
      <c r="A753" s="22"/>
      <c r="B753" s="12"/>
      <c r="C753" s="12"/>
      <c r="D753" s="155"/>
      <c r="E753" s="22"/>
      <c r="F753" s="22"/>
      <c r="G753" s="12"/>
      <c r="H753" s="22"/>
      <c r="I753" s="22"/>
      <c r="J753" s="22"/>
      <c r="K753" s="22"/>
      <c r="L753" s="22"/>
      <c r="M753" s="22"/>
      <c r="N753" s="22"/>
      <c r="O753" s="145"/>
      <c r="P753" s="145"/>
      <c r="Q753" s="145"/>
      <c r="R753" s="145"/>
      <c r="S753" s="22"/>
      <c r="T753" s="145"/>
      <c r="U753" s="145"/>
      <c r="V753" s="145"/>
      <c r="W753" s="145"/>
      <c r="X753" s="53"/>
      <c r="Y753" s="74"/>
      <c r="Z753" s="145"/>
      <c r="AA753" s="145"/>
      <c r="AB753" s="145"/>
      <c r="AC753" s="146"/>
      <c r="AD753" s="145"/>
      <c r="AE753" s="145"/>
      <c r="AF753" s="145"/>
      <c r="AG753" s="145"/>
      <c r="AH753" s="146"/>
      <c r="AI753" s="145"/>
      <c r="AJ753" s="145"/>
      <c r="AK753" s="145"/>
      <c r="AL753" s="145"/>
      <c r="AM753" s="145"/>
      <c r="AN753" s="145"/>
      <c r="AO753" s="145"/>
      <c r="AP753" s="74"/>
      <c r="AQ753" s="74"/>
      <c r="AR753" s="74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</row>
    <row r="754" spans="1:85" ht="15.75" customHeight="1" x14ac:dyDescent="0.45">
      <c r="A754" s="22"/>
      <c r="B754" s="12"/>
      <c r="C754" s="12"/>
      <c r="D754" s="155"/>
      <c r="E754" s="22"/>
      <c r="F754" s="22"/>
      <c r="G754" s="12"/>
      <c r="H754" s="22"/>
      <c r="I754" s="22"/>
      <c r="J754" s="22"/>
      <c r="K754" s="22"/>
      <c r="L754" s="22"/>
      <c r="M754" s="22"/>
      <c r="N754" s="22"/>
      <c r="O754" s="145"/>
      <c r="P754" s="145"/>
      <c r="Q754" s="145"/>
      <c r="R754" s="145"/>
      <c r="S754" s="22"/>
      <c r="T754" s="145"/>
      <c r="U754" s="145"/>
      <c r="V754" s="145"/>
      <c r="W754" s="145"/>
      <c r="X754" s="53"/>
      <c r="Y754" s="74"/>
      <c r="Z754" s="145"/>
      <c r="AA754" s="145"/>
      <c r="AB754" s="145"/>
      <c r="AC754" s="146"/>
      <c r="AD754" s="145"/>
      <c r="AE754" s="145"/>
      <c r="AF754" s="145"/>
      <c r="AG754" s="145"/>
      <c r="AH754" s="146"/>
      <c r="AI754" s="145"/>
      <c r="AJ754" s="145"/>
      <c r="AK754" s="145"/>
      <c r="AL754" s="145"/>
      <c r="AM754" s="145"/>
      <c r="AN754" s="145"/>
      <c r="AO754" s="145"/>
      <c r="AP754" s="74"/>
      <c r="AQ754" s="74"/>
      <c r="AR754" s="74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</row>
    <row r="755" spans="1:85" ht="15.75" customHeight="1" x14ac:dyDescent="0.45">
      <c r="A755" s="22"/>
      <c r="B755" s="12"/>
      <c r="C755" s="12"/>
      <c r="D755" s="155"/>
      <c r="E755" s="22"/>
      <c r="F755" s="22"/>
      <c r="G755" s="12"/>
      <c r="H755" s="22"/>
      <c r="I755" s="22"/>
      <c r="J755" s="22"/>
      <c r="K755" s="22"/>
      <c r="L755" s="22"/>
      <c r="M755" s="22"/>
      <c r="N755" s="22"/>
      <c r="O755" s="145"/>
      <c r="P755" s="145"/>
      <c r="Q755" s="145"/>
      <c r="R755" s="145"/>
      <c r="S755" s="22"/>
      <c r="T755" s="145"/>
      <c r="U755" s="145"/>
      <c r="V755" s="145"/>
      <c r="W755" s="145"/>
      <c r="X755" s="53"/>
      <c r="Y755" s="74"/>
      <c r="Z755" s="145"/>
      <c r="AA755" s="145"/>
      <c r="AB755" s="145"/>
      <c r="AC755" s="146"/>
      <c r="AD755" s="145"/>
      <c r="AE755" s="145"/>
      <c r="AF755" s="145"/>
      <c r="AG755" s="145"/>
      <c r="AH755" s="146"/>
      <c r="AI755" s="145"/>
      <c r="AJ755" s="145"/>
      <c r="AK755" s="145"/>
      <c r="AL755" s="145"/>
      <c r="AM755" s="145"/>
      <c r="AN755" s="145"/>
      <c r="AO755" s="145"/>
      <c r="AP755" s="74"/>
      <c r="AQ755" s="74"/>
      <c r="AR755" s="74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</row>
    <row r="756" spans="1:85" ht="15.75" customHeight="1" x14ac:dyDescent="0.45">
      <c r="A756" s="22"/>
      <c r="B756" s="12"/>
      <c r="C756" s="12"/>
      <c r="D756" s="155"/>
      <c r="E756" s="22"/>
      <c r="F756" s="22"/>
      <c r="G756" s="12"/>
      <c r="H756" s="22"/>
      <c r="I756" s="22"/>
      <c r="J756" s="22"/>
      <c r="K756" s="22"/>
      <c r="L756" s="22"/>
      <c r="M756" s="22"/>
      <c r="N756" s="22"/>
      <c r="O756" s="145"/>
      <c r="P756" s="145"/>
      <c r="Q756" s="145"/>
      <c r="R756" s="145"/>
      <c r="S756" s="22"/>
      <c r="T756" s="145"/>
      <c r="U756" s="145"/>
      <c r="V756" s="145"/>
      <c r="W756" s="145"/>
      <c r="X756" s="53"/>
      <c r="Y756" s="74"/>
      <c r="Z756" s="145"/>
      <c r="AA756" s="145"/>
      <c r="AB756" s="145"/>
      <c r="AC756" s="146"/>
      <c r="AD756" s="145"/>
      <c r="AE756" s="145"/>
      <c r="AF756" s="145"/>
      <c r="AG756" s="145"/>
      <c r="AH756" s="146"/>
      <c r="AI756" s="145"/>
      <c r="AJ756" s="145"/>
      <c r="AK756" s="145"/>
      <c r="AL756" s="145"/>
      <c r="AM756" s="145"/>
      <c r="AN756" s="145"/>
      <c r="AO756" s="145"/>
      <c r="AP756" s="74"/>
      <c r="AQ756" s="74"/>
      <c r="AR756" s="74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</row>
    <row r="757" spans="1:85" ht="15.75" customHeight="1" x14ac:dyDescent="0.45">
      <c r="A757" s="22"/>
      <c r="B757" s="12"/>
      <c r="C757" s="12"/>
      <c r="D757" s="155"/>
      <c r="E757" s="22"/>
      <c r="F757" s="22"/>
      <c r="G757" s="12"/>
      <c r="H757" s="22"/>
      <c r="I757" s="22"/>
      <c r="J757" s="22"/>
      <c r="K757" s="22"/>
      <c r="L757" s="22"/>
      <c r="M757" s="22"/>
      <c r="N757" s="22"/>
      <c r="O757" s="145"/>
      <c r="P757" s="145"/>
      <c r="Q757" s="145"/>
      <c r="R757" s="145"/>
      <c r="S757" s="22"/>
      <c r="T757" s="145"/>
      <c r="U757" s="145"/>
      <c r="V757" s="145"/>
      <c r="W757" s="145"/>
      <c r="X757" s="53"/>
      <c r="Y757" s="74"/>
      <c r="Z757" s="145"/>
      <c r="AA757" s="145"/>
      <c r="AB757" s="145"/>
      <c r="AC757" s="146"/>
      <c r="AD757" s="145"/>
      <c r="AE757" s="145"/>
      <c r="AF757" s="145"/>
      <c r="AG757" s="145"/>
      <c r="AH757" s="146"/>
      <c r="AI757" s="145"/>
      <c r="AJ757" s="145"/>
      <c r="AK757" s="145"/>
      <c r="AL757" s="145"/>
      <c r="AM757" s="145"/>
      <c r="AN757" s="145"/>
      <c r="AO757" s="145"/>
      <c r="AP757" s="74"/>
      <c r="AQ757" s="74"/>
      <c r="AR757" s="74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</row>
    <row r="758" spans="1:85" ht="15.75" customHeight="1" x14ac:dyDescent="0.45">
      <c r="A758" s="22"/>
      <c r="B758" s="12"/>
      <c r="C758" s="12"/>
      <c r="D758" s="155"/>
      <c r="E758" s="22"/>
      <c r="F758" s="22"/>
      <c r="G758" s="12"/>
      <c r="H758" s="22"/>
      <c r="I758" s="22"/>
      <c r="J758" s="22"/>
      <c r="K758" s="22"/>
      <c r="L758" s="22"/>
      <c r="M758" s="22"/>
      <c r="N758" s="22"/>
      <c r="O758" s="145"/>
      <c r="P758" s="145"/>
      <c r="Q758" s="145"/>
      <c r="R758" s="145"/>
      <c r="S758" s="22"/>
      <c r="T758" s="145"/>
      <c r="U758" s="145"/>
      <c r="V758" s="145"/>
      <c r="W758" s="145"/>
      <c r="X758" s="53"/>
      <c r="Y758" s="74"/>
      <c r="Z758" s="145"/>
      <c r="AA758" s="145"/>
      <c r="AB758" s="145"/>
      <c r="AC758" s="146"/>
      <c r="AD758" s="145"/>
      <c r="AE758" s="145"/>
      <c r="AF758" s="145"/>
      <c r="AG758" s="145"/>
      <c r="AH758" s="146"/>
      <c r="AI758" s="145"/>
      <c r="AJ758" s="145"/>
      <c r="AK758" s="145"/>
      <c r="AL758" s="145"/>
      <c r="AM758" s="145"/>
      <c r="AN758" s="145"/>
      <c r="AO758" s="145"/>
      <c r="AP758" s="74"/>
      <c r="AQ758" s="74"/>
      <c r="AR758" s="74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</row>
    <row r="759" spans="1:85" ht="15.75" customHeight="1" x14ac:dyDescent="0.45">
      <c r="A759" s="22"/>
      <c r="B759" s="12"/>
      <c r="C759" s="12"/>
      <c r="D759" s="155"/>
      <c r="E759" s="22"/>
      <c r="F759" s="22"/>
      <c r="G759" s="12"/>
      <c r="H759" s="22"/>
      <c r="I759" s="22"/>
      <c r="J759" s="22"/>
      <c r="K759" s="22"/>
      <c r="L759" s="22"/>
      <c r="M759" s="22"/>
      <c r="N759" s="22"/>
      <c r="O759" s="145"/>
      <c r="P759" s="145"/>
      <c r="Q759" s="145"/>
      <c r="R759" s="145"/>
      <c r="S759" s="22"/>
      <c r="T759" s="145"/>
      <c r="U759" s="145"/>
      <c r="V759" s="145"/>
      <c r="W759" s="145"/>
      <c r="X759" s="53"/>
      <c r="Y759" s="74"/>
      <c r="Z759" s="145"/>
      <c r="AA759" s="145"/>
      <c r="AB759" s="145"/>
      <c r="AC759" s="146"/>
      <c r="AD759" s="145"/>
      <c r="AE759" s="145"/>
      <c r="AF759" s="145"/>
      <c r="AG759" s="145"/>
      <c r="AH759" s="146"/>
      <c r="AI759" s="145"/>
      <c r="AJ759" s="145"/>
      <c r="AK759" s="145"/>
      <c r="AL759" s="145"/>
      <c r="AM759" s="145"/>
      <c r="AN759" s="145"/>
      <c r="AO759" s="145"/>
      <c r="AP759" s="74"/>
      <c r="AQ759" s="74"/>
      <c r="AR759" s="74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</row>
    <row r="760" spans="1:85" ht="15.75" customHeight="1" x14ac:dyDescent="0.45">
      <c r="A760" s="22"/>
      <c r="B760" s="12"/>
      <c r="C760" s="12"/>
      <c r="D760" s="155"/>
      <c r="E760" s="22"/>
      <c r="F760" s="22"/>
      <c r="G760" s="12"/>
      <c r="H760" s="22"/>
      <c r="I760" s="22"/>
      <c r="J760" s="22"/>
      <c r="K760" s="22"/>
      <c r="L760" s="22"/>
      <c r="M760" s="22"/>
      <c r="N760" s="22"/>
      <c r="O760" s="145"/>
      <c r="P760" s="145"/>
      <c r="Q760" s="145"/>
      <c r="R760" s="145"/>
      <c r="S760" s="22"/>
      <c r="T760" s="145"/>
      <c r="U760" s="145"/>
      <c r="V760" s="145"/>
      <c r="W760" s="145"/>
      <c r="X760" s="53"/>
      <c r="Y760" s="74"/>
      <c r="Z760" s="145"/>
      <c r="AA760" s="145"/>
      <c r="AB760" s="145"/>
      <c r="AC760" s="146"/>
      <c r="AD760" s="145"/>
      <c r="AE760" s="145"/>
      <c r="AF760" s="145"/>
      <c r="AG760" s="145"/>
      <c r="AH760" s="146"/>
      <c r="AI760" s="145"/>
      <c r="AJ760" s="145"/>
      <c r="AK760" s="145"/>
      <c r="AL760" s="145"/>
      <c r="AM760" s="145"/>
      <c r="AN760" s="145"/>
      <c r="AO760" s="145"/>
      <c r="AP760" s="74"/>
      <c r="AQ760" s="74"/>
      <c r="AR760" s="74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</row>
    <row r="761" spans="1:85" ht="15.75" customHeight="1" x14ac:dyDescent="0.45">
      <c r="A761" s="22"/>
      <c r="B761" s="12"/>
      <c r="C761" s="12"/>
      <c r="D761" s="155"/>
      <c r="E761" s="22"/>
      <c r="F761" s="22"/>
      <c r="G761" s="12"/>
      <c r="H761" s="22"/>
      <c r="I761" s="22"/>
      <c r="J761" s="22"/>
      <c r="K761" s="22"/>
      <c r="L761" s="22"/>
      <c r="M761" s="22"/>
      <c r="N761" s="22"/>
      <c r="O761" s="145"/>
      <c r="P761" s="145"/>
      <c r="Q761" s="145"/>
      <c r="R761" s="145"/>
      <c r="S761" s="22"/>
      <c r="T761" s="145"/>
      <c r="U761" s="145"/>
      <c r="V761" s="145"/>
      <c r="W761" s="145"/>
      <c r="X761" s="53"/>
      <c r="Y761" s="74"/>
      <c r="Z761" s="145"/>
      <c r="AA761" s="145"/>
      <c r="AB761" s="145"/>
      <c r="AC761" s="146"/>
      <c r="AD761" s="145"/>
      <c r="AE761" s="145"/>
      <c r="AF761" s="145"/>
      <c r="AG761" s="145"/>
      <c r="AH761" s="146"/>
      <c r="AI761" s="145"/>
      <c r="AJ761" s="145"/>
      <c r="AK761" s="145"/>
      <c r="AL761" s="145"/>
      <c r="AM761" s="145"/>
      <c r="AN761" s="145"/>
      <c r="AO761" s="145"/>
      <c r="AP761" s="74"/>
      <c r="AQ761" s="74"/>
      <c r="AR761" s="74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</row>
    <row r="762" spans="1:85" ht="15.75" customHeight="1" x14ac:dyDescent="0.45">
      <c r="A762" s="22"/>
      <c r="B762" s="12"/>
      <c r="C762" s="12"/>
      <c r="D762" s="155"/>
      <c r="E762" s="22"/>
      <c r="F762" s="22"/>
      <c r="G762" s="12"/>
      <c r="H762" s="22"/>
      <c r="I762" s="22"/>
      <c r="J762" s="22"/>
      <c r="K762" s="22"/>
      <c r="L762" s="22"/>
      <c r="M762" s="22"/>
      <c r="N762" s="22"/>
      <c r="O762" s="145"/>
      <c r="P762" s="145"/>
      <c r="Q762" s="145"/>
      <c r="R762" s="145"/>
      <c r="S762" s="22"/>
      <c r="T762" s="145"/>
      <c r="U762" s="145"/>
      <c r="V762" s="145"/>
      <c r="W762" s="145"/>
      <c r="X762" s="53"/>
      <c r="Y762" s="74"/>
      <c r="Z762" s="145"/>
      <c r="AA762" s="145"/>
      <c r="AB762" s="145"/>
      <c r="AC762" s="146"/>
      <c r="AD762" s="145"/>
      <c r="AE762" s="145"/>
      <c r="AF762" s="145"/>
      <c r="AG762" s="145"/>
      <c r="AH762" s="146"/>
      <c r="AI762" s="145"/>
      <c r="AJ762" s="145"/>
      <c r="AK762" s="145"/>
      <c r="AL762" s="145"/>
      <c r="AM762" s="145"/>
      <c r="AN762" s="145"/>
      <c r="AO762" s="145"/>
      <c r="AP762" s="74"/>
      <c r="AQ762" s="74"/>
      <c r="AR762" s="74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</row>
    <row r="763" spans="1:85" ht="15.75" customHeight="1" x14ac:dyDescent="0.45">
      <c r="A763" s="22"/>
      <c r="B763" s="12"/>
      <c r="C763" s="12"/>
      <c r="D763" s="155"/>
      <c r="E763" s="22"/>
      <c r="F763" s="22"/>
      <c r="G763" s="12"/>
      <c r="H763" s="22"/>
      <c r="I763" s="22"/>
      <c r="J763" s="22"/>
      <c r="K763" s="22"/>
      <c r="L763" s="22"/>
      <c r="M763" s="22"/>
      <c r="N763" s="22"/>
      <c r="O763" s="145"/>
      <c r="P763" s="145"/>
      <c r="Q763" s="145"/>
      <c r="R763" s="145"/>
      <c r="S763" s="22"/>
      <c r="T763" s="145"/>
      <c r="U763" s="145"/>
      <c r="V763" s="145"/>
      <c r="W763" s="145"/>
      <c r="X763" s="53"/>
      <c r="Y763" s="74"/>
      <c r="Z763" s="145"/>
      <c r="AA763" s="145"/>
      <c r="AB763" s="145"/>
      <c r="AC763" s="146"/>
      <c r="AD763" s="145"/>
      <c r="AE763" s="145"/>
      <c r="AF763" s="145"/>
      <c r="AG763" s="145"/>
      <c r="AH763" s="146"/>
      <c r="AI763" s="145"/>
      <c r="AJ763" s="145"/>
      <c r="AK763" s="145"/>
      <c r="AL763" s="145"/>
      <c r="AM763" s="145"/>
      <c r="AN763" s="145"/>
      <c r="AO763" s="145"/>
      <c r="AP763" s="74"/>
      <c r="AQ763" s="74"/>
      <c r="AR763" s="74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</row>
    <row r="764" spans="1:85" ht="15.75" customHeight="1" x14ac:dyDescent="0.45">
      <c r="A764" s="22"/>
      <c r="B764" s="12"/>
      <c r="C764" s="12"/>
      <c r="D764" s="155"/>
      <c r="E764" s="22"/>
      <c r="F764" s="22"/>
      <c r="G764" s="12"/>
      <c r="H764" s="22"/>
      <c r="I764" s="22"/>
      <c r="J764" s="22"/>
      <c r="K764" s="22"/>
      <c r="L764" s="22"/>
      <c r="M764" s="22"/>
      <c r="N764" s="22"/>
      <c r="O764" s="145"/>
      <c r="P764" s="145"/>
      <c r="Q764" s="145"/>
      <c r="R764" s="145"/>
      <c r="S764" s="22"/>
      <c r="T764" s="145"/>
      <c r="U764" s="145"/>
      <c r="V764" s="145"/>
      <c r="W764" s="145"/>
      <c r="X764" s="53"/>
      <c r="Y764" s="74"/>
      <c r="Z764" s="145"/>
      <c r="AA764" s="145"/>
      <c r="AB764" s="145"/>
      <c r="AC764" s="146"/>
      <c r="AD764" s="145"/>
      <c r="AE764" s="145"/>
      <c r="AF764" s="145"/>
      <c r="AG764" s="145"/>
      <c r="AH764" s="146"/>
      <c r="AI764" s="145"/>
      <c r="AJ764" s="145"/>
      <c r="AK764" s="145"/>
      <c r="AL764" s="145"/>
      <c r="AM764" s="145"/>
      <c r="AN764" s="145"/>
      <c r="AO764" s="145"/>
      <c r="AP764" s="74"/>
      <c r="AQ764" s="74"/>
      <c r="AR764" s="74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</row>
    <row r="765" spans="1:85" ht="15.75" customHeight="1" x14ac:dyDescent="0.45">
      <c r="A765" s="22"/>
      <c r="B765" s="12"/>
      <c r="C765" s="12"/>
      <c r="D765" s="155"/>
      <c r="E765" s="22"/>
      <c r="F765" s="22"/>
      <c r="G765" s="12"/>
      <c r="H765" s="22"/>
      <c r="I765" s="22"/>
      <c r="J765" s="22"/>
      <c r="K765" s="22"/>
      <c r="L765" s="22"/>
      <c r="M765" s="22"/>
      <c r="N765" s="22"/>
      <c r="O765" s="145"/>
      <c r="P765" s="145"/>
      <c r="Q765" s="145"/>
      <c r="R765" s="145"/>
      <c r="S765" s="22"/>
      <c r="T765" s="145"/>
      <c r="U765" s="145"/>
      <c r="V765" s="145"/>
      <c r="W765" s="145"/>
      <c r="X765" s="53"/>
      <c r="Y765" s="74"/>
      <c r="Z765" s="145"/>
      <c r="AA765" s="145"/>
      <c r="AB765" s="145"/>
      <c r="AC765" s="146"/>
      <c r="AD765" s="145"/>
      <c r="AE765" s="145"/>
      <c r="AF765" s="145"/>
      <c r="AG765" s="145"/>
      <c r="AH765" s="146"/>
      <c r="AI765" s="145"/>
      <c r="AJ765" s="145"/>
      <c r="AK765" s="145"/>
      <c r="AL765" s="145"/>
      <c r="AM765" s="145"/>
      <c r="AN765" s="145"/>
      <c r="AO765" s="145"/>
      <c r="AP765" s="74"/>
      <c r="AQ765" s="74"/>
      <c r="AR765" s="74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</row>
    <row r="766" spans="1:85" ht="15.75" customHeight="1" x14ac:dyDescent="0.45">
      <c r="A766" s="22"/>
      <c r="B766" s="12"/>
      <c r="C766" s="12"/>
      <c r="D766" s="155"/>
      <c r="E766" s="22"/>
      <c r="F766" s="22"/>
      <c r="G766" s="12"/>
      <c r="H766" s="22"/>
      <c r="I766" s="22"/>
      <c r="J766" s="22"/>
      <c r="K766" s="22"/>
      <c r="L766" s="22"/>
      <c r="M766" s="22"/>
      <c r="N766" s="22"/>
      <c r="O766" s="145"/>
      <c r="P766" s="145"/>
      <c r="Q766" s="145"/>
      <c r="R766" s="145"/>
      <c r="S766" s="22"/>
      <c r="T766" s="145"/>
      <c r="U766" s="145"/>
      <c r="V766" s="145"/>
      <c r="W766" s="145"/>
      <c r="X766" s="53"/>
      <c r="Y766" s="74"/>
      <c r="Z766" s="145"/>
      <c r="AA766" s="145"/>
      <c r="AB766" s="145"/>
      <c r="AC766" s="146"/>
      <c r="AD766" s="145"/>
      <c r="AE766" s="145"/>
      <c r="AF766" s="145"/>
      <c r="AG766" s="145"/>
      <c r="AH766" s="146"/>
      <c r="AI766" s="145"/>
      <c r="AJ766" s="145"/>
      <c r="AK766" s="145"/>
      <c r="AL766" s="145"/>
      <c r="AM766" s="145"/>
      <c r="AN766" s="145"/>
      <c r="AO766" s="145"/>
      <c r="AP766" s="74"/>
      <c r="AQ766" s="74"/>
      <c r="AR766" s="74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</row>
    <row r="767" spans="1:85" ht="15.75" customHeight="1" x14ac:dyDescent="0.45">
      <c r="A767" s="22"/>
      <c r="B767" s="12"/>
      <c r="C767" s="12"/>
      <c r="D767" s="155"/>
      <c r="E767" s="22"/>
      <c r="F767" s="22"/>
      <c r="G767" s="12"/>
      <c r="H767" s="22"/>
      <c r="I767" s="22"/>
      <c r="J767" s="22"/>
      <c r="K767" s="22"/>
      <c r="L767" s="22"/>
      <c r="M767" s="22"/>
      <c r="N767" s="22"/>
      <c r="O767" s="145"/>
      <c r="P767" s="145"/>
      <c r="Q767" s="145"/>
      <c r="R767" s="145"/>
      <c r="S767" s="22"/>
      <c r="T767" s="145"/>
      <c r="U767" s="145"/>
      <c r="V767" s="145"/>
      <c r="W767" s="145"/>
      <c r="X767" s="53"/>
      <c r="Y767" s="74"/>
      <c r="Z767" s="145"/>
      <c r="AA767" s="145"/>
      <c r="AB767" s="145"/>
      <c r="AC767" s="146"/>
      <c r="AD767" s="145"/>
      <c r="AE767" s="145"/>
      <c r="AF767" s="145"/>
      <c r="AG767" s="145"/>
      <c r="AH767" s="146"/>
      <c r="AI767" s="145"/>
      <c r="AJ767" s="145"/>
      <c r="AK767" s="145"/>
      <c r="AL767" s="145"/>
      <c r="AM767" s="145"/>
      <c r="AN767" s="145"/>
      <c r="AO767" s="145"/>
      <c r="AP767" s="74"/>
      <c r="AQ767" s="74"/>
      <c r="AR767" s="74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</row>
    <row r="768" spans="1:85" ht="15.75" customHeight="1" x14ac:dyDescent="0.45">
      <c r="A768" s="22"/>
      <c r="B768" s="12"/>
      <c r="C768" s="12"/>
      <c r="D768" s="155"/>
      <c r="E768" s="22"/>
      <c r="F768" s="22"/>
      <c r="G768" s="12"/>
      <c r="H768" s="22"/>
      <c r="I768" s="22"/>
      <c r="J768" s="22"/>
      <c r="K768" s="22"/>
      <c r="L768" s="22"/>
      <c r="M768" s="22"/>
      <c r="N768" s="22"/>
      <c r="O768" s="145"/>
      <c r="P768" s="145"/>
      <c r="Q768" s="145"/>
      <c r="R768" s="145"/>
      <c r="S768" s="22"/>
      <c r="T768" s="145"/>
      <c r="U768" s="145"/>
      <c r="V768" s="145"/>
      <c r="W768" s="145"/>
      <c r="X768" s="53"/>
      <c r="Y768" s="74"/>
      <c r="Z768" s="145"/>
      <c r="AA768" s="145"/>
      <c r="AB768" s="145"/>
      <c r="AC768" s="146"/>
      <c r="AD768" s="145"/>
      <c r="AE768" s="145"/>
      <c r="AF768" s="145"/>
      <c r="AG768" s="145"/>
      <c r="AH768" s="146"/>
      <c r="AI768" s="145"/>
      <c r="AJ768" s="145"/>
      <c r="AK768" s="145"/>
      <c r="AL768" s="145"/>
      <c r="AM768" s="145"/>
      <c r="AN768" s="145"/>
      <c r="AO768" s="145"/>
      <c r="AP768" s="74"/>
      <c r="AQ768" s="74"/>
      <c r="AR768" s="74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</row>
    <row r="769" spans="1:85" ht="15.75" customHeight="1" x14ac:dyDescent="0.45">
      <c r="A769" s="22"/>
      <c r="B769" s="12"/>
      <c r="C769" s="12"/>
      <c r="D769" s="155"/>
      <c r="E769" s="22"/>
      <c r="F769" s="22"/>
      <c r="G769" s="12"/>
      <c r="H769" s="22"/>
      <c r="I769" s="22"/>
      <c r="J769" s="22"/>
      <c r="K769" s="22"/>
      <c r="L769" s="22"/>
      <c r="M769" s="22"/>
      <c r="N769" s="22"/>
      <c r="O769" s="145"/>
      <c r="P769" s="145"/>
      <c r="Q769" s="145"/>
      <c r="R769" s="145"/>
      <c r="S769" s="22"/>
      <c r="T769" s="145"/>
      <c r="U769" s="145"/>
      <c r="V769" s="145"/>
      <c r="W769" s="145"/>
      <c r="X769" s="53"/>
      <c r="Y769" s="74"/>
      <c r="Z769" s="145"/>
      <c r="AA769" s="145"/>
      <c r="AB769" s="145"/>
      <c r="AC769" s="146"/>
      <c r="AD769" s="145"/>
      <c r="AE769" s="145"/>
      <c r="AF769" s="145"/>
      <c r="AG769" s="145"/>
      <c r="AH769" s="146"/>
      <c r="AI769" s="145"/>
      <c r="AJ769" s="145"/>
      <c r="AK769" s="145"/>
      <c r="AL769" s="145"/>
      <c r="AM769" s="145"/>
      <c r="AN769" s="145"/>
      <c r="AO769" s="145"/>
      <c r="AP769" s="74"/>
      <c r="AQ769" s="74"/>
      <c r="AR769" s="74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</row>
    <row r="770" spans="1:85" ht="15.75" customHeight="1" x14ac:dyDescent="0.45">
      <c r="A770" s="22"/>
      <c r="B770" s="12"/>
      <c r="C770" s="12"/>
      <c r="D770" s="155"/>
      <c r="E770" s="22"/>
      <c r="F770" s="22"/>
      <c r="G770" s="12"/>
      <c r="H770" s="22"/>
      <c r="I770" s="22"/>
      <c r="J770" s="22"/>
      <c r="K770" s="22"/>
      <c r="L770" s="22"/>
      <c r="M770" s="22"/>
      <c r="N770" s="22"/>
      <c r="O770" s="145"/>
      <c r="P770" s="145"/>
      <c r="Q770" s="145"/>
      <c r="R770" s="145"/>
      <c r="S770" s="22"/>
      <c r="T770" s="145"/>
      <c r="U770" s="145"/>
      <c r="V770" s="145"/>
      <c r="W770" s="145"/>
      <c r="X770" s="53"/>
      <c r="Y770" s="74"/>
      <c r="Z770" s="145"/>
      <c r="AA770" s="145"/>
      <c r="AB770" s="145"/>
      <c r="AC770" s="146"/>
      <c r="AD770" s="145"/>
      <c r="AE770" s="145"/>
      <c r="AF770" s="145"/>
      <c r="AG770" s="145"/>
      <c r="AH770" s="146"/>
      <c r="AI770" s="145"/>
      <c r="AJ770" s="145"/>
      <c r="AK770" s="145"/>
      <c r="AL770" s="145"/>
      <c r="AM770" s="145"/>
      <c r="AN770" s="145"/>
      <c r="AO770" s="145"/>
      <c r="AP770" s="74"/>
      <c r="AQ770" s="74"/>
      <c r="AR770" s="74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</row>
    <row r="771" spans="1:85" ht="15.75" customHeight="1" x14ac:dyDescent="0.45">
      <c r="A771" s="22"/>
      <c r="B771" s="12"/>
      <c r="C771" s="12"/>
      <c r="D771" s="155"/>
      <c r="E771" s="22"/>
      <c r="F771" s="22"/>
      <c r="G771" s="12"/>
      <c r="H771" s="22"/>
      <c r="I771" s="22"/>
      <c r="J771" s="22"/>
      <c r="K771" s="22"/>
      <c r="L771" s="22"/>
      <c r="M771" s="22"/>
      <c r="N771" s="22"/>
      <c r="O771" s="145"/>
      <c r="P771" s="145"/>
      <c r="Q771" s="145"/>
      <c r="R771" s="145"/>
      <c r="S771" s="22"/>
      <c r="T771" s="145"/>
      <c r="U771" s="145"/>
      <c r="V771" s="145"/>
      <c r="W771" s="145"/>
      <c r="X771" s="53"/>
      <c r="Y771" s="74"/>
      <c r="Z771" s="145"/>
      <c r="AA771" s="145"/>
      <c r="AB771" s="145"/>
      <c r="AC771" s="146"/>
      <c r="AD771" s="145"/>
      <c r="AE771" s="145"/>
      <c r="AF771" s="145"/>
      <c r="AG771" s="145"/>
      <c r="AH771" s="146"/>
      <c r="AI771" s="145"/>
      <c r="AJ771" s="145"/>
      <c r="AK771" s="145"/>
      <c r="AL771" s="145"/>
      <c r="AM771" s="145"/>
      <c r="AN771" s="145"/>
      <c r="AO771" s="145"/>
      <c r="AP771" s="74"/>
      <c r="AQ771" s="74"/>
      <c r="AR771" s="74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</row>
    <row r="772" spans="1:85" ht="15.75" customHeight="1" x14ac:dyDescent="0.45">
      <c r="A772" s="22"/>
      <c r="B772" s="12"/>
      <c r="C772" s="12"/>
      <c r="D772" s="155"/>
      <c r="E772" s="22"/>
      <c r="F772" s="22"/>
      <c r="G772" s="12"/>
      <c r="H772" s="22"/>
      <c r="I772" s="22"/>
      <c r="J772" s="22"/>
      <c r="K772" s="22"/>
      <c r="L772" s="22"/>
      <c r="M772" s="22"/>
      <c r="N772" s="22"/>
      <c r="O772" s="145"/>
      <c r="P772" s="145"/>
      <c r="Q772" s="145"/>
      <c r="R772" s="145"/>
      <c r="S772" s="22"/>
      <c r="T772" s="145"/>
      <c r="U772" s="145"/>
      <c r="V772" s="145"/>
      <c r="W772" s="145"/>
      <c r="X772" s="53"/>
      <c r="Y772" s="74"/>
      <c r="Z772" s="145"/>
      <c r="AA772" s="145"/>
      <c r="AB772" s="145"/>
      <c r="AC772" s="146"/>
      <c r="AD772" s="145"/>
      <c r="AE772" s="145"/>
      <c r="AF772" s="145"/>
      <c r="AG772" s="145"/>
      <c r="AH772" s="146"/>
      <c r="AI772" s="145"/>
      <c r="AJ772" s="145"/>
      <c r="AK772" s="145"/>
      <c r="AL772" s="145"/>
      <c r="AM772" s="145"/>
      <c r="AN772" s="145"/>
      <c r="AO772" s="145"/>
      <c r="AP772" s="74"/>
      <c r="AQ772" s="74"/>
      <c r="AR772" s="74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</row>
    <row r="773" spans="1:85" ht="15.75" customHeight="1" x14ac:dyDescent="0.45">
      <c r="A773" s="22"/>
      <c r="B773" s="12"/>
      <c r="C773" s="12"/>
      <c r="D773" s="155"/>
      <c r="E773" s="22"/>
      <c r="F773" s="22"/>
      <c r="G773" s="12"/>
      <c r="H773" s="22"/>
      <c r="I773" s="22"/>
      <c r="J773" s="22"/>
      <c r="K773" s="22"/>
      <c r="L773" s="22"/>
      <c r="M773" s="22"/>
      <c r="N773" s="22"/>
      <c r="O773" s="145"/>
      <c r="P773" s="145"/>
      <c r="Q773" s="145"/>
      <c r="R773" s="145"/>
      <c r="S773" s="22"/>
      <c r="T773" s="145"/>
      <c r="U773" s="145"/>
      <c r="V773" s="145"/>
      <c r="W773" s="145"/>
      <c r="X773" s="53"/>
      <c r="Y773" s="74"/>
      <c r="Z773" s="145"/>
      <c r="AA773" s="145"/>
      <c r="AB773" s="145"/>
      <c r="AC773" s="146"/>
      <c r="AD773" s="145"/>
      <c r="AE773" s="145"/>
      <c r="AF773" s="145"/>
      <c r="AG773" s="145"/>
      <c r="AH773" s="146"/>
      <c r="AI773" s="145"/>
      <c r="AJ773" s="145"/>
      <c r="AK773" s="145"/>
      <c r="AL773" s="145"/>
      <c r="AM773" s="145"/>
      <c r="AN773" s="145"/>
      <c r="AO773" s="145"/>
      <c r="AP773" s="74"/>
      <c r="AQ773" s="74"/>
      <c r="AR773" s="74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</row>
    <row r="774" spans="1:85" ht="15.75" customHeight="1" x14ac:dyDescent="0.45">
      <c r="A774" s="22"/>
      <c r="B774" s="12"/>
      <c r="C774" s="12"/>
      <c r="D774" s="155"/>
      <c r="E774" s="22"/>
      <c r="F774" s="22"/>
      <c r="G774" s="12"/>
      <c r="H774" s="22"/>
      <c r="I774" s="22"/>
      <c r="J774" s="22"/>
      <c r="K774" s="22"/>
      <c r="L774" s="22"/>
      <c r="M774" s="22"/>
      <c r="N774" s="22"/>
      <c r="O774" s="145"/>
      <c r="P774" s="145"/>
      <c r="Q774" s="145"/>
      <c r="R774" s="145"/>
      <c r="S774" s="22"/>
      <c r="T774" s="145"/>
      <c r="U774" s="145"/>
      <c r="V774" s="145"/>
      <c r="W774" s="145"/>
      <c r="X774" s="53"/>
      <c r="Y774" s="74"/>
      <c r="Z774" s="145"/>
      <c r="AA774" s="145"/>
      <c r="AB774" s="145"/>
      <c r="AC774" s="146"/>
      <c r="AD774" s="145"/>
      <c r="AE774" s="145"/>
      <c r="AF774" s="145"/>
      <c r="AG774" s="145"/>
      <c r="AH774" s="146"/>
      <c r="AI774" s="145"/>
      <c r="AJ774" s="145"/>
      <c r="AK774" s="145"/>
      <c r="AL774" s="145"/>
      <c r="AM774" s="145"/>
      <c r="AN774" s="145"/>
      <c r="AO774" s="145"/>
      <c r="AP774" s="74"/>
      <c r="AQ774" s="74"/>
      <c r="AR774" s="74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</row>
    <row r="775" spans="1:85" ht="15.75" customHeight="1" x14ac:dyDescent="0.45">
      <c r="A775" s="22"/>
      <c r="B775" s="12"/>
      <c r="C775" s="12"/>
      <c r="D775" s="155"/>
      <c r="E775" s="22"/>
      <c r="F775" s="22"/>
      <c r="G775" s="12"/>
      <c r="H775" s="22"/>
      <c r="I775" s="22"/>
      <c r="J775" s="22"/>
      <c r="K775" s="22"/>
      <c r="L775" s="22"/>
      <c r="M775" s="22"/>
      <c r="N775" s="22"/>
      <c r="O775" s="145"/>
      <c r="P775" s="145"/>
      <c r="Q775" s="145"/>
      <c r="R775" s="145"/>
      <c r="S775" s="22"/>
      <c r="T775" s="145"/>
      <c r="U775" s="145"/>
      <c r="V775" s="145"/>
      <c r="W775" s="145"/>
      <c r="X775" s="53"/>
      <c r="Y775" s="74"/>
      <c r="Z775" s="145"/>
      <c r="AA775" s="145"/>
      <c r="AB775" s="145"/>
      <c r="AC775" s="146"/>
      <c r="AD775" s="145"/>
      <c r="AE775" s="145"/>
      <c r="AF775" s="145"/>
      <c r="AG775" s="145"/>
      <c r="AH775" s="146"/>
      <c r="AI775" s="145"/>
      <c r="AJ775" s="145"/>
      <c r="AK775" s="145"/>
      <c r="AL775" s="145"/>
      <c r="AM775" s="145"/>
      <c r="AN775" s="145"/>
      <c r="AO775" s="145"/>
      <c r="AP775" s="74"/>
      <c r="AQ775" s="74"/>
      <c r="AR775" s="74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</row>
    <row r="776" spans="1:85" ht="15.75" customHeight="1" x14ac:dyDescent="0.45">
      <c r="A776" s="22"/>
      <c r="B776" s="12"/>
      <c r="C776" s="12"/>
      <c r="D776" s="155"/>
      <c r="E776" s="22"/>
      <c r="F776" s="22"/>
      <c r="G776" s="12"/>
      <c r="H776" s="22"/>
      <c r="I776" s="22"/>
      <c r="J776" s="22"/>
      <c r="K776" s="22"/>
      <c r="L776" s="22"/>
      <c r="M776" s="22"/>
      <c r="N776" s="22"/>
      <c r="O776" s="145"/>
      <c r="P776" s="145"/>
      <c r="Q776" s="145"/>
      <c r="R776" s="145"/>
      <c r="S776" s="22"/>
      <c r="T776" s="145"/>
      <c r="U776" s="145"/>
      <c r="V776" s="145"/>
      <c r="W776" s="145"/>
      <c r="X776" s="53"/>
      <c r="Y776" s="74"/>
      <c r="Z776" s="145"/>
      <c r="AA776" s="145"/>
      <c r="AB776" s="145"/>
      <c r="AC776" s="146"/>
      <c r="AD776" s="145"/>
      <c r="AE776" s="145"/>
      <c r="AF776" s="145"/>
      <c r="AG776" s="145"/>
      <c r="AH776" s="146"/>
      <c r="AI776" s="145"/>
      <c r="AJ776" s="145"/>
      <c r="AK776" s="145"/>
      <c r="AL776" s="145"/>
      <c r="AM776" s="145"/>
      <c r="AN776" s="145"/>
      <c r="AO776" s="145"/>
      <c r="AP776" s="74"/>
      <c r="AQ776" s="74"/>
      <c r="AR776" s="74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</row>
    <row r="777" spans="1:85" ht="15.75" customHeight="1" x14ac:dyDescent="0.45">
      <c r="A777" s="22"/>
      <c r="B777" s="12"/>
      <c r="C777" s="12"/>
      <c r="D777" s="155"/>
      <c r="E777" s="22"/>
      <c r="F777" s="22"/>
      <c r="G777" s="12"/>
      <c r="H777" s="22"/>
      <c r="I777" s="22"/>
      <c r="J777" s="22"/>
      <c r="K777" s="22"/>
      <c r="L777" s="22"/>
      <c r="M777" s="22"/>
      <c r="N777" s="22"/>
      <c r="O777" s="145"/>
      <c r="P777" s="145"/>
      <c r="Q777" s="145"/>
      <c r="R777" s="145"/>
      <c r="S777" s="22"/>
      <c r="T777" s="145"/>
      <c r="U777" s="145"/>
      <c r="V777" s="145"/>
      <c r="W777" s="145"/>
      <c r="X777" s="53"/>
      <c r="Y777" s="74"/>
      <c r="Z777" s="145"/>
      <c r="AA777" s="145"/>
      <c r="AB777" s="145"/>
      <c r="AC777" s="146"/>
      <c r="AD777" s="145"/>
      <c r="AE777" s="145"/>
      <c r="AF777" s="145"/>
      <c r="AG777" s="145"/>
      <c r="AH777" s="146"/>
      <c r="AI777" s="145"/>
      <c r="AJ777" s="145"/>
      <c r="AK777" s="145"/>
      <c r="AL777" s="145"/>
      <c r="AM777" s="145"/>
      <c r="AN777" s="145"/>
      <c r="AO777" s="145"/>
      <c r="AP777" s="74"/>
      <c r="AQ777" s="74"/>
      <c r="AR777" s="74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</row>
    <row r="778" spans="1:85" ht="15.75" customHeight="1" x14ac:dyDescent="0.45">
      <c r="A778" s="22"/>
      <c r="B778" s="12"/>
      <c r="C778" s="12"/>
      <c r="D778" s="155"/>
      <c r="E778" s="22"/>
      <c r="F778" s="22"/>
      <c r="G778" s="12"/>
      <c r="H778" s="22"/>
      <c r="I778" s="22"/>
      <c r="J778" s="22"/>
      <c r="K778" s="22"/>
      <c r="L778" s="22"/>
      <c r="M778" s="22"/>
      <c r="N778" s="22"/>
      <c r="O778" s="145"/>
      <c r="P778" s="145"/>
      <c r="Q778" s="145"/>
      <c r="R778" s="145"/>
      <c r="S778" s="22"/>
      <c r="T778" s="145"/>
      <c r="U778" s="145"/>
      <c r="V778" s="145"/>
      <c r="W778" s="145"/>
      <c r="X778" s="53"/>
      <c r="Y778" s="74"/>
      <c r="Z778" s="145"/>
      <c r="AA778" s="145"/>
      <c r="AB778" s="145"/>
      <c r="AC778" s="146"/>
      <c r="AD778" s="145"/>
      <c r="AE778" s="145"/>
      <c r="AF778" s="145"/>
      <c r="AG778" s="145"/>
      <c r="AH778" s="146"/>
      <c r="AI778" s="145"/>
      <c r="AJ778" s="145"/>
      <c r="AK778" s="145"/>
      <c r="AL778" s="145"/>
      <c r="AM778" s="145"/>
      <c r="AN778" s="145"/>
      <c r="AO778" s="145"/>
      <c r="AP778" s="74"/>
      <c r="AQ778" s="74"/>
      <c r="AR778" s="74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</row>
    <row r="779" spans="1:85" ht="15.75" customHeight="1" x14ac:dyDescent="0.45">
      <c r="A779" s="22"/>
      <c r="B779" s="12"/>
      <c r="C779" s="12"/>
      <c r="D779" s="155"/>
      <c r="E779" s="22"/>
      <c r="F779" s="22"/>
      <c r="G779" s="12"/>
      <c r="H779" s="22"/>
      <c r="I779" s="22"/>
      <c r="J779" s="22"/>
      <c r="K779" s="22"/>
      <c r="L779" s="22"/>
      <c r="M779" s="22"/>
      <c r="N779" s="22"/>
      <c r="O779" s="145"/>
      <c r="P779" s="145"/>
      <c r="Q779" s="145"/>
      <c r="R779" s="145"/>
      <c r="S779" s="22"/>
      <c r="T779" s="145"/>
      <c r="U779" s="145"/>
      <c r="V779" s="145"/>
      <c r="W779" s="145"/>
      <c r="X779" s="53"/>
      <c r="Y779" s="74"/>
      <c r="Z779" s="145"/>
      <c r="AA779" s="145"/>
      <c r="AB779" s="145"/>
      <c r="AC779" s="146"/>
      <c r="AD779" s="145"/>
      <c r="AE779" s="145"/>
      <c r="AF779" s="145"/>
      <c r="AG779" s="145"/>
      <c r="AH779" s="146"/>
      <c r="AI779" s="145"/>
      <c r="AJ779" s="145"/>
      <c r="AK779" s="145"/>
      <c r="AL779" s="145"/>
      <c r="AM779" s="145"/>
      <c r="AN779" s="145"/>
      <c r="AO779" s="145"/>
      <c r="AP779" s="74"/>
      <c r="AQ779" s="74"/>
      <c r="AR779" s="74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</row>
    <row r="780" spans="1:85" ht="15.75" customHeight="1" x14ac:dyDescent="0.45">
      <c r="A780" s="22"/>
      <c r="B780" s="12"/>
      <c r="C780" s="12"/>
      <c r="D780" s="155"/>
      <c r="E780" s="22"/>
      <c r="F780" s="22"/>
      <c r="G780" s="12"/>
      <c r="H780" s="22"/>
      <c r="I780" s="22"/>
      <c r="J780" s="22"/>
      <c r="K780" s="22"/>
      <c r="L780" s="22"/>
      <c r="M780" s="22"/>
      <c r="N780" s="22"/>
      <c r="O780" s="145"/>
      <c r="P780" s="145"/>
      <c r="Q780" s="145"/>
      <c r="R780" s="145"/>
      <c r="S780" s="22"/>
      <c r="T780" s="145"/>
      <c r="U780" s="145"/>
      <c r="V780" s="145"/>
      <c r="W780" s="145"/>
      <c r="X780" s="53"/>
      <c r="Y780" s="74"/>
      <c r="Z780" s="145"/>
      <c r="AA780" s="145"/>
      <c r="AB780" s="145"/>
      <c r="AC780" s="146"/>
      <c r="AD780" s="145"/>
      <c r="AE780" s="145"/>
      <c r="AF780" s="145"/>
      <c r="AG780" s="145"/>
      <c r="AH780" s="146"/>
      <c r="AI780" s="145"/>
      <c r="AJ780" s="145"/>
      <c r="AK780" s="145"/>
      <c r="AL780" s="145"/>
      <c r="AM780" s="145"/>
      <c r="AN780" s="145"/>
      <c r="AO780" s="145"/>
      <c r="AP780" s="74"/>
      <c r="AQ780" s="74"/>
      <c r="AR780" s="74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</row>
    <row r="781" spans="1:85" ht="15.75" customHeight="1" x14ac:dyDescent="0.45">
      <c r="A781" s="22"/>
      <c r="B781" s="12"/>
      <c r="C781" s="12"/>
      <c r="D781" s="155"/>
      <c r="E781" s="22"/>
      <c r="F781" s="22"/>
      <c r="G781" s="12"/>
      <c r="H781" s="22"/>
      <c r="I781" s="22"/>
      <c r="J781" s="22"/>
      <c r="K781" s="22"/>
      <c r="L781" s="22"/>
      <c r="M781" s="22"/>
      <c r="N781" s="22"/>
      <c r="O781" s="145"/>
      <c r="P781" s="145"/>
      <c r="Q781" s="145"/>
      <c r="R781" s="145"/>
      <c r="S781" s="22"/>
      <c r="T781" s="145"/>
      <c r="U781" s="145"/>
      <c r="V781" s="145"/>
      <c r="W781" s="145"/>
      <c r="X781" s="53"/>
      <c r="Y781" s="74"/>
      <c r="Z781" s="145"/>
      <c r="AA781" s="145"/>
      <c r="AB781" s="145"/>
      <c r="AC781" s="146"/>
      <c r="AD781" s="145"/>
      <c r="AE781" s="145"/>
      <c r="AF781" s="145"/>
      <c r="AG781" s="145"/>
      <c r="AH781" s="146"/>
      <c r="AI781" s="145"/>
      <c r="AJ781" s="145"/>
      <c r="AK781" s="145"/>
      <c r="AL781" s="145"/>
      <c r="AM781" s="145"/>
      <c r="AN781" s="145"/>
      <c r="AO781" s="145"/>
      <c r="AP781" s="74"/>
      <c r="AQ781" s="74"/>
      <c r="AR781" s="74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</row>
    <row r="782" spans="1:85" ht="15.75" customHeight="1" x14ac:dyDescent="0.45">
      <c r="A782" s="22"/>
      <c r="B782" s="12"/>
      <c r="C782" s="12"/>
      <c r="D782" s="155"/>
      <c r="E782" s="22"/>
      <c r="F782" s="22"/>
      <c r="G782" s="12"/>
      <c r="H782" s="22"/>
      <c r="I782" s="22"/>
      <c r="J782" s="22"/>
      <c r="K782" s="22"/>
      <c r="L782" s="22"/>
      <c r="M782" s="22"/>
      <c r="N782" s="22"/>
      <c r="O782" s="145"/>
      <c r="P782" s="145"/>
      <c r="Q782" s="145"/>
      <c r="R782" s="145"/>
      <c r="S782" s="22"/>
      <c r="T782" s="145"/>
      <c r="U782" s="145"/>
      <c r="V782" s="145"/>
      <c r="W782" s="145"/>
      <c r="X782" s="53"/>
      <c r="Y782" s="74"/>
      <c r="Z782" s="145"/>
      <c r="AA782" s="145"/>
      <c r="AB782" s="145"/>
      <c r="AC782" s="146"/>
      <c r="AD782" s="145"/>
      <c r="AE782" s="145"/>
      <c r="AF782" s="145"/>
      <c r="AG782" s="145"/>
      <c r="AH782" s="146"/>
      <c r="AI782" s="145"/>
      <c r="AJ782" s="145"/>
      <c r="AK782" s="145"/>
      <c r="AL782" s="145"/>
      <c r="AM782" s="145"/>
      <c r="AN782" s="145"/>
      <c r="AO782" s="145"/>
      <c r="AP782" s="74"/>
      <c r="AQ782" s="74"/>
      <c r="AR782" s="74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</row>
    <row r="783" spans="1:85" ht="15.75" customHeight="1" x14ac:dyDescent="0.45">
      <c r="A783" s="22"/>
      <c r="B783" s="12"/>
      <c r="C783" s="12"/>
      <c r="D783" s="155"/>
      <c r="E783" s="22"/>
      <c r="F783" s="22"/>
      <c r="G783" s="12"/>
      <c r="H783" s="22"/>
      <c r="I783" s="22"/>
      <c r="J783" s="22"/>
      <c r="K783" s="22"/>
      <c r="L783" s="22"/>
      <c r="M783" s="22"/>
      <c r="N783" s="22"/>
      <c r="O783" s="145"/>
      <c r="P783" s="145"/>
      <c r="Q783" s="145"/>
      <c r="R783" s="145"/>
      <c r="S783" s="22"/>
      <c r="T783" s="145"/>
      <c r="U783" s="145"/>
      <c r="V783" s="145"/>
      <c r="W783" s="145"/>
      <c r="X783" s="53"/>
      <c r="Y783" s="74"/>
      <c r="Z783" s="145"/>
      <c r="AA783" s="145"/>
      <c r="AB783" s="145"/>
      <c r="AC783" s="146"/>
      <c r="AD783" s="145"/>
      <c r="AE783" s="145"/>
      <c r="AF783" s="145"/>
      <c r="AG783" s="145"/>
      <c r="AH783" s="146"/>
      <c r="AI783" s="145"/>
      <c r="AJ783" s="145"/>
      <c r="AK783" s="145"/>
      <c r="AL783" s="145"/>
      <c r="AM783" s="145"/>
      <c r="AN783" s="145"/>
      <c r="AO783" s="145"/>
      <c r="AP783" s="74"/>
      <c r="AQ783" s="74"/>
      <c r="AR783" s="74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</row>
    <row r="784" spans="1:85" ht="15.75" customHeight="1" x14ac:dyDescent="0.45">
      <c r="A784" s="22"/>
      <c r="B784" s="12"/>
      <c r="C784" s="12"/>
      <c r="D784" s="155"/>
      <c r="E784" s="22"/>
      <c r="F784" s="22"/>
      <c r="G784" s="12"/>
      <c r="H784" s="22"/>
      <c r="I784" s="22"/>
      <c r="J784" s="22"/>
      <c r="K784" s="22"/>
      <c r="L784" s="22"/>
      <c r="M784" s="22"/>
      <c r="N784" s="22"/>
      <c r="O784" s="145"/>
      <c r="P784" s="145"/>
      <c r="Q784" s="145"/>
      <c r="R784" s="145"/>
      <c r="S784" s="22"/>
      <c r="T784" s="145"/>
      <c r="U784" s="145"/>
      <c r="V784" s="145"/>
      <c r="W784" s="145"/>
      <c r="X784" s="53"/>
      <c r="Y784" s="74"/>
      <c r="Z784" s="145"/>
      <c r="AA784" s="145"/>
      <c r="AB784" s="145"/>
      <c r="AC784" s="146"/>
      <c r="AD784" s="145"/>
      <c r="AE784" s="145"/>
      <c r="AF784" s="145"/>
      <c r="AG784" s="145"/>
      <c r="AH784" s="146"/>
      <c r="AI784" s="145"/>
      <c r="AJ784" s="145"/>
      <c r="AK784" s="145"/>
      <c r="AL784" s="145"/>
      <c r="AM784" s="145"/>
      <c r="AN784" s="145"/>
      <c r="AO784" s="145"/>
      <c r="AP784" s="74"/>
      <c r="AQ784" s="74"/>
      <c r="AR784" s="74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</row>
    <row r="785" spans="1:85" ht="15.75" customHeight="1" x14ac:dyDescent="0.45">
      <c r="A785" s="22"/>
      <c r="B785" s="12"/>
      <c r="C785" s="12"/>
      <c r="D785" s="155"/>
      <c r="E785" s="22"/>
      <c r="F785" s="22"/>
      <c r="G785" s="12"/>
      <c r="H785" s="22"/>
      <c r="I785" s="22"/>
      <c r="J785" s="22"/>
      <c r="K785" s="22"/>
      <c r="L785" s="22"/>
      <c r="M785" s="22"/>
      <c r="N785" s="22"/>
      <c r="O785" s="145"/>
      <c r="P785" s="145"/>
      <c r="Q785" s="145"/>
      <c r="R785" s="145"/>
      <c r="S785" s="22"/>
      <c r="T785" s="145"/>
      <c r="U785" s="145"/>
      <c r="V785" s="145"/>
      <c r="W785" s="145"/>
      <c r="X785" s="53"/>
      <c r="Y785" s="74"/>
      <c r="Z785" s="145"/>
      <c r="AA785" s="145"/>
      <c r="AB785" s="145"/>
      <c r="AC785" s="146"/>
      <c r="AD785" s="145"/>
      <c r="AE785" s="145"/>
      <c r="AF785" s="145"/>
      <c r="AG785" s="145"/>
      <c r="AH785" s="146"/>
      <c r="AI785" s="145"/>
      <c r="AJ785" s="145"/>
      <c r="AK785" s="145"/>
      <c r="AL785" s="145"/>
      <c r="AM785" s="145"/>
      <c r="AN785" s="145"/>
      <c r="AO785" s="145"/>
      <c r="AP785" s="74"/>
      <c r="AQ785" s="74"/>
      <c r="AR785" s="74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</row>
    <row r="786" spans="1:85" ht="15.75" customHeight="1" x14ac:dyDescent="0.45">
      <c r="A786" s="22"/>
      <c r="B786" s="12"/>
      <c r="C786" s="12"/>
      <c r="D786" s="155"/>
      <c r="E786" s="22"/>
      <c r="F786" s="22"/>
      <c r="G786" s="12"/>
      <c r="H786" s="22"/>
      <c r="I786" s="22"/>
      <c r="J786" s="22"/>
      <c r="K786" s="22"/>
      <c r="L786" s="22"/>
      <c r="M786" s="22"/>
      <c r="N786" s="22"/>
      <c r="O786" s="145"/>
      <c r="P786" s="145"/>
      <c r="Q786" s="145"/>
      <c r="R786" s="145"/>
      <c r="S786" s="22"/>
      <c r="T786" s="145"/>
      <c r="U786" s="145"/>
      <c r="V786" s="145"/>
      <c r="W786" s="145"/>
      <c r="X786" s="53"/>
      <c r="Y786" s="74"/>
      <c r="Z786" s="145"/>
      <c r="AA786" s="145"/>
      <c r="AB786" s="145"/>
      <c r="AC786" s="146"/>
      <c r="AD786" s="145"/>
      <c r="AE786" s="145"/>
      <c r="AF786" s="145"/>
      <c r="AG786" s="145"/>
      <c r="AH786" s="146"/>
      <c r="AI786" s="145"/>
      <c r="AJ786" s="145"/>
      <c r="AK786" s="145"/>
      <c r="AL786" s="145"/>
      <c r="AM786" s="145"/>
      <c r="AN786" s="145"/>
      <c r="AO786" s="145"/>
      <c r="AP786" s="74"/>
      <c r="AQ786" s="74"/>
      <c r="AR786" s="74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</row>
    <row r="787" spans="1:85" ht="15.75" customHeight="1" x14ac:dyDescent="0.45">
      <c r="A787" s="22"/>
      <c r="B787" s="12"/>
      <c r="C787" s="12"/>
      <c r="D787" s="155"/>
      <c r="E787" s="22"/>
      <c r="F787" s="22"/>
      <c r="G787" s="12"/>
      <c r="H787" s="22"/>
      <c r="I787" s="22"/>
      <c r="J787" s="22"/>
      <c r="K787" s="22"/>
      <c r="L787" s="22"/>
      <c r="M787" s="22"/>
      <c r="N787" s="22"/>
      <c r="O787" s="145"/>
      <c r="P787" s="145"/>
      <c r="Q787" s="145"/>
      <c r="R787" s="145"/>
      <c r="S787" s="22"/>
      <c r="T787" s="145"/>
      <c r="U787" s="145"/>
      <c r="V787" s="145"/>
      <c r="W787" s="145"/>
      <c r="X787" s="53"/>
      <c r="Y787" s="74"/>
      <c r="Z787" s="145"/>
      <c r="AA787" s="145"/>
      <c r="AB787" s="145"/>
      <c r="AC787" s="146"/>
      <c r="AD787" s="145"/>
      <c r="AE787" s="145"/>
      <c r="AF787" s="145"/>
      <c r="AG787" s="145"/>
      <c r="AH787" s="146"/>
      <c r="AI787" s="145"/>
      <c r="AJ787" s="145"/>
      <c r="AK787" s="145"/>
      <c r="AL787" s="145"/>
      <c r="AM787" s="145"/>
      <c r="AN787" s="145"/>
      <c r="AO787" s="145"/>
      <c r="AP787" s="74"/>
      <c r="AQ787" s="74"/>
      <c r="AR787" s="74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</row>
    <row r="788" spans="1:85" ht="15.75" customHeight="1" x14ac:dyDescent="0.45">
      <c r="A788" s="22"/>
      <c r="B788" s="12"/>
      <c r="C788" s="12"/>
      <c r="D788" s="155"/>
      <c r="E788" s="22"/>
      <c r="F788" s="22"/>
      <c r="G788" s="12"/>
      <c r="H788" s="22"/>
      <c r="I788" s="22"/>
      <c r="J788" s="22"/>
      <c r="K788" s="22"/>
      <c r="L788" s="22"/>
      <c r="M788" s="22"/>
      <c r="N788" s="22"/>
      <c r="O788" s="145"/>
      <c r="P788" s="145"/>
      <c r="Q788" s="145"/>
      <c r="R788" s="145"/>
      <c r="S788" s="22"/>
      <c r="T788" s="145"/>
      <c r="U788" s="145"/>
      <c r="V788" s="145"/>
      <c r="W788" s="145"/>
      <c r="X788" s="53"/>
      <c r="Y788" s="74"/>
      <c r="Z788" s="145"/>
      <c r="AA788" s="145"/>
      <c r="AB788" s="145"/>
      <c r="AC788" s="146"/>
      <c r="AD788" s="145"/>
      <c r="AE788" s="145"/>
      <c r="AF788" s="145"/>
      <c r="AG788" s="145"/>
      <c r="AH788" s="146"/>
      <c r="AI788" s="145"/>
      <c r="AJ788" s="145"/>
      <c r="AK788" s="145"/>
      <c r="AL788" s="145"/>
      <c r="AM788" s="145"/>
      <c r="AN788" s="145"/>
      <c r="AO788" s="145"/>
      <c r="AP788" s="74"/>
      <c r="AQ788" s="74"/>
      <c r="AR788" s="74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</row>
    <row r="789" spans="1:85" ht="15.75" customHeight="1" x14ac:dyDescent="0.45">
      <c r="A789" s="22"/>
      <c r="B789" s="12"/>
      <c r="C789" s="12"/>
      <c r="D789" s="155"/>
      <c r="E789" s="22"/>
      <c r="F789" s="22"/>
      <c r="G789" s="12"/>
      <c r="H789" s="22"/>
      <c r="I789" s="22"/>
      <c r="J789" s="22"/>
      <c r="K789" s="22"/>
      <c r="L789" s="22"/>
      <c r="M789" s="22"/>
      <c r="N789" s="22"/>
      <c r="O789" s="145"/>
      <c r="P789" s="145"/>
      <c r="Q789" s="145"/>
      <c r="R789" s="145"/>
      <c r="S789" s="22"/>
      <c r="T789" s="145"/>
      <c r="U789" s="145"/>
      <c r="V789" s="145"/>
      <c r="W789" s="145"/>
      <c r="X789" s="53"/>
      <c r="Y789" s="74"/>
      <c r="Z789" s="145"/>
      <c r="AA789" s="145"/>
      <c r="AB789" s="145"/>
      <c r="AC789" s="146"/>
      <c r="AD789" s="145"/>
      <c r="AE789" s="145"/>
      <c r="AF789" s="145"/>
      <c r="AG789" s="145"/>
      <c r="AH789" s="146"/>
      <c r="AI789" s="145"/>
      <c r="AJ789" s="145"/>
      <c r="AK789" s="145"/>
      <c r="AL789" s="145"/>
      <c r="AM789" s="145"/>
      <c r="AN789" s="145"/>
      <c r="AO789" s="145"/>
      <c r="AP789" s="74"/>
      <c r="AQ789" s="74"/>
      <c r="AR789" s="74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</row>
    <row r="790" spans="1:85" ht="15.75" customHeight="1" x14ac:dyDescent="0.45">
      <c r="A790" s="22"/>
      <c r="B790" s="12"/>
      <c r="C790" s="12"/>
      <c r="D790" s="155"/>
      <c r="E790" s="22"/>
      <c r="F790" s="22"/>
      <c r="G790" s="12"/>
      <c r="H790" s="22"/>
      <c r="I790" s="22"/>
      <c r="J790" s="22"/>
      <c r="K790" s="22"/>
      <c r="L790" s="22"/>
      <c r="M790" s="22"/>
      <c r="N790" s="22"/>
      <c r="O790" s="145"/>
      <c r="P790" s="145"/>
      <c r="Q790" s="145"/>
      <c r="R790" s="145"/>
      <c r="S790" s="22"/>
      <c r="T790" s="145"/>
      <c r="U790" s="145"/>
      <c r="V790" s="145"/>
      <c r="W790" s="145"/>
      <c r="X790" s="53"/>
      <c r="Y790" s="74"/>
      <c r="Z790" s="145"/>
      <c r="AA790" s="145"/>
      <c r="AB790" s="145"/>
      <c r="AC790" s="146"/>
      <c r="AD790" s="145"/>
      <c r="AE790" s="145"/>
      <c r="AF790" s="145"/>
      <c r="AG790" s="145"/>
      <c r="AH790" s="146"/>
      <c r="AI790" s="145"/>
      <c r="AJ790" s="145"/>
      <c r="AK790" s="145"/>
      <c r="AL790" s="145"/>
      <c r="AM790" s="145"/>
      <c r="AN790" s="145"/>
      <c r="AO790" s="145"/>
      <c r="AP790" s="74"/>
      <c r="AQ790" s="74"/>
      <c r="AR790" s="74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</row>
    <row r="791" spans="1:85" ht="15.75" customHeight="1" x14ac:dyDescent="0.45">
      <c r="A791" s="22"/>
      <c r="B791" s="12"/>
      <c r="C791" s="12"/>
      <c r="D791" s="155"/>
      <c r="E791" s="22"/>
      <c r="F791" s="22"/>
      <c r="G791" s="12"/>
      <c r="H791" s="22"/>
      <c r="I791" s="22"/>
      <c r="J791" s="22"/>
      <c r="K791" s="22"/>
      <c r="L791" s="22"/>
      <c r="M791" s="22"/>
      <c r="N791" s="22"/>
      <c r="O791" s="145"/>
      <c r="P791" s="145"/>
      <c r="Q791" s="145"/>
      <c r="R791" s="145"/>
      <c r="S791" s="22"/>
      <c r="T791" s="145"/>
      <c r="U791" s="145"/>
      <c r="V791" s="145"/>
      <c r="W791" s="145"/>
      <c r="X791" s="53"/>
      <c r="Y791" s="74"/>
      <c r="Z791" s="145"/>
      <c r="AA791" s="145"/>
      <c r="AB791" s="145"/>
      <c r="AC791" s="146"/>
      <c r="AD791" s="145"/>
      <c r="AE791" s="145"/>
      <c r="AF791" s="145"/>
      <c r="AG791" s="145"/>
      <c r="AH791" s="146"/>
      <c r="AI791" s="145"/>
      <c r="AJ791" s="145"/>
      <c r="AK791" s="145"/>
      <c r="AL791" s="145"/>
      <c r="AM791" s="145"/>
      <c r="AN791" s="145"/>
      <c r="AO791" s="145"/>
      <c r="AP791" s="74"/>
      <c r="AQ791" s="74"/>
      <c r="AR791" s="74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</row>
    <row r="792" spans="1:85" ht="15.75" customHeight="1" x14ac:dyDescent="0.45">
      <c r="A792" s="22"/>
      <c r="B792" s="12"/>
      <c r="C792" s="12"/>
      <c r="D792" s="155"/>
      <c r="E792" s="22"/>
      <c r="F792" s="22"/>
      <c r="G792" s="12"/>
      <c r="H792" s="22"/>
      <c r="I792" s="22"/>
      <c r="J792" s="22"/>
      <c r="K792" s="22"/>
      <c r="L792" s="22"/>
      <c r="M792" s="22"/>
      <c r="N792" s="22"/>
      <c r="O792" s="145"/>
      <c r="P792" s="145"/>
      <c r="Q792" s="145"/>
      <c r="R792" s="145"/>
      <c r="S792" s="22"/>
      <c r="T792" s="145"/>
      <c r="U792" s="145"/>
      <c r="V792" s="145"/>
      <c r="W792" s="145"/>
      <c r="X792" s="53"/>
      <c r="Y792" s="74"/>
      <c r="Z792" s="145"/>
      <c r="AA792" s="145"/>
      <c r="AB792" s="145"/>
      <c r="AC792" s="146"/>
      <c r="AD792" s="145"/>
      <c r="AE792" s="145"/>
      <c r="AF792" s="145"/>
      <c r="AG792" s="145"/>
      <c r="AH792" s="146"/>
      <c r="AI792" s="145"/>
      <c r="AJ792" s="145"/>
      <c r="AK792" s="145"/>
      <c r="AL792" s="145"/>
      <c r="AM792" s="145"/>
      <c r="AN792" s="145"/>
      <c r="AO792" s="145"/>
      <c r="AP792" s="74"/>
      <c r="AQ792" s="74"/>
      <c r="AR792" s="74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</row>
    <row r="793" spans="1:85" ht="15.75" customHeight="1" x14ac:dyDescent="0.45">
      <c r="A793" s="22"/>
      <c r="B793" s="12"/>
      <c r="C793" s="12"/>
      <c r="D793" s="155"/>
      <c r="E793" s="22"/>
      <c r="F793" s="22"/>
      <c r="G793" s="12"/>
      <c r="H793" s="22"/>
      <c r="I793" s="22"/>
      <c r="J793" s="22"/>
      <c r="K793" s="22"/>
      <c r="L793" s="22"/>
      <c r="M793" s="22"/>
      <c r="N793" s="22"/>
      <c r="O793" s="145"/>
      <c r="P793" s="145"/>
      <c r="Q793" s="145"/>
      <c r="R793" s="145"/>
      <c r="S793" s="22"/>
      <c r="T793" s="145"/>
      <c r="U793" s="145"/>
      <c r="V793" s="145"/>
      <c r="W793" s="145"/>
      <c r="X793" s="53"/>
      <c r="Y793" s="74"/>
      <c r="Z793" s="145"/>
      <c r="AA793" s="145"/>
      <c r="AB793" s="145"/>
      <c r="AC793" s="146"/>
      <c r="AD793" s="145"/>
      <c r="AE793" s="145"/>
      <c r="AF793" s="145"/>
      <c r="AG793" s="145"/>
      <c r="AH793" s="146"/>
      <c r="AI793" s="145"/>
      <c r="AJ793" s="145"/>
      <c r="AK793" s="145"/>
      <c r="AL793" s="145"/>
      <c r="AM793" s="145"/>
      <c r="AN793" s="145"/>
      <c r="AO793" s="145"/>
      <c r="AP793" s="74"/>
      <c r="AQ793" s="74"/>
      <c r="AR793" s="74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</row>
    <row r="794" spans="1:85" ht="15.75" customHeight="1" x14ac:dyDescent="0.45">
      <c r="A794" s="22"/>
      <c r="B794" s="12"/>
      <c r="C794" s="12"/>
      <c r="D794" s="155"/>
      <c r="E794" s="22"/>
      <c r="F794" s="22"/>
      <c r="G794" s="12"/>
      <c r="H794" s="22"/>
      <c r="I794" s="22"/>
      <c r="J794" s="22"/>
      <c r="K794" s="22"/>
      <c r="L794" s="22"/>
      <c r="M794" s="22"/>
      <c r="N794" s="22"/>
      <c r="O794" s="145"/>
      <c r="P794" s="145"/>
      <c r="Q794" s="145"/>
      <c r="R794" s="145"/>
      <c r="S794" s="22"/>
      <c r="T794" s="145"/>
      <c r="U794" s="145"/>
      <c r="V794" s="145"/>
      <c r="W794" s="145"/>
      <c r="X794" s="53"/>
      <c r="Y794" s="74"/>
      <c r="Z794" s="145"/>
      <c r="AA794" s="145"/>
      <c r="AB794" s="145"/>
      <c r="AC794" s="146"/>
      <c r="AD794" s="145"/>
      <c r="AE794" s="145"/>
      <c r="AF794" s="145"/>
      <c r="AG794" s="145"/>
      <c r="AH794" s="146"/>
      <c r="AI794" s="145"/>
      <c r="AJ794" s="145"/>
      <c r="AK794" s="145"/>
      <c r="AL794" s="145"/>
      <c r="AM794" s="145"/>
      <c r="AN794" s="145"/>
      <c r="AO794" s="145"/>
      <c r="AP794" s="74"/>
      <c r="AQ794" s="74"/>
      <c r="AR794" s="74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</row>
    <row r="795" spans="1:85" ht="15.75" customHeight="1" x14ac:dyDescent="0.45">
      <c r="A795" s="22"/>
      <c r="B795" s="12"/>
      <c r="C795" s="12"/>
      <c r="D795" s="155"/>
      <c r="E795" s="22"/>
      <c r="F795" s="22"/>
      <c r="G795" s="12"/>
      <c r="H795" s="22"/>
      <c r="I795" s="22"/>
      <c r="J795" s="22"/>
      <c r="K795" s="22"/>
      <c r="L795" s="22"/>
      <c r="M795" s="22"/>
      <c r="N795" s="22"/>
      <c r="O795" s="145"/>
      <c r="P795" s="145"/>
      <c r="Q795" s="145"/>
      <c r="R795" s="145"/>
      <c r="S795" s="22"/>
      <c r="T795" s="145"/>
      <c r="U795" s="145"/>
      <c r="V795" s="145"/>
      <c r="W795" s="145"/>
      <c r="X795" s="53"/>
      <c r="Y795" s="74"/>
      <c r="Z795" s="145"/>
      <c r="AA795" s="145"/>
      <c r="AB795" s="145"/>
      <c r="AC795" s="146"/>
      <c r="AD795" s="145"/>
      <c r="AE795" s="145"/>
      <c r="AF795" s="145"/>
      <c r="AG795" s="145"/>
      <c r="AH795" s="146"/>
      <c r="AI795" s="145"/>
      <c r="AJ795" s="145"/>
      <c r="AK795" s="145"/>
      <c r="AL795" s="145"/>
      <c r="AM795" s="145"/>
      <c r="AN795" s="145"/>
      <c r="AO795" s="145"/>
      <c r="AP795" s="74"/>
      <c r="AQ795" s="74"/>
      <c r="AR795" s="74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</row>
    <row r="796" spans="1:85" ht="15.75" customHeight="1" x14ac:dyDescent="0.45">
      <c r="A796" s="22"/>
      <c r="B796" s="12"/>
      <c r="C796" s="12"/>
      <c r="D796" s="155"/>
      <c r="E796" s="22"/>
      <c r="F796" s="22"/>
      <c r="G796" s="12"/>
      <c r="H796" s="22"/>
      <c r="I796" s="22"/>
      <c r="J796" s="22"/>
      <c r="K796" s="22"/>
      <c r="L796" s="22"/>
      <c r="M796" s="22"/>
      <c r="N796" s="22"/>
      <c r="O796" s="145"/>
      <c r="P796" s="145"/>
      <c r="Q796" s="145"/>
      <c r="R796" s="145"/>
      <c r="S796" s="22"/>
      <c r="T796" s="145"/>
      <c r="U796" s="145"/>
      <c r="V796" s="145"/>
      <c r="W796" s="145"/>
      <c r="X796" s="53"/>
      <c r="Y796" s="74"/>
      <c r="Z796" s="145"/>
      <c r="AA796" s="145"/>
      <c r="AB796" s="145"/>
      <c r="AC796" s="146"/>
      <c r="AD796" s="145"/>
      <c r="AE796" s="145"/>
      <c r="AF796" s="145"/>
      <c r="AG796" s="145"/>
      <c r="AH796" s="146"/>
      <c r="AI796" s="145"/>
      <c r="AJ796" s="145"/>
      <c r="AK796" s="145"/>
      <c r="AL796" s="145"/>
      <c r="AM796" s="145"/>
      <c r="AN796" s="145"/>
      <c r="AO796" s="145"/>
      <c r="AP796" s="74"/>
      <c r="AQ796" s="74"/>
      <c r="AR796" s="74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</row>
    <row r="797" spans="1:85" ht="15.75" customHeight="1" x14ac:dyDescent="0.45">
      <c r="A797" s="22"/>
      <c r="B797" s="12"/>
      <c r="C797" s="12"/>
      <c r="D797" s="155"/>
      <c r="E797" s="22"/>
      <c r="F797" s="22"/>
      <c r="G797" s="12"/>
      <c r="H797" s="22"/>
      <c r="I797" s="22"/>
      <c r="J797" s="22"/>
      <c r="K797" s="22"/>
      <c r="L797" s="22"/>
      <c r="M797" s="22"/>
      <c r="N797" s="22"/>
      <c r="O797" s="145"/>
      <c r="P797" s="145"/>
      <c r="Q797" s="145"/>
      <c r="R797" s="145"/>
      <c r="S797" s="22"/>
      <c r="T797" s="145"/>
      <c r="U797" s="145"/>
      <c r="V797" s="145"/>
      <c r="W797" s="145"/>
      <c r="X797" s="53"/>
      <c r="Y797" s="74"/>
      <c r="Z797" s="145"/>
      <c r="AA797" s="145"/>
      <c r="AB797" s="145"/>
      <c r="AC797" s="146"/>
      <c r="AD797" s="145"/>
      <c r="AE797" s="145"/>
      <c r="AF797" s="145"/>
      <c r="AG797" s="145"/>
      <c r="AH797" s="146"/>
      <c r="AI797" s="145"/>
      <c r="AJ797" s="145"/>
      <c r="AK797" s="145"/>
      <c r="AL797" s="145"/>
      <c r="AM797" s="145"/>
      <c r="AN797" s="145"/>
      <c r="AO797" s="145"/>
      <c r="AP797" s="74"/>
      <c r="AQ797" s="74"/>
      <c r="AR797" s="74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</row>
    <row r="798" spans="1:85" ht="15.75" customHeight="1" x14ac:dyDescent="0.45">
      <c r="A798" s="22"/>
      <c r="B798" s="12"/>
      <c r="C798" s="12"/>
      <c r="D798" s="155"/>
      <c r="E798" s="22"/>
      <c r="F798" s="22"/>
      <c r="G798" s="12"/>
      <c r="H798" s="22"/>
      <c r="I798" s="22"/>
      <c r="J798" s="22"/>
      <c r="K798" s="22"/>
      <c r="L798" s="22"/>
      <c r="M798" s="22"/>
      <c r="N798" s="22"/>
      <c r="O798" s="145"/>
      <c r="P798" s="145"/>
      <c r="Q798" s="145"/>
      <c r="R798" s="145"/>
      <c r="S798" s="22"/>
      <c r="T798" s="145"/>
      <c r="U798" s="145"/>
      <c r="V798" s="145"/>
      <c r="W798" s="145"/>
      <c r="X798" s="53"/>
      <c r="Y798" s="74"/>
      <c r="Z798" s="145"/>
      <c r="AA798" s="145"/>
      <c r="AB798" s="145"/>
      <c r="AC798" s="146"/>
      <c r="AD798" s="145"/>
      <c r="AE798" s="145"/>
      <c r="AF798" s="145"/>
      <c r="AG798" s="145"/>
      <c r="AH798" s="146"/>
      <c r="AI798" s="145"/>
      <c r="AJ798" s="145"/>
      <c r="AK798" s="145"/>
      <c r="AL798" s="145"/>
      <c r="AM798" s="145"/>
      <c r="AN798" s="145"/>
      <c r="AO798" s="145"/>
      <c r="AP798" s="74"/>
      <c r="AQ798" s="74"/>
      <c r="AR798" s="74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</row>
    <row r="799" spans="1:85" ht="15.75" customHeight="1" x14ac:dyDescent="0.45">
      <c r="A799" s="22"/>
      <c r="B799" s="12"/>
      <c r="C799" s="12"/>
      <c r="D799" s="155"/>
      <c r="E799" s="22"/>
      <c r="F799" s="22"/>
      <c r="G799" s="12"/>
      <c r="H799" s="22"/>
      <c r="I799" s="22"/>
      <c r="J799" s="22"/>
      <c r="K799" s="22"/>
      <c r="L799" s="22"/>
      <c r="M799" s="22"/>
      <c r="N799" s="22"/>
      <c r="O799" s="145"/>
      <c r="P799" s="145"/>
      <c r="Q799" s="145"/>
      <c r="R799" s="145"/>
      <c r="S799" s="22"/>
      <c r="T799" s="145"/>
      <c r="U799" s="145"/>
      <c r="V799" s="145"/>
      <c r="W799" s="145"/>
      <c r="X799" s="53"/>
      <c r="Y799" s="74"/>
      <c r="Z799" s="145"/>
      <c r="AA799" s="145"/>
      <c r="AB799" s="145"/>
      <c r="AC799" s="146"/>
      <c r="AD799" s="145"/>
      <c r="AE799" s="145"/>
      <c r="AF799" s="145"/>
      <c r="AG799" s="145"/>
      <c r="AH799" s="146"/>
      <c r="AI799" s="145"/>
      <c r="AJ799" s="145"/>
      <c r="AK799" s="145"/>
      <c r="AL799" s="145"/>
      <c r="AM799" s="145"/>
      <c r="AN799" s="145"/>
      <c r="AO799" s="145"/>
      <c r="AP799" s="74"/>
      <c r="AQ799" s="74"/>
      <c r="AR799" s="74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</row>
    <row r="800" spans="1:85" ht="15.75" customHeight="1" x14ac:dyDescent="0.45">
      <c r="A800" s="22"/>
      <c r="B800" s="12"/>
      <c r="C800" s="12"/>
      <c r="D800" s="155"/>
      <c r="E800" s="22"/>
      <c r="F800" s="22"/>
      <c r="G800" s="12"/>
      <c r="H800" s="22"/>
      <c r="I800" s="22"/>
      <c r="J800" s="22"/>
      <c r="K800" s="22"/>
      <c r="L800" s="22"/>
      <c r="M800" s="22"/>
      <c r="N800" s="22"/>
      <c r="O800" s="145"/>
      <c r="P800" s="145"/>
      <c r="Q800" s="145"/>
      <c r="R800" s="145"/>
      <c r="S800" s="22"/>
      <c r="T800" s="145"/>
      <c r="U800" s="145"/>
      <c r="V800" s="145"/>
      <c r="W800" s="145"/>
      <c r="X800" s="53"/>
      <c r="Y800" s="74"/>
      <c r="Z800" s="145"/>
      <c r="AA800" s="145"/>
      <c r="AB800" s="145"/>
      <c r="AC800" s="146"/>
      <c r="AD800" s="145"/>
      <c r="AE800" s="145"/>
      <c r="AF800" s="145"/>
      <c r="AG800" s="145"/>
      <c r="AH800" s="146"/>
      <c r="AI800" s="145"/>
      <c r="AJ800" s="145"/>
      <c r="AK800" s="145"/>
      <c r="AL800" s="145"/>
      <c r="AM800" s="145"/>
      <c r="AN800" s="145"/>
      <c r="AO800" s="145"/>
      <c r="AP800" s="74"/>
      <c r="AQ800" s="74"/>
      <c r="AR800" s="74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</row>
    <row r="801" spans="1:85" ht="15.75" customHeight="1" x14ac:dyDescent="0.45">
      <c r="A801" s="22"/>
      <c r="B801" s="12"/>
      <c r="C801" s="12"/>
      <c r="D801" s="155"/>
      <c r="E801" s="22"/>
      <c r="F801" s="22"/>
      <c r="G801" s="12"/>
      <c r="H801" s="22"/>
      <c r="I801" s="22"/>
      <c r="J801" s="22"/>
      <c r="K801" s="22"/>
      <c r="L801" s="22"/>
      <c r="M801" s="22"/>
      <c r="N801" s="22"/>
      <c r="O801" s="145"/>
      <c r="P801" s="145"/>
      <c r="Q801" s="145"/>
      <c r="R801" s="145"/>
      <c r="S801" s="22"/>
      <c r="T801" s="145"/>
      <c r="U801" s="145"/>
      <c r="V801" s="145"/>
      <c r="W801" s="145"/>
      <c r="X801" s="53"/>
      <c r="Y801" s="74"/>
      <c r="Z801" s="145"/>
      <c r="AA801" s="145"/>
      <c r="AB801" s="145"/>
      <c r="AC801" s="146"/>
      <c r="AD801" s="145"/>
      <c r="AE801" s="145"/>
      <c r="AF801" s="145"/>
      <c r="AG801" s="145"/>
      <c r="AH801" s="146"/>
      <c r="AI801" s="145"/>
      <c r="AJ801" s="145"/>
      <c r="AK801" s="145"/>
      <c r="AL801" s="145"/>
      <c r="AM801" s="145"/>
      <c r="AN801" s="145"/>
      <c r="AO801" s="145"/>
      <c r="AP801" s="74"/>
      <c r="AQ801" s="74"/>
      <c r="AR801" s="74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</row>
    <row r="802" spans="1:85" ht="15.75" customHeight="1" x14ac:dyDescent="0.45">
      <c r="A802" s="22"/>
      <c r="B802" s="12"/>
      <c r="C802" s="12"/>
      <c r="D802" s="155"/>
      <c r="E802" s="22"/>
      <c r="F802" s="22"/>
      <c r="G802" s="12"/>
      <c r="H802" s="22"/>
      <c r="I802" s="22"/>
      <c r="J802" s="22"/>
      <c r="K802" s="22"/>
      <c r="L802" s="22"/>
      <c r="M802" s="22"/>
      <c r="N802" s="22"/>
      <c r="O802" s="145"/>
      <c r="P802" s="145"/>
      <c r="Q802" s="145"/>
      <c r="R802" s="145"/>
      <c r="S802" s="22"/>
      <c r="T802" s="145"/>
      <c r="U802" s="145"/>
      <c r="V802" s="145"/>
      <c r="W802" s="145"/>
      <c r="X802" s="53"/>
      <c r="Y802" s="74"/>
      <c r="Z802" s="145"/>
      <c r="AA802" s="145"/>
      <c r="AB802" s="145"/>
      <c r="AC802" s="146"/>
      <c r="AD802" s="145"/>
      <c r="AE802" s="145"/>
      <c r="AF802" s="145"/>
      <c r="AG802" s="145"/>
      <c r="AH802" s="146"/>
      <c r="AI802" s="145"/>
      <c r="AJ802" s="145"/>
      <c r="AK802" s="145"/>
      <c r="AL802" s="145"/>
      <c r="AM802" s="145"/>
      <c r="AN802" s="145"/>
      <c r="AO802" s="145"/>
      <c r="AP802" s="74"/>
      <c r="AQ802" s="74"/>
      <c r="AR802" s="74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</row>
    <row r="803" spans="1:85" ht="15.75" customHeight="1" x14ac:dyDescent="0.45">
      <c r="A803" s="22"/>
      <c r="B803" s="12"/>
      <c r="C803" s="12"/>
      <c r="D803" s="155"/>
      <c r="E803" s="22"/>
      <c r="F803" s="22"/>
      <c r="G803" s="12"/>
      <c r="H803" s="22"/>
      <c r="I803" s="22"/>
      <c r="J803" s="22"/>
      <c r="K803" s="22"/>
      <c r="L803" s="22"/>
      <c r="M803" s="22"/>
      <c r="N803" s="22"/>
      <c r="O803" s="145"/>
      <c r="P803" s="145"/>
      <c r="Q803" s="145"/>
      <c r="R803" s="145"/>
      <c r="S803" s="22"/>
      <c r="T803" s="145"/>
      <c r="U803" s="145"/>
      <c r="V803" s="145"/>
      <c r="W803" s="145"/>
      <c r="X803" s="53"/>
      <c r="Y803" s="74"/>
      <c r="Z803" s="145"/>
      <c r="AA803" s="145"/>
      <c r="AB803" s="145"/>
      <c r="AC803" s="146"/>
      <c r="AD803" s="145"/>
      <c r="AE803" s="145"/>
      <c r="AF803" s="145"/>
      <c r="AG803" s="145"/>
      <c r="AH803" s="146"/>
      <c r="AI803" s="145"/>
      <c r="AJ803" s="145"/>
      <c r="AK803" s="145"/>
      <c r="AL803" s="145"/>
      <c r="AM803" s="145"/>
      <c r="AN803" s="145"/>
      <c r="AO803" s="145"/>
      <c r="AP803" s="74"/>
      <c r="AQ803" s="74"/>
      <c r="AR803" s="74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</row>
    <row r="804" spans="1:85" ht="15.75" customHeight="1" x14ac:dyDescent="0.45">
      <c r="A804" s="22"/>
      <c r="B804" s="12"/>
      <c r="C804" s="12"/>
      <c r="D804" s="155"/>
      <c r="E804" s="22"/>
      <c r="F804" s="22"/>
      <c r="G804" s="12"/>
      <c r="H804" s="22"/>
      <c r="I804" s="22"/>
      <c r="J804" s="22"/>
      <c r="K804" s="22"/>
      <c r="L804" s="22"/>
      <c r="M804" s="22"/>
      <c r="N804" s="22"/>
      <c r="O804" s="145"/>
      <c r="P804" s="145"/>
      <c r="Q804" s="145"/>
      <c r="R804" s="145"/>
      <c r="S804" s="22"/>
      <c r="T804" s="145"/>
      <c r="U804" s="145"/>
      <c r="V804" s="145"/>
      <c r="W804" s="145"/>
      <c r="X804" s="53"/>
      <c r="Y804" s="74"/>
      <c r="Z804" s="145"/>
      <c r="AA804" s="145"/>
      <c r="AB804" s="145"/>
      <c r="AC804" s="146"/>
      <c r="AD804" s="145"/>
      <c r="AE804" s="145"/>
      <c r="AF804" s="145"/>
      <c r="AG804" s="145"/>
      <c r="AH804" s="146"/>
      <c r="AI804" s="145"/>
      <c r="AJ804" s="145"/>
      <c r="AK804" s="145"/>
      <c r="AL804" s="145"/>
      <c r="AM804" s="145"/>
      <c r="AN804" s="145"/>
      <c r="AO804" s="145"/>
      <c r="AP804" s="74"/>
      <c r="AQ804" s="74"/>
      <c r="AR804" s="74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</row>
    <row r="805" spans="1:85" ht="15.75" customHeight="1" x14ac:dyDescent="0.45">
      <c r="A805" s="22"/>
      <c r="B805" s="12"/>
      <c r="C805" s="12"/>
      <c r="D805" s="155"/>
      <c r="E805" s="22"/>
      <c r="F805" s="22"/>
      <c r="G805" s="12"/>
      <c r="H805" s="22"/>
      <c r="I805" s="22"/>
      <c r="J805" s="22"/>
      <c r="K805" s="22"/>
      <c r="L805" s="22"/>
      <c r="M805" s="22"/>
      <c r="N805" s="22"/>
      <c r="O805" s="145"/>
      <c r="P805" s="145"/>
      <c r="Q805" s="145"/>
      <c r="R805" s="145"/>
      <c r="S805" s="22"/>
      <c r="T805" s="145"/>
      <c r="U805" s="145"/>
      <c r="V805" s="145"/>
      <c r="W805" s="145"/>
      <c r="X805" s="53"/>
      <c r="Y805" s="74"/>
      <c r="Z805" s="145"/>
      <c r="AA805" s="145"/>
      <c r="AB805" s="145"/>
      <c r="AC805" s="146"/>
      <c r="AD805" s="145"/>
      <c r="AE805" s="145"/>
      <c r="AF805" s="145"/>
      <c r="AG805" s="145"/>
      <c r="AH805" s="146"/>
      <c r="AI805" s="145"/>
      <c r="AJ805" s="145"/>
      <c r="AK805" s="145"/>
      <c r="AL805" s="145"/>
      <c r="AM805" s="145"/>
      <c r="AN805" s="145"/>
      <c r="AO805" s="145"/>
      <c r="AP805" s="74"/>
      <c r="AQ805" s="74"/>
      <c r="AR805" s="74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</row>
    <row r="806" spans="1:85" ht="15.75" customHeight="1" x14ac:dyDescent="0.45">
      <c r="A806" s="22"/>
      <c r="B806" s="12"/>
      <c r="C806" s="12"/>
      <c r="D806" s="155"/>
      <c r="E806" s="22"/>
      <c r="F806" s="22"/>
      <c r="G806" s="12"/>
      <c r="H806" s="22"/>
      <c r="I806" s="22"/>
      <c r="J806" s="22"/>
      <c r="K806" s="22"/>
      <c r="L806" s="22"/>
      <c r="M806" s="22"/>
      <c r="N806" s="22"/>
      <c r="O806" s="145"/>
      <c r="P806" s="145"/>
      <c r="Q806" s="145"/>
      <c r="R806" s="145"/>
      <c r="S806" s="22"/>
      <c r="T806" s="145"/>
      <c r="U806" s="145"/>
      <c r="V806" s="145"/>
      <c r="W806" s="145"/>
      <c r="X806" s="53"/>
      <c r="Y806" s="74"/>
      <c r="Z806" s="145"/>
      <c r="AA806" s="145"/>
      <c r="AB806" s="145"/>
      <c r="AC806" s="146"/>
      <c r="AD806" s="145"/>
      <c r="AE806" s="145"/>
      <c r="AF806" s="145"/>
      <c r="AG806" s="145"/>
      <c r="AH806" s="146"/>
      <c r="AI806" s="145"/>
      <c r="AJ806" s="145"/>
      <c r="AK806" s="145"/>
      <c r="AL806" s="145"/>
      <c r="AM806" s="145"/>
      <c r="AN806" s="145"/>
      <c r="AO806" s="145"/>
      <c r="AP806" s="74"/>
      <c r="AQ806" s="74"/>
      <c r="AR806" s="74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</row>
    <row r="807" spans="1:85" ht="15.75" customHeight="1" x14ac:dyDescent="0.45">
      <c r="A807" s="22"/>
      <c r="B807" s="12"/>
      <c r="C807" s="12"/>
      <c r="D807" s="155"/>
      <c r="E807" s="22"/>
      <c r="F807" s="22"/>
      <c r="G807" s="12"/>
      <c r="H807" s="22"/>
      <c r="I807" s="22"/>
      <c r="J807" s="22"/>
      <c r="K807" s="22"/>
      <c r="L807" s="22"/>
      <c r="M807" s="22"/>
      <c r="N807" s="22"/>
      <c r="O807" s="145"/>
      <c r="P807" s="145"/>
      <c r="Q807" s="145"/>
      <c r="R807" s="145"/>
      <c r="S807" s="22"/>
      <c r="T807" s="145"/>
      <c r="U807" s="145"/>
      <c r="V807" s="145"/>
      <c r="W807" s="145"/>
      <c r="X807" s="53"/>
      <c r="Y807" s="74"/>
      <c r="Z807" s="145"/>
      <c r="AA807" s="145"/>
      <c r="AB807" s="145"/>
      <c r="AC807" s="146"/>
      <c r="AD807" s="145"/>
      <c r="AE807" s="145"/>
      <c r="AF807" s="145"/>
      <c r="AG807" s="145"/>
      <c r="AH807" s="146"/>
      <c r="AI807" s="145"/>
      <c r="AJ807" s="145"/>
      <c r="AK807" s="145"/>
      <c r="AL807" s="145"/>
      <c r="AM807" s="145"/>
      <c r="AN807" s="145"/>
      <c r="AO807" s="145"/>
      <c r="AP807" s="74"/>
      <c r="AQ807" s="74"/>
      <c r="AR807" s="74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</row>
    <row r="808" spans="1:85" ht="15.75" customHeight="1" x14ac:dyDescent="0.45">
      <c r="A808" s="22"/>
      <c r="B808" s="12"/>
      <c r="C808" s="12"/>
      <c r="D808" s="155"/>
      <c r="E808" s="22"/>
      <c r="F808" s="22"/>
      <c r="G808" s="12"/>
      <c r="H808" s="22"/>
      <c r="I808" s="22"/>
      <c r="J808" s="22"/>
      <c r="K808" s="22"/>
      <c r="L808" s="22"/>
      <c r="M808" s="22"/>
      <c r="N808" s="22"/>
      <c r="O808" s="145"/>
      <c r="P808" s="145"/>
      <c r="Q808" s="145"/>
      <c r="R808" s="145"/>
      <c r="S808" s="22"/>
      <c r="T808" s="145"/>
      <c r="U808" s="145"/>
      <c r="V808" s="145"/>
      <c r="W808" s="145"/>
      <c r="X808" s="53"/>
      <c r="Y808" s="74"/>
      <c r="Z808" s="145"/>
      <c r="AA808" s="145"/>
      <c r="AB808" s="145"/>
      <c r="AC808" s="146"/>
      <c r="AD808" s="145"/>
      <c r="AE808" s="145"/>
      <c r="AF808" s="145"/>
      <c r="AG808" s="145"/>
      <c r="AH808" s="146"/>
      <c r="AI808" s="145"/>
      <c r="AJ808" s="145"/>
      <c r="AK808" s="145"/>
      <c r="AL808" s="145"/>
      <c r="AM808" s="145"/>
      <c r="AN808" s="145"/>
      <c r="AO808" s="145"/>
      <c r="AP808" s="74"/>
      <c r="AQ808" s="74"/>
      <c r="AR808" s="74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</row>
    <row r="809" spans="1:85" ht="15.75" customHeight="1" x14ac:dyDescent="0.45">
      <c r="A809" s="22"/>
      <c r="B809" s="12"/>
      <c r="C809" s="12"/>
      <c r="D809" s="155"/>
      <c r="E809" s="22"/>
      <c r="F809" s="22"/>
      <c r="G809" s="12"/>
      <c r="H809" s="22"/>
      <c r="I809" s="22"/>
      <c r="J809" s="22"/>
      <c r="K809" s="22"/>
      <c r="L809" s="22"/>
      <c r="M809" s="22"/>
      <c r="N809" s="22"/>
      <c r="O809" s="145"/>
      <c r="P809" s="145"/>
      <c r="Q809" s="145"/>
      <c r="R809" s="145"/>
      <c r="S809" s="22"/>
      <c r="T809" s="145"/>
      <c r="U809" s="145"/>
      <c r="V809" s="145"/>
      <c r="W809" s="145"/>
      <c r="X809" s="53"/>
      <c r="Y809" s="74"/>
      <c r="Z809" s="145"/>
      <c r="AA809" s="145"/>
      <c r="AB809" s="145"/>
      <c r="AC809" s="146"/>
      <c r="AD809" s="145"/>
      <c r="AE809" s="145"/>
      <c r="AF809" s="145"/>
      <c r="AG809" s="145"/>
      <c r="AH809" s="146"/>
      <c r="AI809" s="145"/>
      <c r="AJ809" s="145"/>
      <c r="AK809" s="145"/>
      <c r="AL809" s="145"/>
      <c r="AM809" s="145"/>
      <c r="AN809" s="145"/>
      <c r="AO809" s="145"/>
      <c r="AP809" s="74"/>
      <c r="AQ809" s="74"/>
      <c r="AR809" s="74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</row>
    <row r="810" spans="1:85" ht="15.75" customHeight="1" x14ac:dyDescent="0.45">
      <c r="A810" s="22"/>
      <c r="B810" s="12"/>
      <c r="C810" s="12"/>
      <c r="D810" s="155"/>
      <c r="E810" s="22"/>
      <c r="F810" s="22"/>
      <c r="G810" s="12"/>
      <c r="H810" s="22"/>
      <c r="I810" s="22"/>
      <c r="J810" s="22"/>
      <c r="K810" s="22"/>
      <c r="L810" s="22"/>
      <c r="M810" s="22"/>
      <c r="N810" s="22"/>
      <c r="O810" s="145"/>
      <c r="P810" s="145"/>
      <c r="Q810" s="145"/>
      <c r="R810" s="145"/>
      <c r="S810" s="22"/>
      <c r="T810" s="145"/>
      <c r="U810" s="145"/>
      <c r="V810" s="145"/>
      <c r="W810" s="145"/>
      <c r="X810" s="53"/>
      <c r="Y810" s="74"/>
      <c r="Z810" s="145"/>
      <c r="AA810" s="145"/>
      <c r="AB810" s="145"/>
      <c r="AC810" s="146"/>
      <c r="AD810" s="145"/>
      <c r="AE810" s="145"/>
      <c r="AF810" s="145"/>
      <c r="AG810" s="145"/>
      <c r="AH810" s="146"/>
      <c r="AI810" s="145"/>
      <c r="AJ810" s="145"/>
      <c r="AK810" s="145"/>
      <c r="AL810" s="145"/>
      <c r="AM810" s="145"/>
      <c r="AN810" s="145"/>
      <c r="AO810" s="145"/>
      <c r="AP810" s="74"/>
      <c r="AQ810" s="74"/>
      <c r="AR810" s="74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</row>
    <row r="811" spans="1:85" ht="15.75" customHeight="1" x14ac:dyDescent="0.45">
      <c r="A811" s="22"/>
      <c r="B811" s="12"/>
      <c r="C811" s="12"/>
      <c r="D811" s="155"/>
      <c r="E811" s="22"/>
      <c r="F811" s="22"/>
      <c r="G811" s="12"/>
      <c r="H811" s="22"/>
      <c r="I811" s="22"/>
      <c r="J811" s="22"/>
      <c r="K811" s="22"/>
      <c r="L811" s="22"/>
      <c r="M811" s="22"/>
      <c r="N811" s="22"/>
      <c r="O811" s="145"/>
      <c r="P811" s="145"/>
      <c r="Q811" s="145"/>
      <c r="R811" s="145"/>
      <c r="S811" s="22"/>
      <c r="T811" s="145"/>
      <c r="U811" s="145"/>
      <c r="V811" s="145"/>
      <c r="W811" s="145"/>
      <c r="X811" s="53"/>
      <c r="Y811" s="74"/>
      <c r="Z811" s="145"/>
      <c r="AA811" s="145"/>
      <c r="AB811" s="145"/>
      <c r="AC811" s="146"/>
      <c r="AD811" s="145"/>
      <c r="AE811" s="145"/>
      <c r="AF811" s="145"/>
      <c r="AG811" s="145"/>
      <c r="AH811" s="146"/>
      <c r="AI811" s="145"/>
      <c r="AJ811" s="145"/>
      <c r="AK811" s="145"/>
      <c r="AL811" s="145"/>
      <c r="AM811" s="145"/>
      <c r="AN811" s="145"/>
      <c r="AO811" s="145"/>
      <c r="AP811" s="74"/>
      <c r="AQ811" s="74"/>
      <c r="AR811" s="74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</row>
    <row r="812" spans="1:85" ht="15.75" customHeight="1" x14ac:dyDescent="0.45">
      <c r="A812" s="22"/>
      <c r="B812" s="12"/>
      <c r="C812" s="12"/>
      <c r="D812" s="155"/>
      <c r="E812" s="22"/>
      <c r="F812" s="22"/>
      <c r="G812" s="12"/>
      <c r="H812" s="22"/>
      <c r="I812" s="22"/>
      <c r="J812" s="22"/>
      <c r="K812" s="22"/>
      <c r="L812" s="22"/>
      <c r="M812" s="22"/>
      <c r="N812" s="22"/>
      <c r="O812" s="145"/>
      <c r="P812" s="145"/>
      <c r="Q812" s="145"/>
      <c r="R812" s="145"/>
      <c r="S812" s="22"/>
      <c r="T812" s="145"/>
      <c r="U812" s="145"/>
      <c r="V812" s="145"/>
      <c r="W812" s="145"/>
      <c r="X812" s="53"/>
      <c r="Y812" s="74"/>
      <c r="Z812" s="145"/>
      <c r="AA812" s="145"/>
      <c r="AB812" s="145"/>
      <c r="AC812" s="146"/>
      <c r="AD812" s="145"/>
      <c r="AE812" s="145"/>
      <c r="AF812" s="145"/>
      <c r="AG812" s="145"/>
      <c r="AH812" s="146"/>
      <c r="AI812" s="145"/>
      <c r="AJ812" s="145"/>
      <c r="AK812" s="145"/>
      <c r="AL812" s="145"/>
      <c r="AM812" s="145"/>
      <c r="AN812" s="145"/>
      <c r="AO812" s="145"/>
      <c r="AP812" s="74"/>
      <c r="AQ812" s="74"/>
      <c r="AR812" s="74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</row>
    <row r="813" spans="1:85" ht="15.75" customHeight="1" x14ac:dyDescent="0.45">
      <c r="A813" s="22"/>
      <c r="B813" s="12"/>
      <c r="C813" s="12"/>
      <c r="D813" s="155"/>
      <c r="E813" s="22"/>
      <c r="F813" s="22"/>
      <c r="G813" s="12"/>
      <c r="H813" s="22"/>
      <c r="I813" s="22"/>
      <c r="J813" s="22"/>
      <c r="K813" s="22"/>
      <c r="L813" s="22"/>
      <c r="M813" s="22"/>
      <c r="N813" s="22"/>
      <c r="O813" s="145"/>
      <c r="P813" s="145"/>
      <c r="Q813" s="145"/>
      <c r="R813" s="145"/>
      <c r="S813" s="22"/>
      <c r="T813" s="145"/>
      <c r="U813" s="145"/>
      <c r="V813" s="145"/>
      <c r="W813" s="145"/>
      <c r="X813" s="53"/>
      <c r="Y813" s="74"/>
      <c r="Z813" s="145"/>
      <c r="AA813" s="145"/>
      <c r="AB813" s="145"/>
      <c r="AC813" s="146"/>
      <c r="AD813" s="145"/>
      <c r="AE813" s="145"/>
      <c r="AF813" s="145"/>
      <c r="AG813" s="145"/>
      <c r="AH813" s="146"/>
      <c r="AI813" s="145"/>
      <c r="AJ813" s="145"/>
      <c r="AK813" s="145"/>
      <c r="AL813" s="145"/>
      <c r="AM813" s="145"/>
      <c r="AN813" s="145"/>
      <c r="AO813" s="145"/>
      <c r="AP813" s="74"/>
      <c r="AQ813" s="74"/>
      <c r="AR813" s="74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</row>
    <row r="814" spans="1:85" ht="15.75" customHeight="1" x14ac:dyDescent="0.45">
      <c r="A814" s="22"/>
      <c r="B814" s="12"/>
      <c r="C814" s="12"/>
      <c r="D814" s="155"/>
      <c r="E814" s="22"/>
      <c r="F814" s="22"/>
      <c r="G814" s="12"/>
      <c r="H814" s="22"/>
      <c r="I814" s="22"/>
      <c r="J814" s="22"/>
      <c r="K814" s="22"/>
      <c r="L814" s="22"/>
      <c r="M814" s="22"/>
      <c r="N814" s="22"/>
      <c r="O814" s="145"/>
      <c r="P814" s="145"/>
      <c r="Q814" s="145"/>
      <c r="R814" s="145"/>
      <c r="S814" s="22"/>
      <c r="T814" s="145"/>
      <c r="U814" s="145"/>
      <c r="V814" s="145"/>
      <c r="W814" s="145"/>
      <c r="X814" s="53"/>
      <c r="Y814" s="74"/>
      <c r="Z814" s="145"/>
      <c r="AA814" s="145"/>
      <c r="AB814" s="145"/>
      <c r="AC814" s="146"/>
      <c r="AD814" s="145"/>
      <c r="AE814" s="145"/>
      <c r="AF814" s="145"/>
      <c r="AG814" s="145"/>
      <c r="AH814" s="146"/>
      <c r="AI814" s="145"/>
      <c r="AJ814" s="145"/>
      <c r="AK814" s="145"/>
      <c r="AL814" s="145"/>
      <c r="AM814" s="145"/>
      <c r="AN814" s="145"/>
      <c r="AO814" s="145"/>
      <c r="AP814" s="74"/>
      <c r="AQ814" s="74"/>
      <c r="AR814" s="74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</row>
    <row r="815" spans="1:85" ht="15.75" customHeight="1" x14ac:dyDescent="0.45">
      <c r="A815" s="22"/>
      <c r="B815" s="12"/>
      <c r="C815" s="12"/>
      <c r="D815" s="155"/>
      <c r="E815" s="22"/>
      <c r="F815" s="22"/>
      <c r="G815" s="12"/>
      <c r="H815" s="22"/>
      <c r="I815" s="22"/>
      <c r="J815" s="22"/>
      <c r="K815" s="22"/>
      <c r="L815" s="22"/>
      <c r="M815" s="22"/>
      <c r="N815" s="22"/>
      <c r="O815" s="145"/>
      <c r="P815" s="145"/>
      <c r="Q815" s="145"/>
      <c r="R815" s="145"/>
      <c r="S815" s="22"/>
      <c r="T815" s="145"/>
      <c r="U815" s="145"/>
      <c r="V815" s="145"/>
      <c r="W815" s="145"/>
      <c r="X815" s="53"/>
      <c r="Y815" s="74"/>
      <c r="Z815" s="145"/>
      <c r="AA815" s="145"/>
      <c r="AB815" s="145"/>
      <c r="AC815" s="146"/>
      <c r="AD815" s="145"/>
      <c r="AE815" s="145"/>
      <c r="AF815" s="145"/>
      <c r="AG815" s="145"/>
      <c r="AH815" s="146"/>
      <c r="AI815" s="145"/>
      <c r="AJ815" s="145"/>
      <c r="AK815" s="145"/>
      <c r="AL815" s="145"/>
      <c r="AM815" s="145"/>
      <c r="AN815" s="145"/>
      <c r="AO815" s="145"/>
      <c r="AP815" s="74"/>
      <c r="AQ815" s="74"/>
      <c r="AR815" s="74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</row>
    <row r="816" spans="1:85" ht="15.75" customHeight="1" x14ac:dyDescent="0.45">
      <c r="A816" s="22"/>
      <c r="B816" s="12"/>
      <c r="C816" s="12"/>
      <c r="D816" s="155"/>
      <c r="E816" s="22"/>
      <c r="F816" s="22"/>
      <c r="G816" s="12"/>
      <c r="H816" s="22"/>
      <c r="I816" s="22"/>
      <c r="J816" s="22"/>
      <c r="K816" s="22"/>
      <c r="L816" s="22"/>
      <c r="M816" s="22"/>
      <c r="N816" s="22"/>
      <c r="O816" s="145"/>
      <c r="P816" s="145"/>
      <c r="Q816" s="145"/>
      <c r="R816" s="145"/>
      <c r="S816" s="22"/>
      <c r="T816" s="145"/>
      <c r="U816" s="145"/>
      <c r="V816" s="145"/>
      <c r="W816" s="145"/>
      <c r="X816" s="53"/>
      <c r="Y816" s="74"/>
      <c r="Z816" s="145"/>
      <c r="AA816" s="145"/>
      <c r="AB816" s="145"/>
      <c r="AC816" s="146"/>
      <c r="AD816" s="145"/>
      <c r="AE816" s="145"/>
      <c r="AF816" s="145"/>
      <c r="AG816" s="145"/>
      <c r="AH816" s="146"/>
      <c r="AI816" s="145"/>
      <c r="AJ816" s="145"/>
      <c r="AK816" s="145"/>
      <c r="AL816" s="145"/>
      <c r="AM816" s="145"/>
      <c r="AN816" s="145"/>
      <c r="AO816" s="145"/>
      <c r="AP816" s="74"/>
      <c r="AQ816" s="74"/>
      <c r="AR816" s="74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</row>
    <row r="817" spans="1:85" ht="15.75" customHeight="1" x14ac:dyDescent="0.45">
      <c r="A817" s="22"/>
      <c r="B817" s="12"/>
      <c r="C817" s="12"/>
      <c r="D817" s="155"/>
      <c r="E817" s="22"/>
      <c r="F817" s="22"/>
      <c r="G817" s="12"/>
      <c r="H817" s="22"/>
      <c r="I817" s="22"/>
      <c r="J817" s="22"/>
      <c r="K817" s="22"/>
      <c r="L817" s="22"/>
      <c r="M817" s="22"/>
      <c r="N817" s="22"/>
      <c r="O817" s="145"/>
      <c r="P817" s="145"/>
      <c r="Q817" s="145"/>
      <c r="R817" s="145"/>
      <c r="S817" s="22"/>
      <c r="T817" s="145"/>
      <c r="U817" s="145"/>
      <c r="V817" s="145"/>
      <c r="W817" s="145"/>
      <c r="X817" s="53"/>
      <c r="Y817" s="74"/>
      <c r="Z817" s="145"/>
      <c r="AA817" s="145"/>
      <c r="AB817" s="145"/>
      <c r="AC817" s="146"/>
      <c r="AD817" s="145"/>
      <c r="AE817" s="145"/>
      <c r="AF817" s="145"/>
      <c r="AG817" s="145"/>
      <c r="AH817" s="146"/>
      <c r="AI817" s="145"/>
      <c r="AJ817" s="145"/>
      <c r="AK817" s="145"/>
      <c r="AL817" s="145"/>
      <c r="AM817" s="145"/>
      <c r="AN817" s="145"/>
      <c r="AO817" s="145"/>
      <c r="AP817" s="74"/>
      <c r="AQ817" s="74"/>
      <c r="AR817" s="74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</row>
    <row r="818" spans="1:85" ht="15.75" customHeight="1" x14ac:dyDescent="0.45">
      <c r="A818" s="22"/>
      <c r="B818" s="12"/>
      <c r="C818" s="12"/>
      <c r="D818" s="155"/>
      <c r="E818" s="22"/>
      <c r="F818" s="22"/>
      <c r="G818" s="12"/>
      <c r="H818" s="22"/>
      <c r="I818" s="22"/>
      <c r="J818" s="22"/>
      <c r="K818" s="22"/>
      <c r="L818" s="22"/>
      <c r="M818" s="22"/>
      <c r="N818" s="22"/>
      <c r="O818" s="145"/>
      <c r="P818" s="145"/>
      <c r="Q818" s="145"/>
      <c r="R818" s="145"/>
      <c r="S818" s="22"/>
      <c r="T818" s="145"/>
      <c r="U818" s="145"/>
      <c r="V818" s="145"/>
      <c r="W818" s="145"/>
      <c r="X818" s="53"/>
      <c r="Y818" s="74"/>
      <c r="Z818" s="145"/>
      <c r="AA818" s="145"/>
      <c r="AB818" s="145"/>
      <c r="AC818" s="146"/>
      <c r="AD818" s="145"/>
      <c r="AE818" s="145"/>
      <c r="AF818" s="145"/>
      <c r="AG818" s="145"/>
      <c r="AH818" s="146"/>
      <c r="AI818" s="145"/>
      <c r="AJ818" s="145"/>
      <c r="AK818" s="145"/>
      <c r="AL818" s="145"/>
      <c r="AM818" s="145"/>
      <c r="AN818" s="145"/>
      <c r="AO818" s="145"/>
      <c r="AP818" s="74"/>
      <c r="AQ818" s="74"/>
      <c r="AR818" s="74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</row>
    <row r="819" spans="1:85" ht="15.75" customHeight="1" x14ac:dyDescent="0.45">
      <c r="A819" s="22"/>
      <c r="B819" s="12"/>
      <c r="C819" s="12"/>
      <c r="D819" s="155"/>
      <c r="E819" s="22"/>
      <c r="F819" s="22"/>
      <c r="G819" s="12"/>
      <c r="H819" s="22"/>
      <c r="I819" s="22"/>
      <c r="J819" s="22"/>
      <c r="K819" s="22"/>
      <c r="L819" s="22"/>
      <c r="M819" s="22"/>
      <c r="N819" s="22"/>
      <c r="O819" s="145"/>
      <c r="P819" s="145"/>
      <c r="Q819" s="145"/>
      <c r="R819" s="145"/>
      <c r="S819" s="22"/>
      <c r="T819" s="145"/>
      <c r="U819" s="145"/>
      <c r="V819" s="145"/>
      <c r="W819" s="145"/>
      <c r="X819" s="53"/>
      <c r="Y819" s="74"/>
      <c r="Z819" s="145"/>
      <c r="AA819" s="145"/>
      <c r="AB819" s="145"/>
      <c r="AC819" s="146"/>
      <c r="AD819" s="145"/>
      <c r="AE819" s="145"/>
      <c r="AF819" s="145"/>
      <c r="AG819" s="145"/>
      <c r="AH819" s="146"/>
      <c r="AI819" s="145"/>
      <c r="AJ819" s="145"/>
      <c r="AK819" s="145"/>
      <c r="AL819" s="145"/>
      <c r="AM819" s="145"/>
      <c r="AN819" s="145"/>
      <c r="AO819" s="145"/>
      <c r="AP819" s="74"/>
      <c r="AQ819" s="74"/>
      <c r="AR819" s="74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</row>
    <row r="820" spans="1:85" ht="15.75" customHeight="1" x14ac:dyDescent="0.45">
      <c r="A820" s="22"/>
      <c r="B820" s="12"/>
      <c r="C820" s="12"/>
      <c r="D820" s="155"/>
      <c r="E820" s="22"/>
      <c r="F820" s="22"/>
      <c r="G820" s="12"/>
      <c r="H820" s="22"/>
      <c r="I820" s="22"/>
      <c r="J820" s="22"/>
      <c r="K820" s="22"/>
      <c r="L820" s="22"/>
      <c r="M820" s="22"/>
      <c r="N820" s="22"/>
      <c r="O820" s="145"/>
      <c r="P820" s="145"/>
      <c r="Q820" s="145"/>
      <c r="R820" s="145"/>
      <c r="S820" s="22"/>
      <c r="T820" s="145"/>
      <c r="U820" s="145"/>
      <c r="V820" s="145"/>
      <c r="W820" s="145"/>
      <c r="X820" s="53"/>
      <c r="Y820" s="74"/>
      <c r="Z820" s="145"/>
      <c r="AA820" s="145"/>
      <c r="AB820" s="145"/>
      <c r="AC820" s="146"/>
      <c r="AD820" s="145"/>
      <c r="AE820" s="145"/>
      <c r="AF820" s="145"/>
      <c r="AG820" s="145"/>
      <c r="AH820" s="146"/>
      <c r="AI820" s="145"/>
      <c r="AJ820" s="145"/>
      <c r="AK820" s="145"/>
      <c r="AL820" s="145"/>
      <c r="AM820" s="145"/>
      <c r="AN820" s="145"/>
      <c r="AO820" s="145"/>
      <c r="AP820" s="74"/>
      <c r="AQ820" s="74"/>
      <c r="AR820" s="74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</row>
    <row r="821" spans="1:85" ht="15.75" customHeight="1" x14ac:dyDescent="0.45">
      <c r="A821" s="22"/>
      <c r="B821" s="12"/>
      <c r="C821" s="12"/>
      <c r="D821" s="155"/>
      <c r="E821" s="22"/>
      <c r="F821" s="22"/>
      <c r="G821" s="12"/>
      <c r="H821" s="22"/>
      <c r="I821" s="22"/>
      <c r="J821" s="22"/>
      <c r="K821" s="22"/>
      <c r="L821" s="22"/>
      <c r="M821" s="22"/>
      <c r="N821" s="22"/>
      <c r="O821" s="145"/>
      <c r="P821" s="145"/>
      <c r="Q821" s="145"/>
      <c r="R821" s="145"/>
      <c r="S821" s="22"/>
      <c r="T821" s="145"/>
      <c r="U821" s="145"/>
      <c r="V821" s="145"/>
      <c r="W821" s="145"/>
      <c r="X821" s="53"/>
      <c r="Y821" s="74"/>
      <c r="Z821" s="145"/>
      <c r="AA821" s="145"/>
      <c r="AB821" s="145"/>
      <c r="AC821" s="146"/>
      <c r="AD821" s="145"/>
      <c r="AE821" s="145"/>
      <c r="AF821" s="145"/>
      <c r="AG821" s="145"/>
      <c r="AH821" s="146"/>
      <c r="AI821" s="145"/>
      <c r="AJ821" s="145"/>
      <c r="AK821" s="145"/>
      <c r="AL821" s="145"/>
      <c r="AM821" s="145"/>
      <c r="AN821" s="145"/>
      <c r="AO821" s="145"/>
      <c r="AP821" s="74"/>
      <c r="AQ821" s="74"/>
      <c r="AR821" s="74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</row>
    <row r="822" spans="1:85" ht="15.75" customHeight="1" x14ac:dyDescent="0.45">
      <c r="A822" s="22"/>
      <c r="B822" s="12"/>
      <c r="C822" s="12"/>
      <c r="D822" s="155"/>
      <c r="E822" s="22"/>
      <c r="F822" s="22"/>
      <c r="G822" s="12"/>
      <c r="H822" s="22"/>
      <c r="I822" s="22"/>
      <c r="J822" s="22"/>
      <c r="K822" s="22"/>
      <c r="L822" s="22"/>
      <c r="M822" s="22"/>
      <c r="N822" s="22"/>
      <c r="O822" s="145"/>
      <c r="P822" s="145"/>
      <c r="Q822" s="145"/>
      <c r="R822" s="145"/>
      <c r="S822" s="22"/>
      <c r="T822" s="145"/>
      <c r="U822" s="145"/>
      <c r="V822" s="145"/>
      <c r="W822" s="145"/>
      <c r="X822" s="53"/>
      <c r="Y822" s="74"/>
      <c r="Z822" s="145"/>
      <c r="AA822" s="145"/>
      <c r="AB822" s="145"/>
      <c r="AC822" s="146"/>
      <c r="AD822" s="145"/>
      <c r="AE822" s="145"/>
      <c r="AF822" s="145"/>
      <c r="AG822" s="145"/>
      <c r="AH822" s="146"/>
      <c r="AI822" s="145"/>
      <c r="AJ822" s="145"/>
      <c r="AK822" s="145"/>
      <c r="AL822" s="145"/>
      <c r="AM822" s="145"/>
      <c r="AN822" s="145"/>
      <c r="AO822" s="145"/>
      <c r="AP822" s="74"/>
      <c r="AQ822" s="74"/>
      <c r="AR822" s="74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</row>
    <row r="823" spans="1:85" ht="15.75" customHeight="1" x14ac:dyDescent="0.45">
      <c r="A823" s="22"/>
      <c r="B823" s="12"/>
      <c r="C823" s="12"/>
      <c r="D823" s="155"/>
      <c r="E823" s="22"/>
      <c r="F823" s="22"/>
      <c r="G823" s="12"/>
      <c r="H823" s="22"/>
      <c r="I823" s="22"/>
      <c r="J823" s="22"/>
      <c r="K823" s="22"/>
      <c r="L823" s="22"/>
      <c r="M823" s="22"/>
      <c r="N823" s="22"/>
      <c r="O823" s="145"/>
      <c r="P823" s="145"/>
      <c r="Q823" s="145"/>
      <c r="R823" s="145"/>
      <c r="S823" s="22"/>
      <c r="T823" s="145"/>
      <c r="U823" s="145"/>
      <c r="V823" s="145"/>
      <c r="W823" s="145"/>
      <c r="X823" s="53"/>
      <c r="Y823" s="74"/>
      <c r="Z823" s="145"/>
      <c r="AA823" s="145"/>
      <c r="AB823" s="145"/>
      <c r="AC823" s="146"/>
      <c r="AD823" s="145"/>
      <c r="AE823" s="145"/>
      <c r="AF823" s="145"/>
      <c r="AG823" s="145"/>
      <c r="AH823" s="146"/>
      <c r="AI823" s="145"/>
      <c r="AJ823" s="145"/>
      <c r="AK823" s="145"/>
      <c r="AL823" s="145"/>
      <c r="AM823" s="145"/>
      <c r="AN823" s="145"/>
      <c r="AO823" s="145"/>
      <c r="AP823" s="74"/>
      <c r="AQ823" s="74"/>
      <c r="AR823" s="74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</row>
    <row r="824" spans="1:85" ht="15.75" customHeight="1" x14ac:dyDescent="0.45">
      <c r="A824" s="22"/>
      <c r="B824" s="12"/>
      <c r="C824" s="12"/>
      <c r="D824" s="155"/>
      <c r="E824" s="22"/>
      <c r="F824" s="22"/>
      <c r="G824" s="12"/>
      <c r="H824" s="22"/>
      <c r="I824" s="22"/>
      <c r="J824" s="22"/>
      <c r="K824" s="22"/>
      <c r="L824" s="22"/>
      <c r="M824" s="22"/>
      <c r="N824" s="22"/>
      <c r="O824" s="145"/>
      <c r="P824" s="145"/>
      <c r="Q824" s="145"/>
      <c r="R824" s="145"/>
      <c r="S824" s="22"/>
      <c r="T824" s="145"/>
      <c r="U824" s="145"/>
      <c r="V824" s="145"/>
      <c r="W824" s="145"/>
      <c r="X824" s="53"/>
      <c r="Y824" s="74"/>
      <c r="Z824" s="145"/>
      <c r="AA824" s="145"/>
      <c r="AB824" s="145"/>
      <c r="AC824" s="146"/>
      <c r="AD824" s="145"/>
      <c r="AE824" s="145"/>
      <c r="AF824" s="145"/>
      <c r="AG824" s="145"/>
      <c r="AH824" s="146"/>
      <c r="AI824" s="145"/>
      <c r="AJ824" s="145"/>
      <c r="AK824" s="145"/>
      <c r="AL824" s="145"/>
      <c r="AM824" s="145"/>
      <c r="AN824" s="145"/>
      <c r="AO824" s="145"/>
      <c r="AP824" s="74"/>
      <c r="AQ824" s="74"/>
      <c r="AR824" s="74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</row>
    <row r="825" spans="1:85" ht="15.75" customHeight="1" x14ac:dyDescent="0.45">
      <c r="A825" s="22"/>
      <c r="B825" s="12"/>
      <c r="C825" s="12"/>
      <c r="D825" s="155"/>
      <c r="E825" s="22"/>
      <c r="F825" s="22"/>
      <c r="G825" s="12"/>
      <c r="H825" s="22"/>
      <c r="I825" s="22"/>
      <c r="J825" s="22"/>
      <c r="K825" s="22"/>
      <c r="L825" s="22"/>
      <c r="M825" s="22"/>
      <c r="N825" s="22"/>
      <c r="O825" s="145"/>
      <c r="P825" s="145"/>
      <c r="Q825" s="145"/>
      <c r="R825" s="145"/>
      <c r="S825" s="22"/>
      <c r="T825" s="145"/>
      <c r="U825" s="145"/>
      <c r="V825" s="145"/>
      <c r="W825" s="145"/>
      <c r="X825" s="53"/>
      <c r="Y825" s="74"/>
      <c r="Z825" s="145"/>
      <c r="AA825" s="145"/>
      <c r="AB825" s="145"/>
      <c r="AC825" s="146"/>
      <c r="AD825" s="145"/>
      <c r="AE825" s="145"/>
      <c r="AF825" s="145"/>
      <c r="AG825" s="145"/>
      <c r="AH825" s="146"/>
      <c r="AI825" s="145"/>
      <c r="AJ825" s="145"/>
      <c r="AK825" s="145"/>
      <c r="AL825" s="145"/>
      <c r="AM825" s="145"/>
      <c r="AN825" s="145"/>
      <c r="AO825" s="145"/>
      <c r="AP825" s="74"/>
      <c r="AQ825" s="74"/>
      <c r="AR825" s="74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</row>
    <row r="826" spans="1:85" ht="15.75" customHeight="1" x14ac:dyDescent="0.45">
      <c r="A826" s="22"/>
      <c r="B826" s="12"/>
      <c r="C826" s="12"/>
      <c r="D826" s="155"/>
      <c r="E826" s="22"/>
      <c r="F826" s="22"/>
      <c r="G826" s="12"/>
      <c r="H826" s="22"/>
      <c r="I826" s="22"/>
      <c r="J826" s="22"/>
      <c r="K826" s="22"/>
      <c r="L826" s="22"/>
      <c r="M826" s="22"/>
      <c r="N826" s="22"/>
      <c r="O826" s="145"/>
      <c r="P826" s="145"/>
      <c r="Q826" s="145"/>
      <c r="R826" s="145"/>
      <c r="S826" s="22"/>
      <c r="T826" s="145"/>
      <c r="U826" s="145"/>
      <c r="V826" s="145"/>
      <c r="W826" s="145"/>
      <c r="X826" s="53"/>
      <c r="Y826" s="74"/>
      <c r="Z826" s="145"/>
      <c r="AA826" s="145"/>
      <c r="AB826" s="145"/>
      <c r="AC826" s="146"/>
      <c r="AD826" s="145"/>
      <c r="AE826" s="145"/>
      <c r="AF826" s="145"/>
      <c r="AG826" s="145"/>
      <c r="AH826" s="146"/>
      <c r="AI826" s="145"/>
      <c r="AJ826" s="145"/>
      <c r="AK826" s="145"/>
      <c r="AL826" s="145"/>
      <c r="AM826" s="145"/>
      <c r="AN826" s="145"/>
      <c r="AO826" s="145"/>
      <c r="AP826" s="74"/>
      <c r="AQ826" s="74"/>
      <c r="AR826" s="74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</row>
    <row r="827" spans="1:85" ht="15.75" customHeight="1" x14ac:dyDescent="0.45">
      <c r="A827" s="22"/>
      <c r="B827" s="12"/>
      <c r="C827" s="12"/>
      <c r="D827" s="155"/>
      <c r="E827" s="22"/>
      <c r="F827" s="22"/>
      <c r="G827" s="12"/>
      <c r="H827" s="22"/>
      <c r="I827" s="22"/>
      <c r="J827" s="22"/>
      <c r="K827" s="22"/>
      <c r="L827" s="22"/>
      <c r="M827" s="22"/>
      <c r="N827" s="22"/>
      <c r="O827" s="145"/>
      <c r="P827" s="145"/>
      <c r="Q827" s="145"/>
      <c r="R827" s="145"/>
      <c r="S827" s="22"/>
      <c r="T827" s="145"/>
      <c r="U827" s="145"/>
      <c r="V827" s="145"/>
      <c r="W827" s="145"/>
      <c r="X827" s="53"/>
      <c r="Y827" s="74"/>
      <c r="Z827" s="145"/>
      <c r="AA827" s="145"/>
      <c r="AB827" s="145"/>
      <c r="AC827" s="146"/>
      <c r="AD827" s="145"/>
      <c r="AE827" s="145"/>
      <c r="AF827" s="145"/>
      <c r="AG827" s="145"/>
      <c r="AH827" s="146"/>
      <c r="AI827" s="145"/>
      <c r="AJ827" s="145"/>
      <c r="AK827" s="145"/>
      <c r="AL827" s="145"/>
      <c r="AM827" s="145"/>
      <c r="AN827" s="145"/>
      <c r="AO827" s="145"/>
      <c r="AP827" s="74"/>
      <c r="AQ827" s="74"/>
      <c r="AR827" s="74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</row>
    <row r="828" spans="1:85" ht="15.75" customHeight="1" x14ac:dyDescent="0.45">
      <c r="A828" s="22"/>
      <c r="B828" s="12"/>
      <c r="C828" s="12"/>
      <c r="D828" s="155"/>
      <c r="E828" s="22"/>
      <c r="F828" s="22"/>
      <c r="G828" s="12"/>
      <c r="H828" s="22"/>
      <c r="I828" s="22"/>
      <c r="J828" s="22"/>
      <c r="K828" s="22"/>
      <c r="L828" s="22"/>
      <c r="M828" s="22"/>
      <c r="N828" s="22"/>
      <c r="O828" s="145"/>
      <c r="P828" s="145"/>
      <c r="Q828" s="145"/>
      <c r="R828" s="145"/>
      <c r="S828" s="22"/>
      <c r="T828" s="145"/>
      <c r="U828" s="145"/>
      <c r="V828" s="145"/>
      <c r="W828" s="145"/>
      <c r="X828" s="53"/>
      <c r="Y828" s="74"/>
      <c r="Z828" s="145"/>
      <c r="AA828" s="145"/>
      <c r="AB828" s="145"/>
      <c r="AC828" s="146"/>
      <c r="AD828" s="145"/>
      <c r="AE828" s="145"/>
      <c r="AF828" s="145"/>
      <c r="AG828" s="145"/>
      <c r="AH828" s="146"/>
      <c r="AI828" s="145"/>
      <c r="AJ828" s="145"/>
      <c r="AK828" s="145"/>
      <c r="AL828" s="145"/>
      <c r="AM828" s="145"/>
      <c r="AN828" s="145"/>
      <c r="AO828" s="145"/>
      <c r="AP828" s="74"/>
      <c r="AQ828" s="74"/>
      <c r="AR828" s="74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</row>
    <row r="829" spans="1:85" ht="15.75" customHeight="1" x14ac:dyDescent="0.45">
      <c r="A829" s="22"/>
      <c r="B829" s="12"/>
      <c r="C829" s="12"/>
      <c r="D829" s="155"/>
      <c r="E829" s="22"/>
      <c r="F829" s="22"/>
      <c r="G829" s="12"/>
      <c r="H829" s="22"/>
      <c r="I829" s="22"/>
      <c r="J829" s="22"/>
      <c r="K829" s="22"/>
      <c r="L829" s="22"/>
      <c r="M829" s="22"/>
      <c r="N829" s="22"/>
      <c r="O829" s="145"/>
      <c r="P829" s="145"/>
      <c r="Q829" s="145"/>
      <c r="R829" s="145"/>
      <c r="S829" s="22"/>
      <c r="T829" s="145"/>
      <c r="U829" s="145"/>
      <c r="V829" s="145"/>
      <c r="W829" s="145"/>
      <c r="X829" s="53"/>
      <c r="Y829" s="74"/>
      <c r="Z829" s="145"/>
      <c r="AA829" s="145"/>
      <c r="AB829" s="145"/>
      <c r="AC829" s="146"/>
      <c r="AD829" s="145"/>
      <c r="AE829" s="145"/>
      <c r="AF829" s="145"/>
      <c r="AG829" s="145"/>
      <c r="AH829" s="146"/>
      <c r="AI829" s="145"/>
      <c r="AJ829" s="145"/>
      <c r="AK829" s="145"/>
      <c r="AL829" s="145"/>
      <c r="AM829" s="145"/>
      <c r="AN829" s="145"/>
      <c r="AO829" s="145"/>
      <c r="AP829" s="74"/>
      <c r="AQ829" s="74"/>
      <c r="AR829" s="74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</row>
    <row r="830" spans="1:85" ht="15.75" customHeight="1" x14ac:dyDescent="0.45">
      <c r="A830" s="22"/>
      <c r="B830" s="12"/>
      <c r="C830" s="12"/>
      <c r="D830" s="155"/>
      <c r="E830" s="22"/>
      <c r="F830" s="22"/>
      <c r="G830" s="12"/>
      <c r="H830" s="22"/>
      <c r="I830" s="22"/>
      <c r="J830" s="22"/>
      <c r="K830" s="22"/>
      <c r="L830" s="22"/>
      <c r="M830" s="22"/>
      <c r="N830" s="22"/>
      <c r="O830" s="145"/>
      <c r="P830" s="145"/>
      <c r="Q830" s="145"/>
      <c r="R830" s="145"/>
      <c r="S830" s="22"/>
      <c r="T830" s="145"/>
      <c r="U830" s="145"/>
      <c r="V830" s="145"/>
      <c r="W830" s="145"/>
      <c r="X830" s="53"/>
      <c r="Y830" s="74"/>
      <c r="Z830" s="145"/>
      <c r="AA830" s="145"/>
      <c r="AB830" s="145"/>
      <c r="AC830" s="146"/>
      <c r="AD830" s="145"/>
      <c r="AE830" s="145"/>
      <c r="AF830" s="145"/>
      <c r="AG830" s="145"/>
      <c r="AH830" s="146"/>
      <c r="AI830" s="145"/>
      <c r="AJ830" s="145"/>
      <c r="AK830" s="145"/>
      <c r="AL830" s="145"/>
      <c r="AM830" s="145"/>
      <c r="AN830" s="145"/>
      <c r="AO830" s="145"/>
      <c r="AP830" s="74"/>
      <c r="AQ830" s="74"/>
      <c r="AR830" s="74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</row>
    <row r="831" spans="1:85" ht="15.75" customHeight="1" x14ac:dyDescent="0.45">
      <c r="A831" s="22"/>
      <c r="B831" s="12"/>
      <c r="C831" s="12"/>
      <c r="D831" s="155"/>
      <c r="E831" s="22"/>
      <c r="F831" s="22"/>
      <c r="G831" s="12"/>
      <c r="H831" s="22"/>
      <c r="I831" s="22"/>
      <c r="J831" s="22"/>
      <c r="K831" s="22"/>
      <c r="L831" s="22"/>
      <c r="M831" s="22"/>
      <c r="N831" s="22"/>
      <c r="O831" s="145"/>
      <c r="P831" s="145"/>
      <c r="Q831" s="145"/>
      <c r="R831" s="145"/>
      <c r="S831" s="22"/>
      <c r="T831" s="145"/>
      <c r="U831" s="145"/>
      <c r="V831" s="145"/>
      <c r="W831" s="145"/>
      <c r="X831" s="53"/>
      <c r="Y831" s="74"/>
      <c r="Z831" s="145"/>
      <c r="AA831" s="145"/>
      <c r="AB831" s="145"/>
      <c r="AC831" s="146"/>
      <c r="AD831" s="145"/>
      <c r="AE831" s="145"/>
      <c r="AF831" s="145"/>
      <c r="AG831" s="145"/>
      <c r="AH831" s="146"/>
      <c r="AI831" s="145"/>
      <c r="AJ831" s="145"/>
      <c r="AK831" s="145"/>
      <c r="AL831" s="145"/>
      <c r="AM831" s="145"/>
      <c r="AN831" s="145"/>
      <c r="AO831" s="145"/>
      <c r="AP831" s="74"/>
      <c r="AQ831" s="74"/>
      <c r="AR831" s="74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</row>
    <row r="832" spans="1:85" ht="15.75" customHeight="1" x14ac:dyDescent="0.45">
      <c r="A832" s="22"/>
      <c r="B832" s="12"/>
      <c r="C832" s="12"/>
      <c r="D832" s="155"/>
      <c r="E832" s="22"/>
      <c r="F832" s="22"/>
      <c r="G832" s="12"/>
      <c r="H832" s="22"/>
      <c r="I832" s="22"/>
      <c r="J832" s="22"/>
      <c r="K832" s="22"/>
      <c r="L832" s="22"/>
      <c r="M832" s="22"/>
      <c r="N832" s="22"/>
      <c r="O832" s="145"/>
      <c r="P832" s="145"/>
      <c r="Q832" s="145"/>
      <c r="R832" s="145"/>
      <c r="S832" s="22"/>
      <c r="T832" s="145"/>
      <c r="U832" s="145"/>
      <c r="V832" s="145"/>
      <c r="W832" s="145"/>
      <c r="X832" s="53"/>
      <c r="Y832" s="74"/>
      <c r="Z832" s="145"/>
      <c r="AA832" s="145"/>
      <c r="AB832" s="145"/>
      <c r="AC832" s="146"/>
      <c r="AD832" s="145"/>
      <c r="AE832" s="145"/>
      <c r="AF832" s="145"/>
      <c r="AG832" s="145"/>
      <c r="AH832" s="146"/>
      <c r="AI832" s="145"/>
      <c r="AJ832" s="145"/>
      <c r="AK832" s="145"/>
      <c r="AL832" s="145"/>
      <c r="AM832" s="145"/>
      <c r="AN832" s="145"/>
      <c r="AO832" s="145"/>
      <c r="AP832" s="74"/>
      <c r="AQ832" s="74"/>
      <c r="AR832" s="74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</row>
    <row r="833" spans="1:85" ht="15.75" customHeight="1" x14ac:dyDescent="0.45">
      <c r="A833" s="22"/>
      <c r="B833" s="12"/>
      <c r="C833" s="12"/>
      <c r="D833" s="155"/>
      <c r="E833" s="22"/>
      <c r="F833" s="22"/>
      <c r="G833" s="12"/>
      <c r="H833" s="22"/>
      <c r="I833" s="22"/>
      <c r="J833" s="22"/>
      <c r="K833" s="22"/>
      <c r="L833" s="22"/>
      <c r="M833" s="22"/>
      <c r="N833" s="22"/>
      <c r="O833" s="145"/>
      <c r="P833" s="145"/>
      <c r="Q833" s="145"/>
      <c r="R833" s="145"/>
      <c r="S833" s="22"/>
      <c r="T833" s="145"/>
      <c r="U833" s="145"/>
      <c r="V833" s="145"/>
      <c r="W833" s="145"/>
      <c r="X833" s="53"/>
      <c r="Y833" s="74"/>
      <c r="Z833" s="145"/>
      <c r="AA833" s="145"/>
      <c r="AB833" s="145"/>
      <c r="AC833" s="146"/>
      <c r="AD833" s="145"/>
      <c r="AE833" s="145"/>
      <c r="AF833" s="145"/>
      <c r="AG833" s="145"/>
      <c r="AH833" s="146"/>
      <c r="AI833" s="145"/>
      <c r="AJ833" s="145"/>
      <c r="AK833" s="145"/>
      <c r="AL833" s="145"/>
      <c r="AM833" s="145"/>
      <c r="AN833" s="145"/>
      <c r="AO833" s="145"/>
      <c r="AP833" s="74"/>
      <c r="AQ833" s="74"/>
      <c r="AR833" s="74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</row>
    <row r="834" spans="1:85" ht="15.75" customHeight="1" x14ac:dyDescent="0.45">
      <c r="A834" s="22"/>
      <c r="B834" s="12"/>
      <c r="C834" s="12"/>
      <c r="D834" s="155"/>
      <c r="E834" s="22"/>
      <c r="F834" s="22"/>
      <c r="G834" s="12"/>
      <c r="H834" s="22"/>
      <c r="I834" s="22"/>
      <c r="J834" s="22"/>
      <c r="K834" s="22"/>
      <c r="L834" s="22"/>
      <c r="M834" s="22"/>
      <c r="N834" s="22"/>
      <c r="O834" s="145"/>
      <c r="P834" s="145"/>
      <c r="Q834" s="145"/>
      <c r="R834" s="145"/>
      <c r="S834" s="22"/>
      <c r="T834" s="145"/>
      <c r="U834" s="145"/>
      <c r="V834" s="145"/>
      <c r="W834" s="145"/>
      <c r="X834" s="53"/>
      <c r="Y834" s="74"/>
      <c r="Z834" s="145"/>
      <c r="AA834" s="145"/>
      <c r="AB834" s="145"/>
      <c r="AC834" s="146"/>
      <c r="AD834" s="145"/>
      <c r="AE834" s="145"/>
      <c r="AF834" s="145"/>
      <c r="AG834" s="145"/>
      <c r="AH834" s="146"/>
      <c r="AI834" s="145"/>
      <c r="AJ834" s="145"/>
      <c r="AK834" s="145"/>
      <c r="AL834" s="145"/>
      <c r="AM834" s="145"/>
      <c r="AN834" s="145"/>
      <c r="AO834" s="145"/>
      <c r="AP834" s="74"/>
      <c r="AQ834" s="74"/>
      <c r="AR834" s="74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</row>
    <row r="835" spans="1:85" ht="15.75" customHeight="1" x14ac:dyDescent="0.45">
      <c r="A835" s="22"/>
      <c r="B835" s="12"/>
      <c r="C835" s="12"/>
      <c r="D835" s="155"/>
      <c r="E835" s="22"/>
      <c r="F835" s="22"/>
      <c r="G835" s="12"/>
      <c r="H835" s="22"/>
      <c r="I835" s="22"/>
      <c r="J835" s="22"/>
      <c r="K835" s="22"/>
      <c r="L835" s="22"/>
      <c r="M835" s="22"/>
      <c r="N835" s="22"/>
      <c r="O835" s="145"/>
      <c r="P835" s="145"/>
      <c r="Q835" s="145"/>
      <c r="R835" s="145"/>
      <c r="S835" s="22"/>
      <c r="T835" s="145"/>
      <c r="U835" s="145"/>
      <c r="V835" s="145"/>
      <c r="W835" s="145"/>
      <c r="X835" s="53"/>
      <c r="Y835" s="74"/>
      <c r="Z835" s="145"/>
      <c r="AA835" s="145"/>
      <c r="AB835" s="145"/>
      <c r="AC835" s="146"/>
      <c r="AD835" s="145"/>
      <c r="AE835" s="145"/>
      <c r="AF835" s="145"/>
      <c r="AG835" s="145"/>
      <c r="AH835" s="146"/>
      <c r="AI835" s="145"/>
      <c r="AJ835" s="145"/>
      <c r="AK835" s="145"/>
      <c r="AL835" s="145"/>
      <c r="AM835" s="145"/>
      <c r="AN835" s="145"/>
      <c r="AO835" s="145"/>
      <c r="AP835" s="74"/>
      <c r="AQ835" s="74"/>
      <c r="AR835" s="74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</row>
    <row r="836" spans="1:85" ht="15.75" customHeight="1" x14ac:dyDescent="0.45">
      <c r="A836" s="22"/>
      <c r="B836" s="12"/>
      <c r="C836" s="12"/>
      <c r="D836" s="155"/>
      <c r="E836" s="22"/>
      <c r="F836" s="22"/>
      <c r="G836" s="12"/>
      <c r="H836" s="22"/>
      <c r="I836" s="22"/>
      <c r="J836" s="22"/>
      <c r="K836" s="22"/>
      <c r="L836" s="22"/>
      <c r="M836" s="22"/>
      <c r="N836" s="22"/>
      <c r="O836" s="145"/>
      <c r="P836" s="145"/>
      <c r="Q836" s="145"/>
      <c r="R836" s="145"/>
      <c r="S836" s="22"/>
      <c r="T836" s="145"/>
      <c r="U836" s="145"/>
      <c r="V836" s="145"/>
      <c r="W836" s="145"/>
      <c r="X836" s="53"/>
      <c r="Y836" s="74"/>
      <c r="Z836" s="145"/>
      <c r="AA836" s="145"/>
      <c r="AB836" s="145"/>
      <c r="AC836" s="146"/>
      <c r="AD836" s="145"/>
      <c r="AE836" s="145"/>
      <c r="AF836" s="145"/>
      <c r="AG836" s="145"/>
      <c r="AH836" s="146"/>
      <c r="AI836" s="145"/>
      <c r="AJ836" s="145"/>
      <c r="AK836" s="145"/>
      <c r="AL836" s="145"/>
      <c r="AM836" s="145"/>
      <c r="AN836" s="145"/>
      <c r="AO836" s="145"/>
      <c r="AP836" s="74"/>
      <c r="AQ836" s="74"/>
      <c r="AR836" s="74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</row>
    <row r="837" spans="1:85" ht="15.75" customHeight="1" x14ac:dyDescent="0.45">
      <c r="A837" s="22"/>
      <c r="B837" s="12"/>
      <c r="C837" s="12"/>
      <c r="D837" s="155"/>
      <c r="E837" s="22"/>
      <c r="F837" s="22"/>
      <c r="G837" s="12"/>
      <c r="H837" s="22"/>
      <c r="I837" s="22"/>
      <c r="J837" s="22"/>
      <c r="K837" s="22"/>
      <c r="L837" s="22"/>
      <c r="M837" s="22"/>
      <c r="N837" s="22"/>
      <c r="O837" s="145"/>
      <c r="P837" s="145"/>
      <c r="Q837" s="145"/>
      <c r="R837" s="145"/>
      <c r="S837" s="22"/>
      <c r="T837" s="145"/>
      <c r="U837" s="145"/>
      <c r="V837" s="145"/>
      <c r="W837" s="145"/>
      <c r="X837" s="53"/>
      <c r="Y837" s="74"/>
      <c r="Z837" s="145"/>
      <c r="AA837" s="145"/>
      <c r="AB837" s="145"/>
      <c r="AC837" s="146"/>
      <c r="AD837" s="145"/>
      <c r="AE837" s="145"/>
      <c r="AF837" s="145"/>
      <c r="AG837" s="145"/>
      <c r="AH837" s="146"/>
      <c r="AI837" s="145"/>
      <c r="AJ837" s="145"/>
      <c r="AK837" s="145"/>
      <c r="AL837" s="145"/>
      <c r="AM837" s="145"/>
      <c r="AN837" s="145"/>
      <c r="AO837" s="145"/>
      <c r="AP837" s="74"/>
      <c r="AQ837" s="74"/>
      <c r="AR837" s="74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</row>
    <row r="838" spans="1:85" ht="15.75" customHeight="1" x14ac:dyDescent="0.45">
      <c r="A838" s="22"/>
      <c r="B838" s="12"/>
      <c r="C838" s="12"/>
      <c r="D838" s="155"/>
      <c r="E838" s="22"/>
      <c r="F838" s="22"/>
      <c r="G838" s="12"/>
      <c r="H838" s="22"/>
      <c r="I838" s="22"/>
      <c r="J838" s="22"/>
      <c r="K838" s="22"/>
      <c r="L838" s="22"/>
      <c r="M838" s="22"/>
      <c r="N838" s="22"/>
      <c r="O838" s="145"/>
      <c r="P838" s="145"/>
      <c r="Q838" s="145"/>
      <c r="R838" s="145"/>
      <c r="S838" s="22"/>
      <c r="T838" s="145"/>
      <c r="U838" s="145"/>
      <c r="V838" s="145"/>
      <c r="W838" s="145"/>
      <c r="X838" s="53"/>
      <c r="Y838" s="74"/>
      <c r="Z838" s="145"/>
      <c r="AA838" s="145"/>
      <c r="AB838" s="145"/>
      <c r="AC838" s="146"/>
      <c r="AD838" s="145"/>
      <c r="AE838" s="145"/>
      <c r="AF838" s="145"/>
      <c r="AG838" s="145"/>
      <c r="AH838" s="146"/>
      <c r="AI838" s="145"/>
      <c r="AJ838" s="145"/>
      <c r="AK838" s="145"/>
      <c r="AL838" s="145"/>
      <c r="AM838" s="145"/>
      <c r="AN838" s="145"/>
      <c r="AO838" s="145"/>
      <c r="AP838" s="74"/>
      <c r="AQ838" s="74"/>
      <c r="AR838" s="74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</row>
    <row r="839" spans="1:85" ht="15.75" customHeight="1" x14ac:dyDescent="0.45">
      <c r="A839" s="22"/>
      <c r="B839" s="12"/>
      <c r="C839" s="12"/>
      <c r="D839" s="155"/>
      <c r="E839" s="22"/>
      <c r="F839" s="22"/>
      <c r="G839" s="12"/>
      <c r="H839" s="22"/>
      <c r="I839" s="22"/>
      <c r="J839" s="22"/>
      <c r="K839" s="22"/>
      <c r="L839" s="22"/>
      <c r="M839" s="22"/>
      <c r="N839" s="22"/>
      <c r="O839" s="145"/>
      <c r="P839" s="145"/>
      <c r="Q839" s="145"/>
      <c r="R839" s="145"/>
      <c r="S839" s="22"/>
      <c r="T839" s="145"/>
      <c r="U839" s="145"/>
      <c r="V839" s="145"/>
      <c r="W839" s="145"/>
      <c r="X839" s="53"/>
      <c r="Y839" s="74"/>
      <c r="Z839" s="145"/>
      <c r="AA839" s="145"/>
      <c r="AB839" s="145"/>
      <c r="AC839" s="146"/>
      <c r="AD839" s="145"/>
      <c r="AE839" s="145"/>
      <c r="AF839" s="145"/>
      <c r="AG839" s="145"/>
      <c r="AH839" s="146"/>
      <c r="AI839" s="145"/>
      <c r="AJ839" s="145"/>
      <c r="AK839" s="145"/>
      <c r="AL839" s="145"/>
      <c r="AM839" s="145"/>
      <c r="AN839" s="145"/>
      <c r="AO839" s="145"/>
      <c r="AP839" s="74"/>
      <c r="AQ839" s="74"/>
      <c r="AR839" s="74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</row>
    <row r="840" spans="1:85" ht="15.75" customHeight="1" x14ac:dyDescent="0.45">
      <c r="A840" s="22"/>
      <c r="B840" s="12"/>
      <c r="C840" s="12"/>
      <c r="D840" s="155"/>
      <c r="E840" s="22"/>
      <c r="F840" s="22"/>
      <c r="G840" s="12"/>
      <c r="H840" s="22"/>
      <c r="I840" s="22"/>
      <c r="J840" s="22"/>
      <c r="K840" s="22"/>
      <c r="L840" s="22"/>
      <c r="M840" s="22"/>
      <c r="N840" s="22"/>
      <c r="O840" s="145"/>
      <c r="P840" s="145"/>
      <c r="Q840" s="145"/>
      <c r="R840" s="145"/>
      <c r="S840" s="22"/>
      <c r="T840" s="145"/>
      <c r="U840" s="145"/>
      <c r="V840" s="145"/>
      <c r="W840" s="145"/>
      <c r="X840" s="53"/>
      <c r="Y840" s="74"/>
      <c r="Z840" s="145"/>
      <c r="AA840" s="145"/>
      <c r="AB840" s="145"/>
      <c r="AC840" s="146"/>
      <c r="AD840" s="145"/>
      <c r="AE840" s="145"/>
      <c r="AF840" s="145"/>
      <c r="AG840" s="145"/>
      <c r="AH840" s="146"/>
      <c r="AI840" s="145"/>
      <c r="AJ840" s="145"/>
      <c r="AK840" s="145"/>
      <c r="AL840" s="145"/>
      <c r="AM840" s="145"/>
      <c r="AN840" s="145"/>
      <c r="AO840" s="145"/>
      <c r="AP840" s="74"/>
      <c r="AQ840" s="74"/>
      <c r="AR840" s="74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</row>
    <row r="841" spans="1:85" ht="15.75" customHeight="1" x14ac:dyDescent="0.45">
      <c r="A841" s="22"/>
      <c r="B841" s="12"/>
      <c r="C841" s="12"/>
      <c r="D841" s="155"/>
      <c r="E841" s="22"/>
      <c r="F841" s="22"/>
      <c r="G841" s="12"/>
      <c r="H841" s="22"/>
      <c r="I841" s="22"/>
      <c r="J841" s="22"/>
      <c r="K841" s="22"/>
      <c r="L841" s="22"/>
      <c r="M841" s="22"/>
      <c r="N841" s="22"/>
      <c r="O841" s="145"/>
      <c r="P841" s="145"/>
      <c r="Q841" s="145"/>
      <c r="R841" s="145"/>
      <c r="S841" s="22"/>
      <c r="T841" s="145"/>
      <c r="U841" s="145"/>
      <c r="V841" s="145"/>
      <c r="W841" s="145"/>
      <c r="X841" s="53"/>
      <c r="Y841" s="74"/>
      <c r="Z841" s="145"/>
      <c r="AA841" s="145"/>
      <c r="AB841" s="145"/>
      <c r="AC841" s="146"/>
      <c r="AD841" s="145"/>
      <c r="AE841" s="145"/>
      <c r="AF841" s="145"/>
      <c r="AG841" s="145"/>
      <c r="AH841" s="146"/>
      <c r="AI841" s="145"/>
      <c r="AJ841" s="145"/>
      <c r="AK841" s="145"/>
      <c r="AL841" s="145"/>
      <c r="AM841" s="145"/>
      <c r="AN841" s="145"/>
      <c r="AO841" s="145"/>
      <c r="AP841" s="74"/>
      <c r="AQ841" s="74"/>
      <c r="AR841" s="74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</row>
    <row r="842" spans="1:85" ht="15.75" customHeight="1" x14ac:dyDescent="0.45">
      <c r="A842" s="22"/>
      <c r="B842" s="12"/>
      <c r="C842" s="12"/>
      <c r="D842" s="155"/>
      <c r="E842" s="22"/>
      <c r="F842" s="22"/>
      <c r="G842" s="12"/>
      <c r="H842" s="22"/>
      <c r="I842" s="22"/>
      <c r="J842" s="22"/>
      <c r="K842" s="22"/>
      <c r="L842" s="22"/>
      <c r="M842" s="22"/>
      <c r="N842" s="22"/>
      <c r="O842" s="145"/>
      <c r="P842" s="145"/>
      <c r="Q842" s="145"/>
      <c r="R842" s="145"/>
      <c r="S842" s="22"/>
      <c r="T842" s="145"/>
      <c r="U842" s="145"/>
      <c r="V842" s="145"/>
      <c r="W842" s="145"/>
      <c r="X842" s="53"/>
      <c r="Y842" s="74"/>
      <c r="Z842" s="145"/>
      <c r="AA842" s="145"/>
      <c r="AB842" s="145"/>
      <c r="AC842" s="146"/>
      <c r="AD842" s="145"/>
      <c r="AE842" s="145"/>
      <c r="AF842" s="145"/>
      <c r="AG842" s="145"/>
      <c r="AH842" s="146"/>
      <c r="AI842" s="145"/>
      <c r="AJ842" s="145"/>
      <c r="AK842" s="145"/>
      <c r="AL842" s="145"/>
      <c r="AM842" s="145"/>
      <c r="AN842" s="145"/>
      <c r="AO842" s="145"/>
      <c r="AP842" s="74"/>
      <c r="AQ842" s="74"/>
      <c r="AR842" s="74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</row>
    <row r="843" spans="1:85" ht="15.75" customHeight="1" x14ac:dyDescent="0.45">
      <c r="A843" s="22"/>
      <c r="B843" s="12"/>
      <c r="C843" s="12"/>
      <c r="D843" s="155"/>
      <c r="E843" s="22"/>
      <c r="F843" s="22"/>
      <c r="G843" s="12"/>
      <c r="H843" s="22"/>
      <c r="I843" s="22"/>
      <c r="J843" s="22"/>
      <c r="K843" s="22"/>
      <c r="L843" s="22"/>
      <c r="M843" s="22"/>
      <c r="N843" s="22"/>
      <c r="O843" s="145"/>
      <c r="P843" s="145"/>
      <c r="Q843" s="145"/>
      <c r="R843" s="145"/>
      <c r="S843" s="22"/>
      <c r="T843" s="145"/>
      <c r="U843" s="145"/>
      <c r="V843" s="145"/>
      <c r="W843" s="145"/>
      <c r="X843" s="53"/>
      <c r="Y843" s="74"/>
      <c r="Z843" s="145"/>
      <c r="AA843" s="145"/>
      <c r="AB843" s="145"/>
      <c r="AC843" s="146"/>
      <c r="AD843" s="145"/>
      <c r="AE843" s="145"/>
      <c r="AF843" s="145"/>
      <c r="AG843" s="145"/>
      <c r="AH843" s="146"/>
      <c r="AI843" s="145"/>
      <c r="AJ843" s="145"/>
      <c r="AK843" s="145"/>
      <c r="AL843" s="145"/>
      <c r="AM843" s="145"/>
      <c r="AN843" s="145"/>
      <c r="AO843" s="145"/>
      <c r="AP843" s="74"/>
      <c r="AQ843" s="74"/>
      <c r="AR843" s="74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</row>
    <row r="844" spans="1:85" ht="15.75" customHeight="1" x14ac:dyDescent="0.45">
      <c r="A844" s="22"/>
      <c r="B844" s="12"/>
      <c r="C844" s="12"/>
      <c r="D844" s="155"/>
      <c r="E844" s="22"/>
      <c r="F844" s="22"/>
      <c r="G844" s="12"/>
      <c r="H844" s="22"/>
      <c r="I844" s="22"/>
      <c r="J844" s="22"/>
      <c r="K844" s="22"/>
      <c r="L844" s="22"/>
      <c r="M844" s="22"/>
      <c r="N844" s="22"/>
      <c r="O844" s="145"/>
      <c r="P844" s="145"/>
      <c r="Q844" s="145"/>
      <c r="R844" s="145"/>
      <c r="S844" s="22"/>
      <c r="T844" s="145"/>
      <c r="U844" s="145"/>
      <c r="V844" s="145"/>
      <c r="W844" s="145"/>
      <c r="X844" s="53"/>
      <c r="Y844" s="74"/>
      <c r="Z844" s="145"/>
      <c r="AA844" s="145"/>
      <c r="AB844" s="145"/>
      <c r="AC844" s="146"/>
      <c r="AD844" s="145"/>
      <c r="AE844" s="145"/>
      <c r="AF844" s="145"/>
      <c r="AG844" s="145"/>
      <c r="AH844" s="146"/>
      <c r="AI844" s="145"/>
      <c r="AJ844" s="145"/>
      <c r="AK844" s="145"/>
      <c r="AL844" s="145"/>
      <c r="AM844" s="145"/>
      <c r="AN844" s="145"/>
      <c r="AO844" s="145"/>
      <c r="AP844" s="74"/>
      <c r="AQ844" s="74"/>
      <c r="AR844" s="74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</row>
    <row r="845" spans="1:85" ht="15.75" customHeight="1" x14ac:dyDescent="0.45">
      <c r="A845" s="22"/>
      <c r="B845" s="12"/>
      <c r="C845" s="12"/>
      <c r="D845" s="155"/>
      <c r="E845" s="22"/>
      <c r="F845" s="22"/>
      <c r="G845" s="12"/>
      <c r="H845" s="22"/>
      <c r="I845" s="22"/>
      <c r="J845" s="22"/>
      <c r="K845" s="22"/>
      <c r="L845" s="22"/>
      <c r="M845" s="22"/>
      <c r="N845" s="22"/>
      <c r="O845" s="145"/>
      <c r="P845" s="145"/>
      <c r="Q845" s="145"/>
      <c r="R845" s="145"/>
      <c r="S845" s="22"/>
      <c r="T845" s="145"/>
      <c r="U845" s="145"/>
      <c r="V845" s="145"/>
      <c r="W845" s="145"/>
      <c r="X845" s="53"/>
      <c r="Y845" s="74"/>
      <c r="Z845" s="145"/>
      <c r="AA845" s="145"/>
      <c r="AB845" s="145"/>
      <c r="AC845" s="146"/>
      <c r="AD845" s="145"/>
      <c r="AE845" s="145"/>
      <c r="AF845" s="145"/>
      <c r="AG845" s="145"/>
      <c r="AH845" s="146"/>
      <c r="AI845" s="145"/>
      <c r="AJ845" s="145"/>
      <c r="AK845" s="145"/>
      <c r="AL845" s="145"/>
      <c r="AM845" s="145"/>
      <c r="AN845" s="145"/>
      <c r="AO845" s="145"/>
      <c r="AP845" s="74"/>
      <c r="AQ845" s="74"/>
      <c r="AR845" s="74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</row>
    <row r="846" spans="1:85" ht="15.75" customHeight="1" x14ac:dyDescent="0.45">
      <c r="A846" s="22"/>
      <c r="B846" s="12"/>
      <c r="C846" s="12"/>
      <c r="D846" s="155"/>
      <c r="E846" s="22"/>
      <c r="F846" s="22"/>
      <c r="G846" s="12"/>
      <c r="H846" s="22"/>
      <c r="I846" s="22"/>
      <c r="J846" s="22"/>
      <c r="K846" s="22"/>
      <c r="L846" s="22"/>
      <c r="M846" s="22"/>
      <c r="N846" s="22"/>
      <c r="O846" s="145"/>
      <c r="P846" s="145"/>
      <c r="Q846" s="145"/>
      <c r="R846" s="145"/>
      <c r="S846" s="22"/>
      <c r="T846" s="145"/>
      <c r="U846" s="145"/>
      <c r="V846" s="145"/>
      <c r="W846" s="145"/>
      <c r="X846" s="53"/>
      <c r="Y846" s="74"/>
      <c r="Z846" s="145"/>
      <c r="AA846" s="145"/>
      <c r="AB846" s="145"/>
      <c r="AC846" s="146"/>
      <c r="AD846" s="145"/>
      <c r="AE846" s="145"/>
      <c r="AF846" s="145"/>
      <c r="AG846" s="145"/>
      <c r="AH846" s="146"/>
      <c r="AI846" s="145"/>
      <c r="AJ846" s="145"/>
      <c r="AK846" s="145"/>
      <c r="AL846" s="145"/>
      <c r="AM846" s="145"/>
      <c r="AN846" s="145"/>
      <c r="AO846" s="145"/>
      <c r="AP846" s="74"/>
      <c r="AQ846" s="74"/>
      <c r="AR846" s="74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</row>
    <row r="847" spans="1:85" ht="15.75" customHeight="1" x14ac:dyDescent="0.45">
      <c r="A847" s="22"/>
      <c r="B847" s="12"/>
      <c r="C847" s="12"/>
      <c r="D847" s="155"/>
      <c r="E847" s="22"/>
      <c r="F847" s="22"/>
      <c r="G847" s="12"/>
      <c r="H847" s="22"/>
      <c r="I847" s="22"/>
      <c r="J847" s="22"/>
      <c r="K847" s="22"/>
      <c r="L847" s="22"/>
      <c r="M847" s="22"/>
      <c r="N847" s="22"/>
      <c r="O847" s="145"/>
      <c r="P847" s="145"/>
      <c r="Q847" s="145"/>
      <c r="R847" s="145"/>
      <c r="S847" s="22"/>
      <c r="T847" s="145"/>
      <c r="U847" s="145"/>
      <c r="V847" s="145"/>
      <c r="W847" s="145"/>
      <c r="X847" s="53"/>
      <c r="Y847" s="74"/>
      <c r="Z847" s="145"/>
      <c r="AA847" s="145"/>
      <c r="AB847" s="145"/>
      <c r="AC847" s="146"/>
      <c r="AD847" s="145"/>
      <c r="AE847" s="145"/>
      <c r="AF847" s="145"/>
      <c r="AG847" s="145"/>
      <c r="AH847" s="146"/>
      <c r="AI847" s="145"/>
      <c r="AJ847" s="145"/>
      <c r="AK847" s="145"/>
      <c r="AL847" s="145"/>
      <c r="AM847" s="145"/>
      <c r="AN847" s="145"/>
      <c r="AO847" s="145"/>
      <c r="AP847" s="74"/>
      <c r="AQ847" s="74"/>
      <c r="AR847" s="74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</row>
    <row r="848" spans="1:85" ht="15.75" customHeight="1" x14ac:dyDescent="0.45">
      <c r="A848" s="22"/>
      <c r="B848" s="12"/>
      <c r="C848" s="12"/>
      <c r="D848" s="155"/>
      <c r="E848" s="22"/>
      <c r="F848" s="22"/>
      <c r="G848" s="12"/>
      <c r="H848" s="22"/>
      <c r="I848" s="22"/>
      <c r="J848" s="22"/>
      <c r="K848" s="22"/>
      <c r="L848" s="22"/>
      <c r="M848" s="22"/>
      <c r="N848" s="22"/>
      <c r="O848" s="145"/>
      <c r="P848" s="145"/>
      <c r="Q848" s="145"/>
      <c r="R848" s="145"/>
      <c r="S848" s="22"/>
      <c r="T848" s="145"/>
      <c r="U848" s="145"/>
      <c r="V848" s="145"/>
      <c r="W848" s="145"/>
      <c r="X848" s="53"/>
      <c r="Y848" s="74"/>
      <c r="Z848" s="145"/>
      <c r="AA848" s="145"/>
      <c r="AB848" s="145"/>
      <c r="AC848" s="146"/>
      <c r="AD848" s="145"/>
      <c r="AE848" s="145"/>
      <c r="AF848" s="145"/>
      <c r="AG848" s="145"/>
      <c r="AH848" s="146"/>
      <c r="AI848" s="145"/>
      <c r="AJ848" s="145"/>
      <c r="AK848" s="145"/>
      <c r="AL848" s="145"/>
      <c r="AM848" s="145"/>
      <c r="AN848" s="145"/>
      <c r="AO848" s="145"/>
      <c r="AP848" s="74"/>
      <c r="AQ848" s="74"/>
      <c r="AR848" s="74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</row>
    <row r="849" spans="1:85" ht="15.75" customHeight="1" x14ac:dyDescent="0.45">
      <c r="A849" s="22"/>
      <c r="B849" s="12"/>
      <c r="C849" s="12"/>
      <c r="D849" s="155"/>
      <c r="E849" s="22"/>
      <c r="F849" s="22"/>
      <c r="G849" s="12"/>
      <c r="H849" s="22"/>
      <c r="I849" s="22"/>
      <c r="J849" s="22"/>
      <c r="K849" s="22"/>
      <c r="L849" s="22"/>
      <c r="M849" s="22"/>
      <c r="N849" s="22"/>
      <c r="O849" s="145"/>
      <c r="P849" s="145"/>
      <c r="Q849" s="145"/>
      <c r="R849" s="145"/>
      <c r="S849" s="22"/>
      <c r="T849" s="145"/>
      <c r="U849" s="145"/>
      <c r="V849" s="145"/>
      <c r="W849" s="145"/>
      <c r="X849" s="53"/>
      <c r="Y849" s="74"/>
      <c r="Z849" s="145"/>
      <c r="AA849" s="145"/>
      <c r="AB849" s="145"/>
      <c r="AC849" s="146"/>
      <c r="AD849" s="145"/>
      <c r="AE849" s="145"/>
      <c r="AF849" s="145"/>
      <c r="AG849" s="145"/>
      <c r="AH849" s="146"/>
      <c r="AI849" s="145"/>
      <c r="AJ849" s="145"/>
      <c r="AK849" s="145"/>
      <c r="AL849" s="145"/>
      <c r="AM849" s="145"/>
      <c r="AN849" s="145"/>
      <c r="AO849" s="145"/>
      <c r="AP849" s="74"/>
      <c r="AQ849" s="74"/>
      <c r="AR849" s="74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</row>
    <row r="850" spans="1:85" ht="15.75" customHeight="1" x14ac:dyDescent="0.45">
      <c r="A850" s="22"/>
      <c r="B850" s="12"/>
      <c r="C850" s="12"/>
      <c r="D850" s="155"/>
      <c r="E850" s="22"/>
      <c r="F850" s="22"/>
      <c r="G850" s="12"/>
      <c r="H850" s="22"/>
      <c r="I850" s="22"/>
      <c r="J850" s="22"/>
      <c r="K850" s="22"/>
      <c r="L850" s="22"/>
      <c r="M850" s="22"/>
      <c r="N850" s="22"/>
      <c r="O850" s="145"/>
      <c r="P850" s="145"/>
      <c r="Q850" s="145"/>
      <c r="R850" s="145"/>
      <c r="S850" s="22"/>
      <c r="T850" s="145"/>
      <c r="U850" s="145"/>
      <c r="V850" s="145"/>
      <c r="W850" s="145"/>
      <c r="X850" s="53"/>
      <c r="Y850" s="74"/>
      <c r="Z850" s="145"/>
      <c r="AA850" s="145"/>
      <c r="AB850" s="145"/>
      <c r="AC850" s="146"/>
      <c r="AD850" s="145"/>
      <c r="AE850" s="145"/>
      <c r="AF850" s="145"/>
      <c r="AG850" s="145"/>
      <c r="AH850" s="146"/>
      <c r="AI850" s="145"/>
      <c r="AJ850" s="145"/>
      <c r="AK850" s="145"/>
      <c r="AL850" s="145"/>
      <c r="AM850" s="145"/>
      <c r="AN850" s="145"/>
      <c r="AO850" s="145"/>
      <c r="AP850" s="74"/>
      <c r="AQ850" s="74"/>
      <c r="AR850" s="74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</row>
    <row r="851" spans="1:85" ht="15.75" customHeight="1" x14ac:dyDescent="0.45">
      <c r="A851" s="22"/>
      <c r="B851" s="12"/>
      <c r="C851" s="12"/>
      <c r="D851" s="155"/>
      <c r="E851" s="22"/>
      <c r="F851" s="22"/>
      <c r="G851" s="12"/>
      <c r="H851" s="22"/>
      <c r="I851" s="22"/>
      <c r="J851" s="22"/>
      <c r="K851" s="22"/>
      <c r="L851" s="22"/>
      <c r="M851" s="22"/>
      <c r="N851" s="22"/>
      <c r="O851" s="145"/>
      <c r="P851" s="145"/>
      <c r="Q851" s="145"/>
      <c r="R851" s="145"/>
      <c r="S851" s="22"/>
      <c r="T851" s="145"/>
      <c r="U851" s="145"/>
      <c r="V851" s="145"/>
      <c r="W851" s="145"/>
      <c r="X851" s="53"/>
      <c r="Y851" s="74"/>
      <c r="Z851" s="145"/>
      <c r="AA851" s="145"/>
      <c r="AB851" s="145"/>
      <c r="AC851" s="146"/>
      <c r="AD851" s="145"/>
      <c r="AE851" s="145"/>
      <c r="AF851" s="145"/>
      <c r="AG851" s="145"/>
      <c r="AH851" s="146"/>
      <c r="AI851" s="145"/>
      <c r="AJ851" s="145"/>
      <c r="AK851" s="145"/>
      <c r="AL851" s="145"/>
      <c r="AM851" s="145"/>
      <c r="AN851" s="145"/>
      <c r="AO851" s="145"/>
      <c r="AP851" s="74"/>
      <c r="AQ851" s="74"/>
      <c r="AR851" s="74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</row>
    <row r="852" spans="1:85" ht="15.75" customHeight="1" x14ac:dyDescent="0.45">
      <c r="A852" s="22"/>
      <c r="B852" s="12"/>
      <c r="C852" s="12"/>
      <c r="D852" s="155"/>
      <c r="E852" s="22"/>
      <c r="F852" s="22"/>
      <c r="G852" s="12"/>
      <c r="H852" s="22"/>
      <c r="I852" s="22"/>
      <c r="J852" s="22"/>
      <c r="K852" s="22"/>
      <c r="L852" s="22"/>
      <c r="M852" s="22"/>
      <c r="N852" s="22"/>
      <c r="O852" s="145"/>
      <c r="P852" s="145"/>
      <c r="Q852" s="145"/>
      <c r="R852" s="145"/>
      <c r="S852" s="22"/>
      <c r="T852" s="145"/>
      <c r="U852" s="145"/>
      <c r="V852" s="145"/>
      <c r="W852" s="145"/>
      <c r="X852" s="53"/>
      <c r="Y852" s="74"/>
      <c r="Z852" s="145"/>
      <c r="AA852" s="145"/>
      <c r="AB852" s="145"/>
      <c r="AC852" s="146"/>
      <c r="AD852" s="145"/>
      <c r="AE852" s="145"/>
      <c r="AF852" s="145"/>
      <c r="AG852" s="145"/>
      <c r="AH852" s="146"/>
      <c r="AI852" s="145"/>
      <c r="AJ852" s="145"/>
      <c r="AK852" s="145"/>
      <c r="AL852" s="145"/>
      <c r="AM852" s="145"/>
      <c r="AN852" s="145"/>
      <c r="AO852" s="145"/>
      <c r="AP852" s="74"/>
      <c r="AQ852" s="74"/>
      <c r="AR852" s="74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</row>
    <row r="853" spans="1:85" ht="15.75" customHeight="1" x14ac:dyDescent="0.45">
      <c r="A853" s="22"/>
      <c r="B853" s="12"/>
      <c r="C853" s="12"/>
      <c r="D853" s="155"/>
      <c r="E853" s="22"/>
      <c r="F853" s="22"/>
      <c r="G853" s="12"/>
      <c r="H853" s="22"/>
      <c r="I853" s="22"/>
      <c r="J853" s="22"/>
      <c r="K853" s="22"/>
      <c r="L853" s="22"/>
      <c r="M853" s="22"/>
      <c r="N853" s="22"/>
      <c r="O853" s="145"/>
      <c r="P853" s="145"/>
      <c r="Q853" s="145"/>
      <c r="R853" s="145"/>
      <c r="S853" s="22"/>
      <c r="T853" s="145"/>
      <c r="U853" s="145"/>
      <c r="V853" s="145"/>
      <c r="W853" s="145"/>
      <c r="X853" s="53"/>
      <c r="Y853" s="74"/>
      <c r="Z853" s="145"/>
      <c r="AA853" s="145"/>
      <c r="AB853" s="145"/>
      <c r="AC853" s="146"/>
      <c r="AD853" s="145"/>
      <c r="AE853" s="145"/>
      <c r="AF853" s="145"/>
      <c r="AG853" s="145"/>
      <c r="AH853" s="146"/>
      <c r="AI853" s="145"/>
      <c r="AJ853" s="145"/>
      <c r="AK853" s="145"/>
      <c r="AL853" s="145"/>
      <c r="AM853" s="145"/>
      <c r="AN853" s="145"/>
      <c r="AO853" s="145"/>
      <c r="AP853" s="74"/>
      <c r="AQ853" s="74"/>
      <c r="AR853" s="74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</row>
    <row r="854" spans="1:85" ht="15.75" customHeight="1" x14ac:dyDescent="0.45">
      <c r="A854" s="22"/>
      <c r="B854" s="12"/>
      <c r="C854" s="12"/>
      <c r="D854" s="155"/>
      <c r="E854" s="22"/>
      <c r="F854" s="22"/>
      <c r="G854" s="12"/>
      <c r="H854" s="22"/>
      <c r="I854" s="22"/>
      <c r="J854" s="22"/>
      <c r="K854" s="22"/>
      <c r="L854" s="22"/>
      <c r="M854" s="22"/>
      <c r="N854" s="22"/>
      <c r="O854" s="145"/>
      <c r="P854" s="145"/>
      <c r="Q854" s="145"/>
      <c r="R854" s="145"/>
      <c r="S854" s="22"/>
      <c r="T854" s="145"/>
      <c r="U854" s="145"/>
      <c r="V854" s="145"/>
      <c r="W854" s="145"/>
      <c r="X854" s="53"/>
      <c r="Y854" s="74"/>
      <c r="Z854" s="145"/>
      <c r="AA854" s="145"/>
      <c r="AB854" s="145"/>
      <c r="AC854" s="146"/>
      <c r="AD854" s="145"/>
      <c r="AE854" s="145"/>
      <c r="AF854" s="145"/>
      <c r="AG854" s="145"/>
      <c r="AH854" s="146"/>
      <c r="AI854" s="145"/>
      <c r="AJ854" s="145"/>
      <c r="AK854" s="145"/>
      <c r="AL854" s="145"/>
      <c r="AM854" s="145"/>
      <c r="AN854" s="145"/>
      <c r="AO854" s="145"/>
      <c r="AP854" s="74"/>
      <c r="AQ854" s="74"/>
      <c r="AR854" s="74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</row>
    <row r="855" spans="1:85" ht="15.75" customHeight="1" x14ac:dyDescent="0.45">
      <c r="A855" s="22"/>
      <c r="B855" s="12"/>
      <c r="C855" s="12"/>
      <c r="D855" s="155"/>
      <c r="E855" s="22"/>
      <c r="F855" s="22"/>
      <c r="G855" s="12"/>
      <c r="H855" s="22"/>
      <c r="I855" s="22"/>
      <c r="J855" s="22"/>
      <c r="K855" s="22"/>
      <c r="L855" s="22"/>
      <c r="M855" s="22"/>
      <c r="N855" s="22"/>
      <c r="O855" s="145"/>
      <c r="P855" s="145"/>
      <c r="Q855" s="145"/>
      <c r="R855" s="145"/>
      <c r="S855" s="22"/>
      <c r="T855" s="145"/>
      <c r="U855" s="145"/>
      <c r="V855" s="145"/>
      <c r="W855" s="145"/>
      <c r="X855" s="53"/>
      <c r="Y855" s="74"/>
      <c r="Z855" s="145"/>
      <c r="AA855" s="145"/>
      <c r="AB855" s="145"/>
      <c r="AC855" s="146"/>
      <c r="AD855" s="145"/>
      <c r="AE855" s="145"/>
      <c r="AF855" s="145"/>
      <c r="AG855" s="145"/>
      <c r="AH855" s="146"/>
      <c r="AI855" s="145"/>
      <c r="AJ855" s="145"/>
      <c r="AK855" s="145"/>
      <c r="AL855" s="145"/>
      <c r="AM855" s="145"/>
      <c r="AN855" s="145"/>
      <c r="AO855" s="145"/>
      <c r="AP855" s="74"/>
      <c r="AQ855" s="74"/>
      <c r="AR855" s="74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</row>
    <row r="856" spans="1:85" ht="15.75" customHeight="1" x14ac:dyDescent="0.45">
      <c r="A856" s="22"/>
      <c r="B856" s="12"/>
      <c r="C856" s="12"/>
      <c r="D856" s="155"/>
      <c r="E856" s="22"/>
      <c r="F856" s="22"/>
      <c r="G856" s="12"/>
      <c r="H856" s="22"/>
      <c r="I856" s="22"/>
      <c r="J856" s="22"/>
      <c r="K856" s="22"/>
      <c r="L856" s="22"/>
      <c r="M856" s="22"/>
      <c r="N856" s="22"/>
      <c r="O856" s="145"/>
      <c r="P856" s="145"/>
      <c r="Q856" s="145"/>
      <c r="R856" s="145"/>
      <c r="S856" s="22"/>
      <c r="T856" s="145"/>
      <c r="U856" s="145"/>
      <c r="V856" s="145"/>
      <c r="W856" s="145"/>
      <c r="X856" s="53"/>
      <c r="Y856" s="74"/>
      <c r="Z856" s="145"/>
      <c r="AA856" s="145"/>
      <c r="AB856" s="145"/>
      <c r="AC856" s="146"/>
      <c r="AD856" s="145"/>
      <c r="AE856" s="145"/>
      <c r="AF856" s="145"/>
      <c r="AG856" s="145"/>
      <c r="AH856" s="146"/>
      <c r="AI856" s="145"/>
      <c r="AJ856" s="145"/>
      <c r="AK856" s="145"/>
      <c r="AL856" s="145"/>
      <c r="AM856" s="145"/>
      <c r="AN856" s="145"/>
      <c r="AO856" s="145"/>
      <c r="AP856" s="74"/>
      <c r="AQ856" s="74"/>
      <c r="AR856" s="74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</row>
    <row r="857" spans="1:85" ht="15.75" customHeight="1" x14ac:dyDescent="0.45">
      <c r="A857" s="22"/>
      <c r="B857" s="12"/>
      <c r="C857" s="12"/>
      <c r="D857" s="155"/>
      <c r="E857" s="22"/>
      <c r="F857" s="22"/>
      <c r="G857" s="12"/>
      <c r="H857" s="22"/>
      <c r="I857" s="22"/>
      <c r="J857" s="22"/>
      <c r="K857" s="22"/>
      <c r="L857" s="22"/>
      <c r="M857" s="22"/>
      <c r="N857" s="22"/>
      <c r="O857" s="145"/>
      <c r="P857" s="145"/>
      <c r="Q857" s="145"/>
      <c r="R857" s="145"/>
      <c r="S857" s="22"/>
      <c r="T857" s="145"/>
      <c r="U857" s="145"/>
      <c r="V857" s="145"/>
      <c r="W857" s="145"/>
      <c r="X857" s="53"/>
      <c r="Y857" s="74"/>
      <c r="Z857" s="145"/>
      <c r="AA857" s="145"/>
      <c r="AB857" s="145"/>
      <c r="AC857" s="146"/>
      <c r="AD857" s="145"/>
      <c r="AE857" s="145"/>
      <c r="AF857" s="145"/>
      <c r="AG857" s="145"/>
      <c r="AH857" s="146"/>
      <c r="AI857" s="145"/>
      <c r="AJ857" s="145"/>
      <c r="AK857" s="145"/>
      <c r="AL857" s="145"/>
      <c r="AM857" s="145"/>
      <c r="AN857" s="145"/>
      <c r="AO857" s="145"/>
      <c r="AP857" s="74"/>
      <c r="AQ857" s="74"/>
      <c r="AR857" s="74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</row>
    <row r="858" spans="1:85" ht="15.75" customHeight="1" x14ac:dyDescent="0.45">
      <c r="A858" s="22"/>
      <c r="B858" s="12"/>
      <c r="C858" s="12"/>
      <c r="D858" s="155"/>
      <c r="E858" s="22"/>
      <c r="F858" s="22"/>
      <c r="G858" s="12"/>
      <c r="H858" s="22"/>
      <c r="I858" s="22"/>
      <c r="J858" s="22"/>
      <c r="K858" s="22"/>
      <c r="L858" s="22"/>
      <c r="M858" s="22"/>
      <c r="N858" s="22"/>
      <c r="O858" s="145"/>
      <c r="P858" s="145"/>
      <c r="Q858" s="145"/>
      <c r="R858" s="145"/>
      <c r="S858" s="22"/>
      <c r="T858" s="145"/>
      <c r="U858" s="145"/>
      <c r="V858" s="145"/>
      <c r="W858" s="145"/>
      <c r="X858" s="53"/>
      <c r="Y858" s="74"/>
      <c r="Z858" s="145"/>
      <c r="AA858" s="145"/>
      <c r="AB858" s="145"/>
      <c r="AC858" s="146"/>
      <c r="AD858" s="145"/>
      <c r="AE858" s="145"/>
      <c r="AF858" s="145"/>
      <c r="AG858" s="145"/>
      <c r="AH858" s="146"/>
      <c r="AI858" s="145"/>
      <c r="AJ858" s="145"/>
      <c r="AK858" s="145"/>
      <c r="AL858" s="145"/>
      <c r="AM858" s="145"/>
      <c r="AN858" s="145"/>
      <c r="AO858" s="145"/>
      <c r="AP858" s="74"/>
      <c r="AQ858" s="74"/>
      <c r="AR858" s="74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</row>
    <row r="859" spans="1:85" ht="15.75" customHeight="1" x14ac:dyDescent="0.45">
      <c r="A859" s="22"/>
      <c r="B859" s="12"/>
      <c r="C859" s="12"/>
      <c r="D859" s="155"/>
      <c r="E859" s="22"/>
      <c r="F859" s="22"/>
      <c r="G859" s="12"/>
      <c r="H859" s="22"/>
      <c r="I859" s="22"/>
      <c r="J859" s="22"/>
      <c r="K859" s="22"/>
      <c r="L859" s="22"/>
      <c r="M859" s="22"/>
      <c r="N859" s="22"/>
      <c r="O859" s="145"/>
      <c r="P859" s="145"/>
      <c r="Q859" s="145"/>
      <c r="R859" s="145"/>
      <c r="S859" s="22"/>
      <c r="T859" s="145"/>
      <c r="U859" s="145"/>
      <c r="V859" s="145"/>
      <c r="W859" s="145"/>
      <c r="X859" s="53"/>
      <c r="Y859" s="74"/>
      <c r="Z859" s="145"/>
      <c r="AA859" s="145"/>
      <c r="AB859" s="145"/>
      <c r="AC859" s="146"/>
      <c r="AD859" s="145"/>
      <c r="AE859" s="145"/>
      <c r="AF859" s="145"/>
      <c r="AG859" s="145"/>
      <c r="AH859" s="146"/>
      <c r="AI859" s="145"/>
      <c r="AJ859" s="145"/>
      <c r="AK859" s="145"/>
      <c r="AL859" s="145"/>
      <c r="AM859" s="145"/>
      <c r="AN859" s="145"/>
      <c r="AO859" s="145"/>
      <c r="AP859" s="74"/>
      <c r="AQ859" s="74"/>
      <c r="AR859" s="74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</row>
    <row r="860" spans="1:85" ht="15.75" customHeight="1" x14ac:dyDescent="0.45">
      <c r="A860" s="22"/>
      <c r="B860" s="12"/>
      <c r="C860" s="12"/>
      <c r="D860" s="155"/>
      <c r="E860" s="22"/>
      <c r="F860" s="22"/>
      <c r="G860" s="12"/>
      <c r="H860" s="22"/>
      <c r="I860" s="22"/>
      <c r="J860" s="22"/>
      <c r="K860" s="22"/>
      <c r="L860" s="22"/>
      <c r="M860" s="22"/>
      <c r="N860" s="22"/>
      <c r="O860" s="145"/>
      <c r="P860" s="145"/>
      <c r="Q860" s="145"/>
      <c r="R860" s="145"/>
      <c r="S860" s="22"/>
      <c r="T860" s="145"/>
      <c r="U860" s="145"/>
      <c r="V860" s="145"/>
      <c r="W860" s="145"/>
      <c r="X860" s="53"/>
      <c r="Y860" s="74"/>
      <c r="Z860" s="145"/>
      <c r="AA860" s="145"/>
      <c r="AB860" s="145"/>
      <c r="AC860" s="146"/>
      <c r="AD860" s="145"/>
      <c r="AE860" s="145"/>
      <c r="AF860" s="145"/>
      <c r="AG860" s="145"/>
      <c r="AH860" s="146"/>
      <c r="AI860" s="145"/>
      <c r="AJ860" s="145"/>
      <c r="AK860" s="145"/>
      <c r="AL860" s="145"/>
      <c r="AM860" s="145"/>
      <c r="AN860" s="145"/>
      <c r="AO860" s="145"/>
      <c r="AP860" s="74"/>
      <c r="AQ860" s="74"/>
      <c r="AR860" s="74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</row>
    <row r="861" spans="1:85" ht="15.75" customHeight="1" x14ac:dyDescent="0.45">
      <c r="A861" s="22"/>
      <c r="B861" s="12"/>
      <c r="C861" s="12"/>
      <c r="D861" s="155"/>
      <c r="E861" s="22"/>
      <c r="F861" s="22"/>
      <c r="G861" s="12"/>
      <c r="H861" s="22"/>
      <c r="I861" s="22"/>
      <c r="J861" s="22"/>
      <c r="K861" s="22"/>
      <c r="L861" s="22"/>
      <c r="M861" s="22"/>
      <c r="N861" s="22"/>
      <c r="O861" s="145"/>
      <c r="P861" s="145"/>
      <c r="Q861" s="145"/>
      <c r="R861" s="145"/>
      <c r="S861" s="22"/>
      <c r="T861" s="145"/>
      <c r="U861" s="145"/>
      <c r="V861" s="145"/>
      <c r="W861" s="145"/>
      <c r="X861" s="53"/>
      <c r="Y861" s="74"/>
      <c r="Z861" s="145"/>
      <c r="AA861" s="145"/>
      <c r="AB861" s="145"/>
      <c r="AC861" s="146"/>
      <c r="AD861" s="145"/>
      <c r="AE861" s="145"/>
      <c r="AF861" s="145"/>
      <c r="AG861" s="145"/>
      <c r="AH861" s="146"/>
      <c r="AI861" s="145"/>
      <c r="AJ861" s="145"/>
      <c r="AK861" s="145"/>
      <c r="AL861" s="145"/>
      <c r="AM861" s="145"/>
      <c r="AN861" s="145"/>
      <c r="AO861" s="145"/>
      <c r="AP861" s="74"/>
      <c r="AQ861" s="74"/>
      <c r="AR861" s="74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</row>
    <row r="862" spans="1:85" ht="15.75" customHeight="1" x14ac:dyDescent="0.45">
      <c r="A862" s="22"/>
      <c r="B862" s="12"/>
      <c r="C862" s="12"/>
      <c r="D862" s="155"/>
      <c r="E862" s="22"/>
      <c r="F862" s="22"/>
      <c r="G862" s="12"/>
      <c r="H862" s="22"/>
      <c r="I862" s="22"/>
      <c r="J862" s="22"/>
      <c r="K862" s="22"/>
      <c r="L862" s="22"/>
      <c r="M862" s="22"/>
      <c r="N862" s="22"/>
      <c r="O862" s="145"/>
      <c r="P862" s="145"/>
      <c r="Q862" s="145"/>
      <c r="R862" s="145"/>
      <c r="S862" s="22"/>
      <c r="T862" s="145"/>
      <c r="U862" s="145"/>
      <c r="V862" s="145"/>
      <c r="W862" s="145"/>
      <c r="X862" s="53"/>
      <c r="Y862" s="74"/>
      <c r="Z862" s="145"/>
      <c r="AA862" s="145"/>
      <c r="AB862" s="145"/>
      <c r="AC862" s="146"/>
      <c r="AD862" s="145"/>
      <c r="AE862" s="145"/>
      <c r="AF862" s="145"/>
      <c r="AG862" s="145"/>
      <c r="AH862" s="146"/>
      <c r="AI862" s="145"/>
      <c r="AJ862" s="145"/>
      <c r="AK862" s="145"/>
      <c r="AL862" s="145"/>
      <c r="AM862" s="145"/>
      <c r="AN862" s="145"/>
      <c r="AO862" s="145"/>
      <c r="AP862" s="74"/>
      <c r="AQ862" s="74"/>
      <c r="AR862" s="74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</row>
    <row r="863" spans="1:85" ht="15.75" customHeight="1" x14ac:dyDescent="0.45">
      <c r="A863" s="22"/>
      <c r="B863" s="12"/>
      <c r="C863" s="12"/>
      <c r="D863" s="155"/>
      <c r="E863" s="22"/>
      <c r="F863" s="22"/>
      <c r="G863" s="12"/>
      <c r="H863" s="22"/>
      <c r="I863" s="22"/>
      <c r="J863" s="22"/>
      <c r="K863" s="22"/>
      <c r="L863" s="22"/>
      <c r="M863" s="22"/>
      <c r="N863" s="22"/>
      <c r="O863" s="145"/>
      <c r="P863" s="145"/>
      <c r="Q863" s="145"/>
      <c r="R863" s="145"/>
      <c r="S863" s="22"/>
      <c r="T863" s="145"/>
      <c r="U863" s="145"/>
      <c r="V863" s="145"/>
      <c r="W863" s="145"/>
      <c r="X863" s="53"/>
      <c r="Y863" s="74"/>
      <c r="Z863" s="145"/>
      <c r="AA863" s="145"/>
      <c r="AB863" s="145"/>
      <c r="AC863" s="146"/>
      <c r="AD863" s="145"/>
      <c r="AE863" s="145"/>
      <c r="AF863" s="145"/>
      <c r="AG863" s="145"/>
      <c r="AH863" s="146"/>
      <c r="AI863" s="145"/>
      <c r="AJ863" s="145"/>
      <c r="AK863" s="145"/>
      <c r="AL863" s="145"/>
      <c r="AM863" s="145"/>
      <c r="AN863" s="145"/>
      <c r="AO863" s="145"/>
      <c r="AP863" s="74"/>
      <c r="AQ863" s="74"/>
      <c r="AR863" s="74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</row>
    <row r="864" spans="1:85" ht="15.75" customHeight="1" x14ac:dyDescent="0.45">
      <c r="A864" s="22"/>
      <c r="B864" s="12"/>
      <c r="C864" s="12"/>
      <c r="D864" s="155"/>
      <c r="E864" s="22"/>
      <c r="F864" s="22"/>
      <c r="G864" s="12"/>
      <c r="H864" s="22"/>
      <c r="I864" s="22"/>
      <c r="J864" s="22"/>
      <c r="K864" s="22"/>
      <c r="L864" s="22"/>
      <c r="M864" s="22"/>
      <c r="N864" s="22"/>
      <c r="O864" s="145"/>
      <c r="P864" s="145"/>
      <c r="Q864" s="145"/>
      <c r="R864" s="145"/>
      <c r="S864" s="22"/>
      <c r="T864" s="145"/>
      <c r="U864" s="145"/>
      <c r="V864" s="145"/>
      <c r="W864" s="145"/>
      <c r="X864" s="53"/>
      <c r="Y864" s="74"/>
      <c r="Z864" s="145"/>
      <c r="AA864" s="145"/>
      <c r="AB864" s="145"/>
      <c r="AC864" s="146"/>
      <c r="AD864" s="145"/>
      <c r="AE864" s="145"/>
      <c r="AF864" s="145"/>
      <c r="AG864" s="145"/>
      <c r="AH864" s="146"/>
      <c r="AI864" s="145"/>
      <c r="AJ864" s="145"/>
      <c r="AK864" s="145"/>
      <c r="AL864" s="145"/>
      <c r="AM864" s="145"/>
      <c r="AN864" s="145"/>
      <c r="AO864" s="145"/>
      <c r="AP864" s="74"/>
      <c r="AQ864" s="74"/>
      <c r="AR864" s="74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</row>
    <row r="865" spans="1:85" ht="15.75" customHeight="1" x14ac:dyDescent="0.45">
      <c r="A865" s="22"/>
      <c r="B865" s="12"/>
      <c r="C865" s="12"/>
      <c r="D865" s="155"/>
      <c r="E865" s="22"/>
      <c r="F865" s="22"/>
      <c r="G865" s="12"/>
      <c r="H865" s="22"/>
      <c r="I865" s="22"/>
      <c r="J865" s="22"/>
      <c r="K865" s="22"/>
      <c r="L865" s="22"/>
      <c r="M865" s="22"/>
      <c r="N865" s="22"/>
      <c r="O865" s="145"/>
      <c r="P865" s="145"/>
      <c r="Q865" s="145"/>
      <c r="R865" s="145"/>
      <c r="S865" s="22"/>
      <c r="T865" s="145"/>
      <c r="U865" s="145"/>
      <c r="V865" s="145"/>
      <c r="W865" s="145"/>
      <c r="X865" s="53"/>
      <c r="Y865" s="74"/>
      <c r="Z865" s="145"/>
      <c r="AA865" s="145"/>
      <c r="AB865" s="145"/>
      <c r="AC865" s="146"/>
      <c r="AD865" s="145"/>
      <c r="AE865" s="145"/>
      <c r="AF865" s="145"/>
      <c r="AG865" s="145"/>
      <c r="AH865" s="146"/>
      <c r="AI865" s="145"/>
      <c r="AJ865" s="145"/>
      <c r="AK865" s="145"/>
      <c r="AL865" s="145"/>
      <c r="AM865" s="145"/>
      <c r="AN865" s="145"/>
      <c r="AO865" s="145"/>
      <c r="AP865" s="74"/>
      <c r="AQ865" s="74"/>
      <c r="AR865" s="74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</row>
    <row r="866" spans="1:85" ht="15.75" customHeight="1" x14ac:dyDescent="0.45">
      <c r="A866" s="22"/>
      <c r="B866" s="12"/>
      <c r="C866" s="12"/>
      <c r="D866" s="155"/>
      <c r="E866" s="22"/>
      <c r="F866" s="22"/>
      <c r="G866" s="12"/>
      <c r="H866" s="22"/>
      <c r="I866" s="22"/>
      <c r="J866" s="22"/>
      <c r="K866" s="22"/>
      <c r="L866" s="22"/>
      <c r="M866" s="22"/>
      <c r="N866" s="22"/>
      <c r="O866" s="145"/>
      <c r="P866" s="145"/>
      <c r="Q866" s="145"/>
      <c r="R866" s="145"/>
      <c r="S866" s="22"/>
      <c r="T866" s="145"/>
      <c r="U866" s="145"/>
      <c r="V866" s="145"/>
      <c r="W866" s="145"/>
      <c r="X866" s="53"/>
      <c r="Y866" s="74"/>
      <c r="Z866" s="145"/>
      <c r="AA866" s="145"/>
      <c r="AB866" s="145"/>
      <c r="AC866" s="146"/>
      <c r="AD866" s="145"/>
      <c r="AE866" s="145"/>
      <c r="AF866" s="145"/>
      <c r="AG866" s="145"/>
      <c r="AH866" s="146"/>
      <c r="AI866" s="145"/>
      <c r="AJ866" s="145"/>
      <c r="AK866" s="145"/>
      <c r="AL866" s="145"/>
      <c r="AM866" s="145"/>
      <c r="AN866" s="145"/>
      <c r="AO866" s="145"/>
      <c r="AP866" s="74"/>
      <c r="AQ866" s="74"/>
      <c r="AR866" s="74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</row>
    <row r="867" spans="1:85" ht="15.75" customHeight="1" x14ac:dyDescent="0.45">
      <c r="A867" s="22"/>
      <c r="B867" s="12"/>
      <c r="C867" s="12"/>
      <c r="D867" s="155"/>
      <c r="E867" s="22"/>
      <c r="F867" s="22"/>
      <c r="G867" s="12"/>
      <c r="H867" s="22"/>
      <c r="I867" s="22"/>
      <c r="J867" s="22"/>
      <c r="K867" s="22"/>
      <c r="L867" s="22"/>
      <c r="M867" s="22"/>
      <c r="N867" s="22"/>
      <c r="O867" s="145"/>
      <c r="P867" s="145"/>
      <c r="Q867" s="145"/>
      <c r="R867" s="145"/>
      <c r="S867" s="22"/>
      <c r="T867" s="145"/>
      <c r="U867" s="145"/>
      <c r="V867" s="145"/>
      <c r="W867" s="145"/>
      <c r="X867" s="53"/>
      <c r="Y867" s="74"/>
      <c r="Z867" s="145"/>
      <c r="AA867" s="145"/>
      <c r="AB867" s="145"/>
      <c r="AC867" s="146"/>
      <c r="AD867" s="145"/>
      <c r="AE867" s="145"/>
      <c r="AF867" s="145"/>
      <c r="AG867" s="145"/>
      <c r="AH867" s="146"/>
      <c r="AI867" s="145"/>
      <c r="AJ867" s="145"/>
      <c r="AK867" s="145"/>
      <c r="AL867" s="145"/>
      <c r="AM867" s="145"/>
      <c r="AN867" s="145"/>
      <c r="AO867" s="145"/>
      <c r="AP867" s="74"/>
      <c r="AQ867" s="74"/>
      <c r="AR867" s="74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</row>
    <row r="868" spans="1:85" ht="15.75" customHeight="1" x14ac:dyDescent="0.45">
      <c r="A868" s="22"/>
      <c r="B868" s="12"/>
      <c r="C868" s="12"/>
      <c r="D868" s="155"/>
      <c r="E868" s="22"/>
      <c r="F868" s="22"/>
      <c r="G868" s="12"/>
      <c r="H868" s="22"/>
      <c r="I868" s="22"/>
      <c r="J868" s="22"/>
      <c r="K868" s="22"/>
      <c r="L868" s="22"/>
      <c r="M868" s="22"/>
      <c r="N868" s="22"/>
      <c r="O868" s="145"/>
      <c r="P868" s="145"/>
      <c r="Q868" s="145"/>
      <c r="R868" s="145"/>
      <c r="S868" s="22"/>
      <c r="T868" s="145"/>
      <c r="U868" s="145"/>
      <c r="V868" s="145"/>
      <c r="W868" s="145"/>
      <c r="X868" s="53"/>
      <c r="Y868" s="74"/>
      <c r="Z868" s="145"/>
      <c r="AA868" s="145"/>
      <c r="AB868" s="145"/>
      <c r="AC868" s="146"/>
      <c r="AD868" s="145"/>
      <c r="AE868" s="145"/>
      <c r="AF868" s="145"/>
      <c r="AG868" s="145"/>
      <c r="AH868" s="146"/>
      <c r="AI868" s="145"/>
      <c r="AJ868" s="145"/>
      <c r="AK868" s="145"/>
      <c r="AL868" s="145"/>
      <c r="AM868" s="145"/>
      <c r="AN868" s="145"/>
      <c r="AO868" s="145"/>
      <c r="AP868" s="74"/>
      <c r="AQ868" s="74"/>
      <c r="AR868" s="74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</row>
    <row r="869" spans="1:85" ht="15.75" customHeight="1" x14ac:dyDescent="0.45">
      <c r="A869" s="22"/>
      <c r="B869" s="12"/>
      <c r="C869" s="12"/>
      <c r="D869" s="155"/>
      <c r="E869" s="22"/>
      <c r="F869" s="22"/>
      <c r="G869" s="12"/>
      <c r="H869" s="22"/>
      <c r="I869" s="22"/>
      <c r="J869" s="22"/>
      <c r="K869" s="22"/>
      <c r="L869" s="22"/>
      <c r="M869" s="22"/>
      <c r="N869" s="22"/>
      <c r="O869" s="145"/>
      <c r="P869" s="145"/>
      <c r="Q869" s="145"/>
      <c r="R869" s="145"/>
      <c r="S869" s="22"/>
      <c r="T869" s="145"/>
      <c r="U869" s="145"/>
      <c r="V869" s="145"/>
      <c r="W869" s="145"/>
      <c r="X869" s="53"/>
      <c r="Y869" s="74"/>
      <c r="Z869" s="145"/>
      <c r="AA869" s="145"/>
      <c r="AB869" s="145"/>
      <c r="AC869" s="146"/>
      <c r="AD869" s="145"/>
      <c r="AE869" s="145"/>
      <c r="AF869" s="145"/>
      <c r="AG869" s="145"/>
      <c r="AH869" s="146"/>
      <c r="AI869" s="145"/>
      <c r="AJ869" s="145"/>
      <c r="AK869" s="145"/>
      <c r="AL869" s="145"/>
      <c r="AM869" s="145"/>
      <c r="AN869" s="145"/>
      <c r="AO869" s="145"/>
      <c r="AP869" s="74"/>
      <c r="AQ869" s="74"/>
      <c r="AR869" s="74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</row>
    <row r="870" spans="1:85" ht="15.75" customHeight="1" x14ac:dyDescent="0.45">
      <c r="A870" s="22"/>
      <c r="B870" s="12"/>
      <c r="C870" s="12"/>
      <c r="D870" s="155"/>
      <c r="E870" s="22"/>
      <c r="F870" s="22"/>
      <c r="G870" s="12"/>
      <c r="H870" s="22"/>
      <c r="I870" s="22"/>
      <c r="J870" s="22"/>
      <c r="K870" s="22"/>
      <c r="L870" s="22"/>
      <c r="M870" s="22"/>
      <c r="N870" s="22"/>
      <c r="O870" s="145"/>
      <c r="P870" s="145"/>
      <c r="Q870" s="145"/>
      <c r="R870" s="145"/>
      <c r="S870" s="22"/>
      <c r="T870" s="145"/>
      <c r="U870" s="145"/>
      <c r="V870" s="145"/>
      <c r="W870" s="145"/>
      <c r="X870" s="53"/>
      <c r="Y870" s="74"/>
      <c r="Z870" s="145"/>
      <c r="AA870" s="145"/>
      <c r="AB870" s="145"/>
      <c r="AC870" s="146"/>
      <c r="AD870" s="145"/>
      <c r="AE870" s="145"/>
      <c r="AF870" s="145"/>
      <c r="AG870" s="145"/>
      <c r="AH870" s="146"/>
      <c r="AI870" s="145"/>
      <c r="AJ870" s="145"/>
      <c r="AK870" s="145"/>
      <c r="AL870" s="145"/>
      <c r="AM870" s="145"/>
      <c r="AN870" s="145"/>
      <c r="AO870" s="145"/>
      <c r="AP870" s="74"/>
      <c r="AQ870" s="74"/>
      <c r="AR870" s="74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</row>
    <row r="871" spans="1:85" ht="15.75" customHeight="1" x14ac:dyDescent="0.45">
      <c r="A871" s="22"/>
      <c r="B871" s="12"/>
      <c r="C871" s="12"/>
      <c r="D871" s="155"/>
      <c r="E871" s="22"/>
      <c r="F871" s="22"/>
      <c r="G871" s="12"/>
      <c r="H871" s="22"/>
      <c r="I871" s="22"/>
      <c r="J871" s="22"/>
      <c r="K871" s="22"/>
      <c r="L871" s="22"/>
      <c r="M871" s="22"/>
      <c r="N871" s="22"/>
      <c r="O871" s="145"/>
      <c r="P871" s="145"/>
      <c r="Q871" s="145"/>
      <c r="R871" s="145"/>
      <c r="S871" s="22"/>
      <c r="T871" s="145"/>
      <c r="U871" s="145"/>
      <c r="V871" s="145"/>
      <c r="W871" s="145"/>
      <c r="X871" s="53"/>
      <c r="Y871" s="74"/>
      <c r="Z871" s="145"/>
      <c r="AA871" s="145"/>
      <c r="AB871" s="145"/>
      <c r="AC871" s="146"/>
      <c r="AD871" s="145"/>
      <c r="AE871" s="145"/>
      <c r="AF871" s="145"/>
      <c r="AG871" s="145"/>
      <c r="AH871" s="146"/>
      <c r="AI871" s="145"/>
      <c r="AJ871" s="145"/>
      <c r="AK871" s="145"/>
      <c r="AL871" s="145"/>
      <c r="AM871" s="145"/>
      <c r="AN871" s="145"/>
      <c r="AO871" s="145"/>
      <c r="AP871" s="74"/>
      <c r="AQ871" s="74"/>
      <c r="AR871" s="74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</row>
    <row r="872" spans="1:85" ht="15.75" customHeight="1" x14ac:dyDescent="0.45">
      <c r="A872" s="22"/>
      <c r="B872" s="12"/>
      <c r="C872" s="12"/>
      <c r="D872" s="155"/>
      <c r="E872" s="22"/>
      <c r="F872" s="22"/>
      <c r="G872" s="12"/>
      <c r="H872" s="22"/>
      <c r="I872" s="22"/>
      <c r="J872" s="22"/>
      <c r="K872" s="22"/>
      <c r="L872" s="22"/>
      <c r="M872" s="22"/>
      <c r="N872" s="22"/>
      <c r="O872" s="145"/>
      <c r="P872" s="145"/>
      <c r="Q872" s="145"/>
      <c r="R872" s="145"/>
      <c r="S872" s="22"/>
      <c r="T872" s="145"/>
      <c r="U872" s="145"/>
      <c r="V872" s="145"/>
      <c r="W872" s="145"/>
      <c r="X872" s="53"/>
      <c r="Y872" s="74"/>
      <c r="Z872" s="145"/>
      <c r="AA872" s="145"/>
      <c r="AB872" s="145"/>
      <c r="AC872" s="146"/>
      <c r="AD872" s="145"/>
      <c r="AE872" s="145"/>
      <c r="AF872" s="145"/>
      <c r="AG872" s="145"/>
      <c r="AH872" s="146"/>
      <c r="AI872" s="145"/>
      <c r="AJ872" s="145"/>
      <c r="AK872" s="145"/>
      <c r="AL872" s="145"/>
      <c r="AM872" s="145"/>
      <c r="AN872" s="145"/>
      <c r="AO872" s="145"/>
      <c r="AP872" s="74"/>
      <c r="AQ872" s="74"/>
      <c r="AR872" s="74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</row>
    <row r="873" spans="1:85" ht="15.75" customHeight="1" x14ac:dyDescent="0.45">
      <c r="A873" s="22"/>
      <c r="B873" s="12"/>
      <c r="C873" s="12"/>
      <c r="D873" s="155"/>
      <c r="E873" s="22"/>
      <c r="F873" s="22"/>
      <c r="G873" s="12"/>
      <c r="H873" s="22"/>
      <c r="I873" s="22"/>
      <c r="J873" s="22"/>
      <c r="K873" s="22"/>
      <c r="L873" s="22"/>
      <c r="M873" s="22"/>
      <c r="N873" s="22"/>
      <c r="O873" s="145"/>
      <c r="P873" s="145"/>
      <c r="Q873" s="145"/>
      <c r="R873" s="145"/>
      <c r="S873" s="22"/>
      <c r="T873" s="145"/>
      <c r="U873" s="145"/>
      <c r="V873" s="145"/>
      <c r="W873" s="145"/>
      <c r="X873" s="53"/>
      <c r="Y873" s="74"/>
      <c r="Z873" s="145"/>
      <c r="AA873" s="145"/>
      <c r="AB873" s="145"/>
      <c r="AC873" s="146"/>
      <c r="AD873" s="145"/>
      <c r="AE873" s="145"/>
      <c r="AF873" s="145"/>
      <c r="AG873" s="145"/>
      <c r="AH873" s="146"/>
      <c r="AI873" s="145"/>
      <c r="AJ873" s="145"/>
      <c r="AK873" s="145"/>
      <c r="AL873" s="145"/>
      <c r="AM873" s="145"/>
      <c r="AN873" s="145"/>
      <c r="AO873" s="145"/>
      <c r="AP873" s="74"/>
      <c r="AQ873" s="74"/>
      <c r="AR873" s="74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</row>
    <row r="874" spans="1:85" ht="15.75" customHeight="1" x14ac:dyDescent="0.45">
      <c r="A874" s="22"/>
      <c r="B874" s="12"/>
      <c r="C874" s="12"/>
      <c r="D874" s="155"/>
      <c r="E874" s="22"/>
      <c r="F874" s="22"/>
      <c r="G874" s="12"/>
      <c r="H874" s="22"/>
      <c r="I874" s="22"/>
      <c r="J874" s="22"/>
      <c r="K874" s="22"/>
      <c r="L874" s="22"/>
      <c r="M874" s="22"/>
      <c r="N874" s="22"/>
      <c r="O874" s="145"/>
      <c r="P874" s="145"/>
      <c r="Q874" s="145"/>
      <c r="R874" s="145"/>
      <c r="S874" s="22"/>
      <c r="T874" s="145"/>
      <c r="U874" s="145"/>
      <c r="V874" s="145"/>
      <c r="W874" s="145"/>
      <c r="X874" s="53"/>
      <c r="Y874" s="74"/>
      <c r="Z874" s="145"/>
      <c r="AA874" s="145"/>
      <c r="AB874" s="145"/>
      <c r="AC874" s="146"/>
      <c r="AD874" s="145"/>
      <c r="AE874" s="145"/>
      <c r="AF874" s="145"/>
      <c r="AG874" s="145"/>
      <c r="AH874" s="146"/>
      <c r="AI874" s="145"/>
      <c r="AJ874" s="145"/>
      <c r="AK874" s="145"/>
      <c r="AL874" s="145"/>
      <c r="AM874" s="145"/>
      <c r="AN874" s="145"/>
      <c r="AO874" s="145"/>
      <c r="AP874" s="74"/>
      <c r="AQ874" s="74"/>
      <c r="AR874" s="74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</row>
    <row r="875" spans="1:85" ht="15.75" customHeight="1" x14ac:dyDescent="0.45">
      <c r="A875" s="22"/>
      <c r="B875" s="12"/>
      <c r="C875" s="12"/>
      <c r="D875" s="155"/>
      <c r="E875" s="22"/>
      <c r="F875" s="22"/>
      <c r="G875" s="12"/>
      <c r="H875" s="22"/>
      <c r="I875" s="22"/>
      <c r="J875" s="22"/>
      <c r="K875" s="22"/>
      <c r="L875" s="22"/>
      <c r="M875" s="22"/>
      <c r="N875" s="22"/>
      <c r="O875" s="145"/>
      <c r="P875" s="145"/>
      <c r="Q875" s="145"/>
      <c r="R875" s="145"/>
      <c r="S875" s="22"/>
      <c r="T875" s="145"/>
      <c r="U875" s="145"/>
      <c r="V875" s="145"/>
      <c r="W875" s="145"/>
      <c r="X875" s="53"/>
      <c r="Y875" s="74"/>
      <c r="Z875" s="145"/>
      <c r="AA875" s="145"/>
      <c r="AB875" s="145"/>
      <c r="AC875" s="146"/>
      <c r="AD875" s="145"/>
      <c r="AE875" s="145"/>
      <c r="AF875" s="145"/>
      <c r="AG875" s="145"/>
      <c r="AH875" s="146"/>
      <c r="AI875" s="145"/>
      <c r="AJ875" s="145"/>
      <c r="AK875" s="145"/>
      <c r="AL875" s="145"/>
      <c r="AM875" s="145"/>
      <c r="AN875" s="145"/>
      <c r="AO875" s="145"/>
      <c r="AP875" s="74"/>
      <c r="AQ875" s="74"/>
      <c r="AR875" s="74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</row>
    <row r="876" spans="1:85" ht="15.75" customHeight="1" x14ac:dyDescent="0.45">
      <c r="A876" s="22"/>
      <c r="B876" s="12"/>
      <c r="C876" s="12"/>
      <c r="D876" s="155"/>
      <c r="E876" s="22"/>
      <c r="F876" s="22"/>
      <c r="G876" s="12"/>
      <c r="H876" s="22"/>
      <c r="I876" s="22"/>
      <c r="J876" s="22"/>
      <c r="K876" s="22"/>
      <c r="L876" s="22"/>
      <c r="M876" s="22"/>
      <c r="N876" s="22"/>
      <c r="O876" s="145"/>
      <c r="P876" s="145"/>
      <c r="Q876" s="145"/>
      <c r="R876" s="145"/>
      <c r="S876" s="22"/>
      <c r="T876" s="145"/>
      <c r="U876" s="145"/>
      <c r="V876" s="145"/>
      <c r="W876" s="145"/>
      <c r="X876" s="53"/>
      <c r="Y876" s="74"/>
      <c r="Z876" s="145"/>
      <c r="AA876" s="145"/>
      <c r="AB876" s="145"/>
      <c r="AC876" s="146"/>
      <c r="AD876" s="145"/>
      <c r="AE876" s="145"/>
      <c r="AF876" s="145"/>
      <c r="AG876" s="145"/>
      <c r="AH876" s="146"/>
      <c r="AI876" s="145"/>
      <c r="AJ876" s="145"/>
      <c r="AK876" s="145"/>
      <c r="AL876" s="145"/>
      <c r="AM876" s="145"/>
      <c r="AN876" s="145"/>
      <c r="AO876" s="145"/>
      <c r="AP876" s="74"/>
      <c r="AQ876" s="74"/>
      <c r="AR876" s="74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</row>
    <row r="877" spans="1:85" ht="15.75" customHeight="1" x14ac:dyDescent="0.45">
      <c r="A877" s="22"/>
      <c r="B877" s="12"/>
      <c r="C877" s="12"/>
      <c r="D877" s="155"/>
      <c r="E877" s="22"/>
      <c r="F877" s="22"/>
      <c r="G877" s="12"/>
      <c r="H877" s="22"/>
      <c r="I877" s="22"/>
      <c r="J877" s="22"/>
      <c r="K877" s="22"/>
      <c r="L877" s="22"/>
      <c r="M877" s="22"/>
      <c r="N877" s="22"/>
      <c r="O877" s="145"/>
      <c r="P877" s="145"/>
      <c r="Q877" s="145"/>
      <c r="R877" s="145"/>
      <c r="S877" s="22"/>
      <c r="T877" s="145"/>
      <c r="U877" s="145"/>
      <c r="V877" s="145"/>
      <c r="W877" s="145"/>
      <c r="X877" s="53"/>
      <c r="Y877" s="74"/>
      <c r="Z877" s="145"/>
      <c r="AA877" s="145"/>
      <c r="AB877" s="145"/>
      <c r="AC877" s="146"/>
      <c r="AD877" s="145"/>
      <c r="AE877" s="145"/>
      <c r="AF877" s="145"/>
      <c r="AG877" s="145"/>
      <c r="AH877" s="146"/>
      <c r="AI877" s="145"/>
      <c r="AJ877" s="145"/>
      <c r="AK877" s="145"/>
      <c r="AL877" s="145"/>
      <c r="AM877" s="145"/>
      <c r="AN877" s="145"/>
      <c r="AO877" s="145"/>
      <c r="AP877" s="74"/>
      <c r="AQ877" s="74"/>
      <c r="AR877" s="74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</row>
    <row r="878" spans="1:85" ht="15.75" customHeight="1" x14ac:dyDescent="0.45">
      <c r="A878" s="22"/>
      <c r="B878" s="12"/>
      <c r="C878" s="12"/>
      <c r="D878" s="155"/>
      <c r="E878" s="22"/>
      <c r="F878" s="22"/>
      <c r="G878" s="12"/>
      <c r="H878" s="22"/>
      <c r="I878" s="22"/>
      <c r="J878" s="22"/>
      <c r="K878" s="22"/>
      <c r="L878" s="22"/>
      <c r="M878" s="22"/>
      <c r="N878" s="22"/>
      <c r="O878" s="145"/>
      <c r="P878" s="145"/>
      <c r="Q878" s="145"/>
      <c r="R878" s="145"/>
      <c r="S878" s="22"/>
      <c r="T878" s="145"/>
      <c r="U878" s="145"/>
      <c r="V878" s="145"/>
      <c r="W878" s="145"/>
      <c r="X878" s="53"/>
      <c r="Y878" s="74"/>
      <c r="Z878" s="145"/>
      <c r="AA878" s="145"/>
      <c r="AB878" s="145"/>
      <c r="AC878" s="146"/>
      <c r="AD878" s="145"/>
      <c r="AE878" s="145"/>
      <c r="AF878" s="145"/>
      <c r="AG878" s="145"/>
      <c r="AH878" s="146"/>
      <c r="AI878" s="145"/>
      <c r="AJ878" s="145"/>
      <c r="AK878" s="145"/>
      <c r="AL878" s="145"/>
      <c r="AM878" s="145"/>
      <c r="AN878" s="145"/>
      <c r="AO878" s="145"/>
      <c r="AP878" s="74"/>
      <c r="AQ878" s="74"/>
      <c r="AR878" s="74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</row>
    <row r="879" spans="1:85" ht="15.75" customHeight="1" x14ac:dyDescent="0.45">
      <c r="A879" s="22"/>
      <c r="B879" s="12"/>
      <c r="C879" s="12"/>
      <c r="D879" s="155"/>
      <c r="E879" s="22"/>
      <c r="F879" s="22"/>
      <c r="G879" s="12"/>
      <c r="H879" s="22"/>
      <c r="I879" s="22"/>
      <c r="J879" s="22"/>
      <c r="K879" s="22"/>
      <c r="L879" s="22"/>
      <c r="M879" s="22"/>
      <c r="N879" s="22"/>
      <c r="O879" s="145"/>
      <c r="P879" s="145"/>
      <c r="Q879" s="145"/>
      <c r="R879" s="145"/>
      <c r="S879" s="22"/>
      <c r="T879" s="145"/>
      <c r="U879" s="145"/>
      <c r="V879" s="145"/>
      <c r="W879" s="145"/>
      <c r="X879" s="53"/>
      <c r="Y879" s="74"/>
      <c r="Z879" s="145"/>
      <c r="AA879" s="145"/>
      <c r="AB879" s="145"/>
      <c r="AC879" s="146"/>
      <c r="AD879" s="145"/>
      <c r="AE879" s="145"/>
      <c r="AF879" s="145"/>
      <c r="AG879" s="145"/>
      <c r="AH879" s="146"/>
      <c r="AI879" s="145"/>
      <c r="AJ879" s="145"/>
      <c r="AK879" s="145"/>
      <c r="AL879" s="145"/>
      <c r="AM879" s="145"/>
      <c r="AN879" s="145"/>
      <c r="AO879" s="145"/>
      <c r="AP879" s="74"/>
      <c r="AQ879" s="74"/>
      <c r="AR879" s="74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</row>
    <row r="880" spans="1:85" ht="15.75" customHeight="1" x14ac:dyDescent="0.45">
      <c r="A880" s="22"/>
      <c r="B880" s="12"/>
      <c r="C880" s="12"/>
      <c r="D880" s="155"/>
      <c r="E880" s="22"/>
      <c r="F880" s="22"/>
      <c r="G880" s="12"/>
      <c r="H880" s="22"/>
      <c r="I880" s="22"/>
      <c r="J880" s="22"/>
      <c r="K880" s="22"/>
      <c r="L880" s="22"/>
      <c r="M880" s="22"/>
      <c r="N880" s="22"/>
      <c r="O880" s="145"/>
      <c r="P880" s="145"/>
      <c r="Q880" s="145"/>
      <c r="R880" s="145"/>
      <c r="S880" s="22"/>
      <c r="T880" s="145"/>
      <c r="U880" s="145"/>
      <c r="V880" s="145"/>
      <c r="W880" s="145"/>
      <c r="X880" s="53"/>
      <c r="Y880" s="74"/>
      <c r="Z880" s="145"/>
      <c r="AA880" s="145"/>
      <c r="AB880" s="145"/>
      <c r="AC880" s="146"/>
      <c r="AD880" s="145"/>
      <c r="AE880" s="145"/>
      <c r="AF880" s="145"/>
      <c r="AG880" s="145"/>
      <c r="AH880" s="146"/>
      <c r="AI880" s="145"/>
      <c r="AJ880" s="145"/>
      <c r="AK880" s="145"/>
      <c r="AL880" s="145"/>
      <c r="AM880" s="145"/>
      <c r="AN880" s="145"/>
      <c r="AO880" s="145"/>
      <c r="AP880" s="74"/>
      <c r="AQ880" s="74"/>
      <c r="AR880" s="74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</row>
    <row r="881" spans="1:85" ht="15.75" customHeight="1" x14ac:dyDescent="0.45">
      <c r="A881" s="22"/>
      <c r="B881" s="12"/>
      <c r="C881" s="12"/>
      <c r="D881" s="155"/>
      <c r="E881" s="22"/>
      <c r="F881" s="22"/>
      <c r="G881" s="12"/>
      <c r="H881" s="22"/>
      <c r="I881" s="22"/>
      <c r="J881" s="22"/>
      <c r="K881" s="22"/>
      <c r="L881" s="22"/>
      <c r="M881" s="22"/>
      <c r="N881" s="22"/>
      <c r="O881" s="145"/>
      <c r="P881" s="145"/>
      <c r="Q881" s="145"/>
      <c r="R881" s="145"/>
      <c r="S881" s="22"/>
      <c r="T881" s="145"/>
      <c r="U881" s="145"/>
      <c r="V881" s="145"/>
      <c r="W881" s="145"/>
      <c r="X881" s="53"/>
      <c r="Y881" s="74"/>
      <c r="Z881" s="145"/>
      <c r="AA881" s="145"/>
      <c r="AB881" s="145"/>
      <c r="AC881" s="146"/>
      <c r="AD881" s="145"/>
      <c r="AE881" s="145"/>
      <c r="AF881" s="145"/>
      <c r="AG881" s="145"/>
      <c r="AH881" s="146"/>
      <c r="AI881" s="145"/>
      <c r="AJ881" s="145"/>
      <c r="AK881" s="145"/>
      <c r="AL881" s="145"/>
      <c r="AM881" s="145"/>
      <c r="AN881" s="145"/>
      <c r="AO881" s="145"/>
      <c r="AP881" s="74"/>
      <c r="AQ881" s="74"/>
      <c r="AR881" s="74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</row>
    <row r="882" spans="1:85" ht="15.75" customHeight="1" x14ac:dyDescent="0.45">
      <c r="A882" s="22"/>
      <c r="B882" s="12"/>
      <c r="C882" s="12"/>
      <c r="D882" s="155"/>
      <c r="E882" s="22"/>
      <c r="F882" s="22"/>
      <c r="G882" s="12"/>
      <c r="H882" s="22"/>
      <c r="I882" s="22"/>
      <c r="J882" s="22"/>
      <c r="K882" s="22"/>
      <c r="L882" s="22"/>
      <c r="M882" s="22"/>
      <c r="N882" s="22"/>
      <c r="O882" s="145"/>
      <c r="P882" s="145"/>
      <c r="Q882" s="145"/>
      <c r="R882" s="145"/>
      <c r="S882" s="22"/>
      <c r="T882" s="145"/>
      <c r="U882" s="145"/>
      <c r="V882" s="145"/>
      <c r="W882" s="145"/>
      <c r="X882" s="53"/>
      <c r="Y882" s="74"/>
      <c r="Z882" s="145"/>
      <c r="AA882" s="145"/>
      <c r="AB882" s="145"/>
      <c r="AC882" s="146"/>
      <c r="AD882" s="145"/>
      <c r="AE882" s="145"/>
      <c r="AF882" s="145"/>
      <c r="AG882" s="145"/>
      <c r="AH882" s="146"/>
      <c r="AI882" s="145"/>
      <c r="AJ882" s="145"/>
      <c r="AK882" s="145"/>
      <c r="AL882" s="145"/>
      <c r="AM882" s="145"/>
      <c r="AN882" s="145"/>
      <c r="AO882" s="145"/>
      <c r="AP882" s="74"/>
      <c r="AQ882" s="74"/>
      <c r="AR882" s="74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</row>
    <row r="883" spans="1:85" ht="15.75" customHeight="1" x14ac:dyDescent="0.45">
      <c r="A883" s="22"/>
      <c r="B883" s="12"/>
      <c r="C883" s="12"/>
      <c r="D883" s="155"/>
      <c r="E883" s="22"/>
      <c r="F883" s="22"/>
      <c r="G883" s="12"/>
      <c r="H883" s="22"/>
      <c r="I883" s="22"/>
      <c r="J883" s="22"/>
      <c r="K883" s="22"/>
      <c r="L883" s="22"/>
      <c r="M883" s="22"/>
      <c r="N883" s="22"/>
      <c r="O883" s="145"/>
      <c r="P883" s="145"/>
      <c r="Q883" s="145"/>
      <c r="R883" s="145"/>
      <c r="S883" s="22"/>
      <c r="T883" s="145"/>
      <c r="U883" s="145"/>
      <c r="V883" s="145"/>
      <c r="W883" s="145"/>
      <c r="X883" s="53"/>
      <c r="Y883" s="74"/>
      <c r="Z883" s="145"/>
      <c r="AA883" s="145"/>
      <c r="AB883" s="145"/>
      <c r="AC883" s="146"/>
      <c r="AD883" s="145"/>
      <c r="AE883" s="145"/>
      <c r="AF883" s="145"/>
      <c r="AG883" s="145"/>
      <c r="AH883" s="146"/>
      <c r="AI883" s="145"/>
      <c r="AJ883" s="145"/>
      <c r="AK883" s="145"/>
      <c r="AL883" s="145"/>
      <c r="AM883" s="145"/>
      <c r="AN883" s="145"/>
      <c r="AO883" s="145"/>
      <c r="AP883" s="74"/>
      <c r="AQ883" s="74"/>
      <c r="AR883" s="74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</row>
    <row r="884" spans="1:85" ht="15.75" customHeight="1" x14ac:dyDescent="0.45">
      <c r="A884" s="22"/>
      <c r="B884" s="12"/>
      <c r="C884" s="12"/>
      <c r="D884" s="155"/>
      <c r="E884" s="22"/>
      <c r="F884" s="22"/>
      <c r="G884" s="12"/>
      <c r="H884" s="22"/>
      <c r="I884" s="22"/>
      <c r="J884" s="22"/>
      <c r="K884" s="22"/>
      <c r="L884" s="22"/>
      <c r="M884" s="22"/>
      <c r="N884" s="22"/>
      <c r="O884" s="145"/>
      <c r="P884" s="145"/>
      <c r="Q884" s="145"/>
      <c r="R884" s="145"/>
      <c r="S884" s="22"/>
      <c r="T884" s="145"/>
      <c r="U884" s="145"/>
      <c r="V884" s="145"/>
      <c r="W884" s="145"/>
      <c r="X884" s="53"/>
      <c r="Y884" s="74"/>
      <c r="Z884" s="145"/>
      <c r="AA884" s="145"/>
      <c r="AB884" s="145"/>
      <c r="AC884" s="146"/>
      <c r="AD884" s="145"/>
      <c r="AE884" s="145"/>
      <c r="AF884" s="145"/>
      <c r="AG884" s="145"/>
      <c r="AH884" s="146"/>
      <c r="AI884" s="145"/>
      <c r="AJ884" s="145"/>
      <c r="AK884" s="145"/>
      <c r="AL884" s="145"/>
      <c r="AM884" s="145"/>
      <c r="AN884" s="145"/>
      <c r="AO884" s="145"/>
      <c r="AP884" s="74"/>
      <c r="AQ884" s="74"/>
      <c r="AR884" s="74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</row>
    <row r="885" spans="1:85" ht="15.75" customHeight="1" x14ac:dyDescent="0.45">
      <c r="A885" s="22"/>
      <c r="B885" s="12"/>
      <c r="C885" s="12"/>
      <c r="D885" s="155"/>
      <c r="E885" s="22"/>
      <c r="F885" s="22"/>
      <c r="G885" s="12"/>
      <c r="H885" s="22"/>
      <c r="I885" s="22"/>
      <c r="J885" s="22"/>
      <c r="K885" s="22"/>
      <c r="L885" s="22"/>
      <c r="M885" s="22"/>
      <c r="N885" s="22"/>
      <c r="O885" s="145"/>
      <c r="P885" s="145"/>
      <c r="Q885" s="145"/>
      <c r="R885" s="145"/>
      <c r="S885" s="22"/>
      <c r="T885" s="145"/>
      <c r="U885" s="145"/>
      <c r="V885" s="145"/>
      <c r="W885" s="145"/>
      <c r="X885" s="53"/>
      <c r="Y885" s="74"/>
      <c r="Z885" s="145"/>
      <c r="AA885" s="145"/>
      <c r="AB885" s="145"/>
      <c r="AC885" s="146"/>
      <c r="AD885" s="145"/>
      <c r="AE885" s="145"/>
      <c r="AF885" s="145"/>
      <c r="AG885" s="145"/>
      <c r="AH885" s="146"/>
      <c r="AI885" s="145"/>
      <c r="AJ885" s="145"/>
      <c r="AK885" s="145"/>
      <c r="AL885" s="145"/>
      <c r="AM885" s="145"/>
      <c r="AN885" s="145"/>
      <c r="AO885" s="145"/>
      <c r="AP885" s="74"/>
      <c r="AQ885" s="74"/>
      <c r="AR885" s="74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</row>
    <row r="886" spans="1:85" ht="15.75" customHeight="1" x14ac:dyDescent="0.45">
      <c r="A886" s="22"/>
      <c r="B886" s="12"/>
      <c r="C886" s="12"/>
      <c r="D886" s="155"/>
      <c r="E886" s="22"/>
      <c r="F886" s="22"/>
      <c r="G886" s="12"/>
      <c r="H886" s="22"/>
      <c r="I886" s="22"/>
      <c r="J886" s="22"/>
      <c r="K886" s="22"/>
      <c r="L886" s="22"/>
      <c r="M886" s="22"/>
      <c r="N886" s="22"/>
      <c r="O886" s="145"/>
      <c r="P886" s="145"/>
      <c r="Q886" s="145"/>
      <c r="R886" s="145"/>
      <c r="S886" s="22"/>
      <c r="T886" s="145"/>
      <c r="U886" s="145"/>
      <c r="V886" s="145"/>
      <c r="W886" s="145"/>
      <c r="X886" s="53"/>
      <c r="Y886" s="74"/>
      <c r="Z886" s="145"/>
      <c r="AA886" s="145"/>
      <c r="AB886" s="145"/>
      <c r="AC886" s="146"/>
      <c r="AD886" s="145"/>
      <c r="AE886" s="145"/>
      <c r="AF886" s="145"/>
      <c r="AG886" s="145"/>
      <c r="AH886" s="146"/>
      <c r="AI886" s="145"/>
      <c r="AJ886" s="145"/>
      <c r="AK886" s="145"/>
      <c r="AL886" s="145"/>
      <c r="AM886" s="145"/>
      <c r="AN886" s="145"/>
      <c r="AO886" s="145"/>
      <c r="AP886" s="74"/>
      <c r="AQ886" s="74"/>
      <c r="AR886" s="74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</row>
    <row r="887" spans="1:85" ht="15.75" customHeight="1" x14ac:dyDescent="0.45">
      <c r="A887" s="22"/>
      <c r="B887" s="12"/>
      <c r="C887" s="12"/>
      <c r="D887" s="155"/>
      <c r="E887" s="22"/>
      <c r="F887" s="22"/>
      <c r="G887" s="12"/>
      <c r="H887" s="22"/>
      <c r="I887" s="22"/>
      <c r="J887" s="22"/>
      <c r="K887" s="22"/>
      <c r="L887" s="22"/>
      <c r="M887" s="22"/>
      <c r="N887" s="22"/>
      <c r="O887" s="145"/>
      <c r="P887" s="145"/>
      <c r="Q887" s="145"/>
      <c r="R887" s="145"/>
      <c r="S887" s="22"/>
      <c r="T887" s="145"/>
      <c r="U887" s="145"/>
      <c r="V887" s="145"/>
      <c r="W887" s="145"/>
      <c r="X887" s="53"/>
      <c r="Y887" s="74"/>
      <c r="Z887" s="145"/>
      <c r="AA887" s="145"/>
      <c r="AB887" s="145"/>
      <c r="AC887" s="146"/>
      <c r="AD887" s="145"/>
      <c r="AE887" s="145"/>
      <c r="AF887" s="145"/>
      <c r="AG887" s="145"/>
      <c r="AH887" s="146"/>
      <c r="AI887" s="145"/>
      <c r="AJ887" s="145"/>
      <c r="AK887" s="145"/>
      <c r="AL887" s="145"/>
      <c r="AM887" s="145"/>
      <c r="AN887" s="145"/>
      <c r="AO887" s="145"/>
      <c r="AP887" s="74"/>
      <c r="AQ887" s="74"/>
      <c r="AR887" s="74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</row>
    <row r="888" spans="1:85" ht="15.75" customHeight="1" x14ac:dyDescent="0.45">
      <c r="A888" s="22"/>
      <c r="B888" s="12"/>
      <c r="C888" s="12"/>
      <c r="D888" s="155"/>
      <c r="E888" s="22"/>
      <c r="F888" s="22"/>
      <c r="G888" s="12"/>
      <c r="H888" s="22"/>
      <c r="I888" s="22"/>
      <c r="J888" s="22"/>
      <c r="K888" s="22"/>
      <c r="L888" s="22"/>
      <c r="M888" s="22"/>
      <c r="N888" s="22"/>
      <c r="O888" s="145"/>
      <c r="P888" s="145"/>
      <c r="Q888" s="145"/>
      <c r="R888" s="145"/>
      <c r="S888" s="22"/>
      <c r="T888" s="145"/>
      <c r="U888" s="145"/>
      <c r="V888" s="145"/>
      <c r="W888" s="145"/>
      <c r="X888" s="53"/>
      <c r="Y888" s="74"/>
      <c r="Z888" s="145"/>
      <c r="AA888" s="145"/>
      <c r="AB888" s="145"/>
      <c r="AC888" s="146"/>
      <c r="AD888" s="145"/>
      <c r="AE888" s="145"/>
      <c r="AF888" s="145"/>
      <c r="AG888" s="145"/>
      <c r="AH888" s="146"/>
      <c r="AI888" s="145"/>
      <c r="AJ888" s="145"/>
      <c r="AK888" s="145"/>
      <c r="AL888" s="145"/>
      <c r="AM888" s="145"/>
      <c r="AN888" s="145"/>
      <c r="AO888" s="145"/>
      <c r="AP888" s="74"/>
      <c r="AQ888" s="74"/>
      <c r="AR888" s="74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</row>
    <row r="889" spans="1:85" ht="15.75" customHeight="1" x14ac:dyDescent="0.45">
      <c r="A889" s="22"/>
      <c r="B889" s="12"/>
      <c r="C889" s="12"/>
      <c r="D889" s="155"/>
      <c r="E889" s="22"/>
      <c r="F889" s="22"/>
      <c r="G889" s="12"/>
      <c r="H889" s="22"/>
      <c r="I889" s="22"/>
      <c r="J889" s="22"/>
      <c r="K889" s="22"/>
      <c r="L889" s="22"/>
      <c r="M889" s="22"/>
      <c r="N889" s="22"/>
      <c r="O889" s="145"/>
      <c r="P889" s="145"/>
      <c r="Q889" s="145"/>
      <c r="R889" s="145"/>
      <c r="S889" s="22"/>
      <c r="T889" s="145"/>
      <c r="U889" s="145"/>
      <c r="V889" s="145"/>
      <c r="W889" s="145"/>
      <c r="X889" s="53"/>
      <c r="Y889" s="74"/>
      <c r="Z889" s="145"/>
      <c r="AA889" s="145"/>
      <c r="AB889" s="145"/>
      <c r="AC889" s="146"/>
      <c r="AD889" s="145"/>
      <c r="AE889" s="145"/>
      <c r="AF889" s="145"/>
      <c r="AG889" s="145"/>
      <c r="AH889" s="146"/>
      <c r="AI889" s="145"/>
      <c r="AJ889" s="145"/>
      <c r="AK889" s="145"/>
      <c r="AL889" s="145"/>
      <c r="AM889" s="145"/>
      <c r="AN889" s="145"/>
      <c r="AO889" s="145"/>
      <c r="AP889" s="74"/>
      <c r="AQ889" s="74"/>
      <c r="AR889" s="74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</row>
    <row r="890" spans="1:85" ht="15.75" customHeight="1" x14ac:dyDescent="0.45">
      <c r="A890" s="22"/>
      <c r="B890" s="12"/>
      <c r="C890" s="12"/>
      <c r="D890" s="155"/>
      <c r="E890" s="22"/>
      <c r="F890" s="22"/>
      <c r="G890" s="12"/>
      <c r="H890" s="22"/>
      <c r="I890" s="22"/>
      <c r="J890" s="22"/>
      <c r="K890" s="22"/>
      <c r="L890" s="22"/>
      <c r="M890" s="22"/>
      <c r="N890" s="22"/>
      <c r="O890" s="145"/>
      <c r="P890" s="145"/>
      <c r="Q890" s="145"/>
      <c r="R890" s="145"/>
      <c r="S890" s="22"/>
      <c r="T890" s="145"/>
      <c r="U890" s="145"/>
      <c r="V890" s="145"/>
      <c r="W890" s="145"/>
      <c r="X890" s="53"/>
      <c r="Y890" s="74"/>
      <c r="Z890" s="145"/>
      <c r="AA890" s="145"/>
      <c r="AB890" s="145"/>
      <c r="AC890" s="146"/>
      <c r="AD890" s="145"/>
      <c r="AE890" s="145"/>
      <c r="AF890" s="145"/>
      <c r="AG890" s="145"/>
      <c r="AH890" s="146"/>
      <c r="AI890" s="145"/>
      <c r="AJ890" s="145"/>
      <c r="AK890" s="145"/>
      <c r="AL890" s="145"/>
      <c r="AM890" s="145"/>
      <c r="AN890" s="145"/>
      <c r="AO890" s="145"/>
      <c r="AP890" s="74"/>
      <c r="AQ890" s="74"/>
      <c r="AR890" s="74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</row>
    <row r="891" spans="1:85" ht="15.75" customHeight="1" x14ac:dyDescent="0.45">
      <c r="A891" s="22"/>
      <c r="B891" s="12"/>
      <c r="C891" s="12"/>
      <c r="D891" s="155"/>
      <c r="E891" s="22"/>
      <c r="F891" s="22"/>
      <c r="G891" s="12"/>
      <c r="H891" s="22"/>
      <c r="I891" s="22"/>
      <c r="J891" s="22"/>
      <c r="K891" s="22"/>
      <c r="L891" s="22"/>
      <c r="M891" s="22"/>
      <c r="N891" s="22"/>
      <c r="O891" s="145"/>
      <c r="P891" s="145"/>
      <c r="Q891" s="145"/>
      <c r="R891" s="145"/>
      <c r="S891" s="22"/>
      <c r="T891" s="145"/>
      <c r="U891" s="145"/>
      <c r="V891" s="145"/>
      <c r="W891" s="145"/>
      <c r="X891" s="53"/>
      <c r="Y891" s="74"/>
      <c r="Z891" s="145"/>
      <c r="AA891" s="145"/>
      <c r="AB891" s="145"/>
      <c r="AC891" s="146"/>
      <c r="AD891" s="145"/>
      <c r="AE891" s="145"/>
      <c r="AF891" s="145"/>
      <c r="AG891" s="145"/>
      <c r="AH891" s="146"/>
      <c r="AI891" s="145"/>
      <c r="AJ891" s="145"/>
      <c r="AK891" s="145"/>
      <c r="AL891" s="145"/>
      <c r="AM891" s="145"/>
      <c r="AN891" s="145"/>
      <c r="AO891" s="145"/>
      <c r="AP891" s="74"/>
      <c r="AQ891" s="74"/>
      <c r="AR891" s="74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</row>
    <row r="892" spans="1:85" ht="15.75" customHeight="1" x14ac:dyDescent="0.45">
      <c r="A892" s="22"/>
      <c r="B892" s="12"/>
      <c r="C892" s="12"/>
      <c r="D892" s="155"/>
      <c r="E892" s="22"/>
      <c r="F892" s="22"/>
      <c r="G892" s="12"/>
      <c r="H892" s="22"/>
      <c r="I892" s="22"/>
      <c r="J892" s="22"/>
      <c r="K892" s="22"/>
      <c r="L892" s="22"/>
      <c r="M892" s="22"/>
      <c r="N892" s="22"/>
      <c r="O892" s="145"/>
      <c r="P892" s="145"/>
      <c r="Q892" s="145"/>
      <c r="R892" s="145"/>
      <c r="S892" s="22"/>
      <c r="T892" s="145"/>
      <c r="U892" s="145"/>
      <c r="V892" s="145"/>
      <c r="W892" s="145"/>
      <c r="X892" s="53"/>
      <c r="Y892" s="74"/>
      <c r="Z892" s="145"/>
      <c r="AA892" s="145"/>
      <c r="AB892" s="145"/>
      <c r="AC892" s="146"/>
      <c r="AD892" s="145"/>
      <c r="AE892" s="145"/>
      <c r="AF892" s="145"/>
      <c r="AG892" s="145"/>
      <c r="AH892" s="146"/>
      <c r="AI892" s="145"/>
      <c r="AJ892" s="145"/>
      <c r="AK892" s="145"/>
      <c r="AL892" s="145"/>
      <c r="AM892" s="145"/>
      <c r="AN892" s="145"/>
      <c r="AO892" s="145"/>
      <c r="AP892" s="74"/>
      <c r="AQ892" s="74"/>
      <c r="AR892" s="74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</row>
    <row r="893" spans="1:85" ht="15.75" customHeight="1" x14ac:dyDescent="0.45">
      <c r="A893" s="22"/>
      <c r="B893" s="12"/>
      <c r="C893" s="12"/>
      <c r="D893" s="155"/>
      <c r="E893" s="22"/>
      <c r="F893" s="22"/>
      <c r="G893" s="12"/>
      <c r="H893" s="22"/>
      <c r="I893" s="22"/>
      <c r="J893" s="22"/>
      <c r="K893" s="22"/>
      <c r="L893" s="22"/>
      <c r="M893" s="22"/>
      <c r="N893" s="22"/>
      <c r="O893" s="145"/>
      <c r="P893" s="145"/>
      <c r="Q893" s="145"/>
      <c r="R893" s="145"/>
      <c r="S893" s="22"/>
      <c r="T893" s="145"/>
      <c r="U893" s="145"/>
      <c r="V893" s="145"/>
      <c r="W893" s="145"/>
      <c r="X893" s="53"/>
      <c r="Y893" s="74"/>
      <c r="Z893" s="145"/>
      <c r="AA893" s="145"/>
      <c r="AB893" s="145"/>
      <c r="AC893" s="146"/>
      <c r="AD893" s="145"/>
      <c r="AE893" s="145"/>
      <c r="AF893" s="145"/>
      <c r="AG893" s="145"/>
      <c r="AH893" s="146"/>
      <c r="AI893" s="145"/>
      <c r="AJ893" s="145"/>
      <c r="AK893" s="145"/>
      <c r="AL893" s="145"/>
      <c r="AM893" s="145"/>
      <c r="AN893" s="145"/>
      <c r="AO893" s="145"/>
      <c r="AP893" s="74"/>
      <c r="AQ893" s="74"/>
      <c r="AR893" s="74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</row>
    <row r="894" spans="1:85" ht="15.75" customHeight="1" x14ac:dyDescent="0.45">
      <c r="A894" s="22"/>
      <c r="B894" s="12"/>
      <c r="C894" s="12"/>
      <c r="D894" s="155"/>
      <c r="E894" s="22"/>
      <c r="F894" s="22"/>
      <c r="G894" s="12"/>
      <c r="H894" s="22"/>
      <c r="I894" s="22"/>
      <c r="J894" s="22"/>
      <c r="K894" s="22"/>
      <c r="L894" s="22"/>
      <c r="M894" s="22"/>
      <c r="N894" s="22"/>
      <c r="O894" s="145"/>
      <c r="P894" s="145"/>
      <c r="Q894" s="145"/>
      <c r="R894" s="145"/>
      <c r="S894" s="22"/>
      <c r="T894" s="145"/>
      <c r="U894" s="145"/>
      <c r="V894" s="145"/>
      <c r="W894" s="145"/>
      <c r="X894" s="53"/>
      <c r="Y894" s="74"/>
      <c r="Z894" s="145"/>
      <c r="AA894" s="145"/>
      <c r="AB894" s="145"/>
      <c r="AC894" s="146"/>
      <c r="AD894" s="145"/>
      <c r="AE894" s="145"/>
      <c r="AF894" s="145"/>
      <c r="AG894" s="145"/>
      <c r="AH894" s="146"/>
      <c r="AI894" s="145"/>
      <c r="AJ894" s="145"/>
      <c r="AK894" s="145"/>
      <c r="AL894" s="145"/>
      <c r="AM894" s="145"/>
      <c r="AN894" s="145"/>
      <c r="AO894" s="145"/>
      <c r="AP894" s="74"/>
      <c r="AQ894" s="74"/>
      <c r="AR894" s="74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</row>
    <row r="895" spans="1:85" ht="15.75" customHeight="1" x14ac:dyDescent="0.45">
      <c r="A895" s="22"/>
      <c r="B895" s="12"/>
      <c r="C895" s="12"/>
      <c r="D895" s="155"/>
      <c r="E895" s="22"/>
      <c r="F895" s="22"/>
      <c r="G895" s="12"/>
      <c r="H895" s="22"/>
      <c r="I895" s="22"/>
      <c r="J895" s="22"/>
      <c r="K895" s="22"/>
      <c r="L895" s="22"/>
      <c r="M895" s="22"/>
      <c r="N895" s="22"/>
      <c r="O895" s="145"/>
      <c r="P895" s="145"/>
      <c r="Q895" s="145"/>
      <c r="R895" s="145"/>
      <c r="S895" s="22"/>
      <c r="T895" s="145"/>
      <c r="U895" s="145"/>
      <c r="V895" s="145"/>
      <c r="W895" s="145"/>
      <c r="X895" s="53"/>
      <c r="Y895" s="74"/>
      <c r="Z895" s="145"/>
      <c r="AA895" s="145"/>
      <c r="AB895" s="145"/>
      <c r="AC895" s="146"/>
      <c r="AD895" s="145"/>
      <c r="AE895" s="145"/>
      <c r="AF895" s="145"/>
      <c r="AG895" s="145"/>
      <c r="AH895" s="146"/>
      <c r="AI895" s="145"/>
      <c r="AJ895" s="145"/>
      <c r="AK895" s="145"/>
      <c r="AL895" s="145"/>
      <c r="AM895" s="145"/>
      <c r="AN895" s="145"/>
      <c r="AO895" s="145"/>
      <c r="AP895" s="74"/>
      <c r="AQ895" s="74"/>
      <c r="AR895" s="74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</row>
    <row r="896" spans="1:85" ht="15.75" customHeight="1" x14ac:dyDescent="0.45">
      <c r="A896" s="22"/>
      <c r="B896" s="12"/>
      <c r="C896" s="12"/>
      <c r="D896" s="155"/>
      <c r="E896" s="22"/>
      <c r="F896" s="22"/>
      <c r="G896" s="12"/>
      <c r="H896" s="22"/>
      <c r="I896" s="22"/>
      <c r="J896" s="22"/>
      <c r="K896" s="22"/>
      <c r="L896" s="22"/>
      <c r="M896" s="22"/>
      <c r="N896" s="22"/>
      <c r="O896" s="145"/>
      <c r="P896" s="145"/>
      <c r="Q896" s="145"/>
      <c r="R896" s="145"/>
      <c r="S896" s="22"/>
      <c r="T896" s="145"/>
      <c r="U896" s="145"/>
      <c r="V896" s="145"/>
      <c r="W896" s="145"/>
      <c r="X896" s="53"/>
      <c r="Y896" s="74"/>
      <c r="Z896" s="145"/>
      <c r="AA896" s="145"/>
      <c r="AB896" s="145"/>
      <c r="AC896" s="146"/>
      <c r="AD896" s="145"/>
      <c r="AE896" s="145"/>
      <c r="AF896" s="145"/>
      <c r="AG896" s="145"/>
      <c r="AH896" s="146"/>
      <c r="AI896" s="145"/>
      <c r="AJ896" s="145"/>
      <c r="AK896" s="145"/>
      <c r="AL896" s="145"/>
      <c r="AM896" s="145"/>
      <c r="AN896" s="145"/>
      <c r="AO896" s="145"/>
      <c r="AP896" s="74"/>
      <c r="AQ896" s="74"/>
      <c r="AR896" s="74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</row>
    <row r="897" spans="1:85" ht="15.75" customHeight="1" x14ac:dyDescent="0.45">
      <c r="A897" s="22"/>
      <c r="B897" s="12"/>
      <c r="C897" s="12"/>
      <c r="D897" s="155"/>
      <c r="E897" s="22"/>
      <c r="F897" s="22"/>
      <c r="G897" s="12"/>
      <c r="H897" s="22"/>
      <c r="I897" s="22"/>
      <c r="J897" s="22"/>
      <c r="K897" s="22"/>
      <c r="L897" s="22"/>
      <c r="M897" s="22"/>
      <c r="N897" s="22"/>
      <c r="O897" s="145"/>
      <c r="P897" s="145"/>
      <c r="Q897" s="145"/>
      <c r="R897" s="145"/>
      <c r="S897" s="22"/>
      <c r="T897" s="145"/>
      <c r="U897" s="145"/>
      <c r="V897" s="145"/>
      <c r="W897" s="145"/>
      <c r="X897" s="53"/>
      <c r="Y897" s="74"/>
      <c r="Z897" s="145"/>
      <c r="AA897" s="145"/>
      <c r="AB897" s="145"/>
      <c r="AC897" s="146"/>
      <c r="AD897" s="145"/>
      <c r="AE897" s="145"/>
      <c r="AF897" s="145"/>
      <c r="AG897" s="145"/>
      <c r="AH897" s="146"/>
      <c r="AI897" s="145"/>
      <c r="AJ897" s="145"/>
      <c r="AK897" s="145"/>
      <c r="AL897" s="145"/>
      <c r="AM897" s="145"/>
      <c r="AN897" s="145"/>
      <c r="AO897" s="145"/>
      <c r="AP897" s="74"/>
      <c r="AQ897" s="74"/>
      <c r="AR897" s="74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</row>
    <row r="898" spans="1:85" ht="15.75" customHeight="1" x14ac:dyDescent="0.45">
      <c r="A898" s="22"/>
      <c r="B898" s="12"/>
      <c r="C898" s="12"/>
      <c r="D898" s="155"/>
      <c r="E898" s="22"/>
      <c r="F898" s="22"/>
      <c r="G898" s="12"/>
      <c r="H898" s="22"/>
      <c r="I898" s="22"/>
      <c r="J898" s="22"/>
      <c r="K898" s="22"/>
      <c r="L898" s="22"/>
      <c r="M898" s="22"/>
      <c r="N898" s="22"/>
      <c r="O898" s="145"/>
      <c r="P898" s="145"/>
      <c r="Q898" s="145"/>
      <c r="R898" s="145"/>
      <c r="S898" s="22"/>
      <c r="T898" s="145"/>
      <c r="U898" s="145"/>
      <c r="V898" s="145"/>
      <c r="W898" s="145"/>
      <c r="X898" s="53"/>
      <c r="Y898" s="74"/>
      <c r="Z898" s="145"/>
      <c r="AA898" s="145"/>
      <c r="AB898" s="145"/>
      <c r="AC898" s="146"/>
      <c r="AD898" s="145"/>
      <c r="AE898" s="145"/>
      <c r="AF898" s="145"/>
      <c r="AG898" s="145"/>
      <c r="AH898" s="146"/>
      <c r="AI898" s="145"/>
      <c r="AJ898" s="145"/>
      <c r="AK898" s="145"/>
      <c r="AL898" s="145"/>
      <c r="AM898" s="145"/>
      <c r="AN898" s="145"/>
      <c r="AO898" s="145"/>
      <c r="AP898" s="74"/>
      <c r="AQ898" s="74"/>
      <c r="AR898" s="74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</row>
    <row r="899" spans="1:85" ht="15.75" customHeight="1" x14ac:dyDescent="0.45">
      <c r="A899" s="22"/>
      <c r="B899" s="12"/>
      <c r="C899" s="12"/>
      <c r="D899" s="155"/>
      <c r="E899" s="22"/>
      <c r="F899" s="22"/>
      <c r="G899" s="12"/>
      <c r="H899" s="22"/>
      <c r="I899" s="22"/>
      <c r="J899" s="22"/>
      <c r="K899" s="22"/>
      <c r="L899" s="22"/>
      <c r="M899" s="22"/>
      <c r="N899" s="22"/>
      <c r="O899" s="145"/>
      <c r="P899" s="145"/>
      <c r="Q899" s="145"/>
      <c r="R899" s="145"/>
      <c r="S899" s="22"/>
      <c r="T899" s="145"/>
      <c r="U899" s="145"/>
      <c r="V899" s="145"/>
      <c r="W899" s="145"/>
      <c r="X899" s="53"/>
      <c r="Y899" s="74"/>
      <c r="Z899" s="145"/>
      <c r="AA899" s="145"/>
      <c r="AB899" s="145"/>
      <c r="AC899" s="146"/>
      <c r="AD899" s="145"/>
      <c r="AE899" s="145"/>
      <c r="AF899" s="145"/>
      <c r="AG899" s="145"/>
      <c r="AH899" s="146"/>
      <c r="AI899" s="145"/>
      <c r="AJ899" s="145"/>
      <c r="AK899" s="145"/>
      <c r="AL899" s="145"/>
      <c r="AM899" s="145"/>
      <c r="AN899" s="145"/>
      <c r="AO899" s="145"/>
      <c r="AP899" s="74"/>
      <c r="AQ899" s="74"/>
      <c r="AR899" s="74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</row>
    <row r="900" spans="1:85" ht="15.75" customHeight="1" x14ac:dyDescent="0.45">
      <c r="A900" s="22"/>
      <c r="B900" s="12"/>
      <c r="C900" s="12"/>
      <c r="D900" s="155"/>
      <c r="E900" s="22"/>
      <c r="F900" s="22"/>
      <c r="G900" s="12"/>
      <c r="H900" s="22"/>
      <c r="I900" s="22"/>
      <c r="J900" s="22"/>
      <c r="K900" s="22"/>
      <c r="L900" s="22"/>
      <c r="M900" s="22"/>
      <c r="N900" s="22"/>
      <c r="O900" s="145"/>
      <c r="P900" s="145"/>
      <c r="Q900" s="145"/>
      <c r="R900" s="145"/>
      <c r="S900" s="22"/>
      <c r="T900" s="145"/>
      <c r="U900" s="145"/>
      <c r="V900" s="145"/>
      <c r="W900" s="145"/>
      <c r="X900" s="53"/>
      <c r="Y900" s="74"/>
      <c r="Z900" s="145"/>
      <c r="AA900" s="145"/>
      <c r="AB900" s="145"/>
      <c r="AC900" s="146"/>
      <c r="AD900" s="145"/>
      <c r="AE900" s="145"/>
      <c r="AF900" s="145"/>
      <c r="AG900" s="145"/>
      <c r="AH900" s="146"/>
      <c r="AI900" s="145"/>
      <c r="AJ900" s="145"/>
      <c r="AK900" s="145"/>
      <c r="AL900" s="145"/>
      <c r="AM900" s="145"/>
      <c r="AN900" s="145"/>
      <c r="AO900" s="145"/>
      <c r="AP900" s="74"/>
      <c r="AQ900" s="74"/>
      <c r="AR900" s="74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</row>
    <row r="901" spans="1:85" ht="15.75" customHeight="1" x14ac:dyDescent="0.45">
      <c r="A901" s="22"/>
      <c r="B901" s="12"/>
      <c r="C901" s="12"/>
      <c r="D901" s="155"/>
      <c r="E901" s="22"/>
      <c r="F901" s="22"/>
      <c r="G901" s="12"/>
      <c r="H901" s="22"/>
      <c r="I901" s="22"/>
      <c r="J901" s="22"/>
      <c r="K901" s="22"/>
      <c r="L901" s="22"/>
      <c r="M901" s="22"/>
      <c r="N901" s="22"/>
      <c r="O901" s="145"/>
      <c r="P901" s="145"/>
      <c r="Q901" s="145"/>
      <c r="R901" s="145"/>
      <c r="S901" s="22"/>
      <c r="T901" s="145"/>
      <c r="U901" s="145"/>
      <c r="V901" s="145"/>
      <c r="W901" s="145"/>
      <c r="X901" s="53"/>
      <c r="Y901" s="74"/>
      <c r="Z901" s="145"/>
      <c r="AA901" s="145"/>
      <c r="AB901" s="145"/>
      <c r="AC901" s="146"/>
      <c r="AD901" s="145"/>
      <c r="AE901" s="145"/>
      <c r="AF901" s="145"/>
      <c r="AG901" s="145"/>
      <c r="AH901" s="146"/>
      <c r="AI901" s="145"/>
      <c r="AJ901" s="145"/>
      <c r="AK901" s="145"/>
      <c r="AL901" s="145"/>
      <c r="AM901" s="145"/>
      <c r="AN901" s="145"/>
      <c r="AO901" s="145"/>
      <c r="AP901" s="74"/>
      <c r="AQ901" s="74"/>
      <c r="AR901" s="74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</row>
    <row r="902" spans="1:85" ht="15.75" customHeight="1" x14ac:dyDescent="0.45">
      <c r="A902" s="22"/>
      <c r="B902" s="12"/>
      <c r="C902" s="12"/>
      <c r="D902" s="155"/>
      <c r="E902" s="22"/>
      <c r="F902" s="22"/>
      <c r="G902" s="12"/>
      <c r="H902" s="22"/>
      <c r="I902" s="22"/>
      <c r="J902" s="22"/>
      <c r="K902" s="22"/>
      <c r="L902" s="22"/>
      <c r="M902" s="22"/>
      <c r="N902" s="22"/>
      <c r="O902" s="145"/>
      <c r="P902" s="145"/>
      <c r="Q902" s="145"/>
      <c r="R902" s="145"/>
      <c r="S902" s="22"/>
      <c r="T902" s="145"/>
      <c r="U902" s="145"/>
      <c r="V902" s="145"/>
      <c r="W902" s="145"/>
      <c r="X902" s="53"/>
      <c r="Y902" s="74"/>
      <c r="Z902" s="145"/>
      <c r="AA902" s="145"/>
      <c r="AB902" s="145"/>
      <c r="AC902" s="146"/>
      <c r="AD902" s="145"/>
      <c r="AE902" s="145"/>
      <c r="AF902" s="145"/>
      <c r="AG902" s="145"/>
      <c r="AH902" s="146"/>
      <c r="AI902" s="145"/>
      <c r="AJ902" s="145"/>
      <c r="AK902" s="145"/>
      <c r="AL902" s="145"/>
      <c r="AM902" s="145"/>
      <c r="AN902" s="145"/>
      <c r="AO902" s="145"/>
      <c r="AP902" s="74"/>
      <c r="AQ902" s="74"/>
      <c r="AR902" s="74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</row>
    <row r="903" spans="1:85" ht="15.75" customHeight="1" x14ac:dyDescent="0.45">
      <c r="A903" s="22"/>
      <c r="B903" s="12"/>
      <c r="C903" s="12"/>
      <c r="D903" s="155"/>
      <c r="E903" s="22"/>
      <c r="F903" s="22"/>
      <c r="G903" s="12"/>
      <c r="H903" s="22"/>
      <c r="I903" s="22"/>
      <c r="J903" s="22"/>
      <c r="K903" s="22"/>
      <c r="L903" s="22"/>
      <c r="M903" s="22"/>
      <c r="N903" s="22"/>
      <c r="O903" s="145"/>
      <c r="P903" s="145"/>
      <c r="Q903" s="145"/>
      <c r="R903" s="145"/>
      <c r="S903" s="22"/>
      <c r="T903" s="145"/>
      <c r="U903" s="145"/>
      <c r="V903" s="145"/>
      <c r="W903" s="145"/>
      <c r="X903" s="53"/>
      <c r="Y903" s="74"/>
      <c r="Z903" s="145"/>
      <c r="AA903" s="145"/>
      <c r="AB903" s="145"/>
      <c r="AC903" s="146"/>
      <c r="AD903" s="145"/>
      <c r="AE903" s="145"/>
      <c r="AF903" s="145"/>
      <c r="AG903" s="145"/>
      <c r="AH903" s="146"/>
      <c r="AI903" s="145"/>
      <c r="AJ903" s="145"/>
      <c r="AK903" s="145"/>
      <c r="AL903" s="145"/>
      <c r="AM903" s="145"/>
      <c r="AN903" s="145"/>
      <c r="AO903" s="145"/>
      <c r="AP903" s="74"/>
      <c r="AQ903" s="74"/>
      <c r="AR903" s="74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</row>
    <row r="904" spans="1:85" ht="15.75" customHeight="1" x14ac:dyDescent="0.45">
      <c r="A904" s="22"/>
      <c r="B904" s="12"/>
      <c r="C904" s="12"/>
      <c r="D904" s="155"/>
      <c r="E904" s="22"/>
      <c r="F904" s="22"/>
      <c r="G904" s="12"/>
      <c r="H904" s="22"/>
      <c r="I904" s="22"/>
      <c r="J904" s="22"/>
      <c r="K904" s="22"/>
      <c r="L904" s="22"/>
      <c r="M904" s="22"/>
      <c r="N904" s="22"/>
      <c r="O904" s="145"/>
      <c r="P904" s="145"/>
      <c r="Q904" s="145"/>
      <c r="R904" s="145"/>
      <c r="S904" s="22"/>
      <c r="T904" s="145"/>
      <c r="U904" s="145"/>
      <c r="V904" s="145"/>
      <c r="W904" s="145"/>
      <c r="X904" s="53"/>
      <c r="Y904" s="74"/>
      <c r="Z904" s="145"/>
      <c r="AA904" s="145"/>
      <c r="AB904" s="145"/>
      <c r="AC904" s="146"/>
      <c r="AD904" s="145"/>
      <c r="AE904" s="145"/>
      <c r="AF904" s="145"/>
      <c r="AG904" s="145"/>
      <c r="AH904" s="146"/>
      <c r="AI904" s="145"/>
      <c r="AJ904" s="145"/>
      <c r="AK904" s="145"/>
      <c r="AL904" s="145"/>
      <c r="AM904" s="145"/>
      <c r="AN904" s="145"/>
      <c r="AO904" s="145"/>
      <c r="AP904" s="74"/>
      <c r="AQ904" s="74"/>
      <c r="AR904" s="74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</row>
    <row r="905" spans="1:85" ht="15.75" customHeight="1" x14ac:dyDescent="0.45">
      <c r="A905" s="22"/>
      <c r="B905" s="12"/>
      <c r="C905" s="12"/>
      <c r="D905" s="155"/>
      <c r="E905" s="22"/>
      <c r="F905" s="22"/>
      <c r="G905" s="12"/>
      <c r="H905" s="22"/>
      <c r="I905" s="22"/>
      <c r="J905" s="22"/>
      <c r="K905" s="22"/>
      <c r="L905" s="22"/>
      <c r="M905" s="22"/>
      <c r="N905" s="22"/>
      <c r="O905" s="145"/>
      <c r="P905" s="145"/>
      <c r="Q905" s="145"/>
      <c r="R905" s="145"/>
      <c r="S905" s="22"/>
      <c r="T905" s="145"/>
      <c r="U905" s="145"/>
      <c r="V905" s="145"/>
      <c r="W905" s="145"/>
      <c r="X905" s="53"/>
      <c r="Y905" s="74"/>
      <c r="Z905" s="145"/>
      <c r="AA905" s="145"/>
      <c r="AB905" s="145"/>
      <c r="AC905" s="146"/>
      <c r="AD905" s="145"/>
      <c r="AE905" s="145"/>
      <c r="AF905" s="145"/>
      <c r="AG905" s="145"/>
      <c r="AH905" s="146"/>
      <c r="AI905" s="145"/>
      <c r="AJ905" s="145"/>
      <c r="AK905" s="145"/>
      <c r="AL905" s="145"/>
      <c r="AM905" s="145"/>
      <c r="AN905" s="145"/>
      <c r="AO905" s="145"/>
      <c r="AP905" s="74"/>
      <c r="AQ905" s="74"/>
      <c r="AR905" s="74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</row>
    <row r="906" spans="1:85" ht="15.75" customHeight="1" x14ac:dyDescent="0.45">
      <c r="A906" s="22"/>
      <c r="B906" s="12"/>
      <c r="C906" s="12"/>
      <c r="D906" s="155"/>
      <c r="E906" s="22"/>
      <c r="F906" s="22"/>
      <c r="G906" s="12"/>
      <c r="H906" s="22"/>
      <c r="I906" s="22"/>
      <c r="J906" s="22"/>
      <c r="K906" s="22"/>
      <c r="L906" s="22"/>
      <c r="M906" s="22"/>
      <c r="N906" s="22"/>
      <c r="O906" s="145"/>
      <c r="P906" s="145"/>
      <c r="Q906" s="145"/>
      <c r="R906" s="145"/>
      <c r="S906" s="22"/>
      <c r="T906" s="145"/>
      <c r="U906" s="145"/>
      <c r="V906" s="145"/>
      <c r="W906" s="145"/>
      <c r="X906" s="53"/>
      <c r="Y906" s="74"/>
      <c r="Z906" s="145"/>
      <c r="AA906" s="145"/>
      <c r="AB906" s="145"/>
      <c r="AC906" s="146"/>
      <c r="AD906" s="145"/>
      <c r="AE906" s="145"/>
      <c r="AF906" s="145"/>
      <c r="AG906" s="145"/>
      <c r="AH906" s="146"/>
      <c r="AI906" s="145"/>
      <c r="AJ906" s="145"/>
      <c r="AK906" s="145"/>
      <c r="AL906" s="145"/>
      <c r="AM906" s="145"/>
      <c r="AN906" s="145"/>
      <c r="AO906" s="145"/>
      <c r="AP906" s="74"/>
      <c r="AQ906" s="74"/>
      <c r="AR906" s="74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</row>
    <row r="907" spans="1:85" ht="15.75" customHeight="1" x14ac:dyDescent="0.45">
      <c r="A907" s="22"/>
      <c r="B907" s="12"/>
      <c r="C907" s="12"/>
      <c r="D907" s="155"/>
      <c r="E907" s="22"/>
      <c r="F907" s="22"/>
      <c r="G907" s="12"/>
      <c r="H907" s="22"/>
      <c r="I907" s="22"/>
      <c r="J907" s="22"/>
      <c r="K907" s="22"/>
      <c r="L907" s="22"/>
      <c r="M907" s="22"/>
      <c r="N907" s="22"/>
      <c r="O907" s="145"/>
      <c r="P907" s="145"/>
      <c r="Q907" s="145"/>
      <c r="R907" s="145"/>
      <c r="S907" s="22"/>
      <c r="T907" s="145"/>
      <c r="U907" s="145"/>
      <c r="V907" s="145"/>
      <c r="W907" s="145"/>
      <c r="X907" s="53"/>
      <c r="Y907" s="74"/>
      <c r="Z907" s="145"/>
      <c r="AA907" s="145"/>
      <c r="AB907" s="145"/>
      <c r="AC907" s="146"/>
      <c r="AD907" s="145"/>
      <c r="AE907" s="145"/>
      <c r="AF907" s="145"/>
      <c r="AG907" s="145"/>
      <c r="AH907" s="146"/>
      <c r="AI907" s="145"/>
      <c r="AJ907" s="145"/>
      <c r="AK907" s="145"/>
      <c r="AL907" s="145"/>
      <c r="AM907" s="145"/>
      <c r="AN907" s="145"/>
      <c r="AO907" s="145"/>
      <c r="AP907" s="74"/>
      <c r="AQ907" s="74"/>
      <c r="AR907" s="74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</row>
    <row r="908" spans="1:85" ht="15.75" customHeight="1" x14ac:dyDescent="0.45">
      <c r="A908" s="22"/>
      <c r="B908" s="12"/>
      <c r="C908" s="12"/>
      <c r="D908" s="155"/>
      <c r="E908" s="22"/>
      <c r="F908" s="22"/>
      <c r="G908" s="12"/>
      <c r="H908" s="22"/>
      <c r="I908" s="22"/>
      <c r="J908" s="22"/>
      <c r="K908" s="22"/>
      <c r="L908" s="22"/>
      <c r="M908" s="22"/>
      <c r="N908" s="22"/>
      <c r="O908" s="145"/>
      <c r="P908" s="145"/>
      <c r="Q908" s="145"/>
      <c r="R908" s="145"/>
      <c r="S908" s="22"/>
      <c r="T908" s="145"/>
      <c r="U908" s="145"/>
      <c r="V908" s="145"/>
      <c r="W908" s="145"/>
      <c r="X908" s="53"/>
      <c r="Y908" s="74"/>
      <c r="Z908" s="145"/>
      <c r="AA908" s="145"/>
      <c r="AB908" s="145"/>
      <c r="AC908" s="146"/>
      <c r="AD908" s="145"/>
      <c r="AE908" s="145"/>
      <c r="AF908" s="145"/>
      <c r="AG908" s="145"/>
      <c r="AH908" s="146"/>
      <c r="AI908" s="145"/>
      <c r="AJ908" s="145"/>
      <c r="AK908" s="145"/>
      <c r="AL908" s="145"/>
      <c r="AM908" s="145"/>
      <c r="AN908" s="145"/>
      <c r="AO908" s="145"/>
      <c r="AP908" s="74"/>
      <c r="AQ908" s="74"/>
      <c r="AR908" s="74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</row>
    <row r="909" spans="1:85" ht="15.75" customHeight="1" x14ac:dyDescent="0.45">
      <c r="A909" s="22"/>
      <c r="B909" s="12"/>
      <c r="C909" s="12"/>
      <c r="D909" s="155"/>
      <c r="E909" s="22"/>
      <c r="F909" s="22"/>
      <c r="G909" s="12"/>
      <c r="H909" s="22"/>
      <c r="I909" s="22"/>
      <c r="J909" s="22"/>
      <c r="K909" s="22"/>
      <c r="L909" s="22"/>
      <c r="M909" s="22"/>
      <c r="N909" s="22"/>
      <c r="O909" s="145"/>
      <c r="P909" s="145"/>
      <c r="Q909" s="145"/>
      <c r="R909" s="145"/>
      <c r="S909" s="22"/>
      <c r="T909" s="145"/>
      <c r="U909" s="145"/>
      <c r="V909" s="145"/>
      <c r="W909" s="145"/>
      <c r="X909" s="53"/>
      <c r="Y909" s="74"/>
      <c r="Z909" s="145"/>
      <c r="AA909" s="145"/>
      <c r="AB909" s="145"/>
      <c r="AC909" s="146"/>
      <c r="AD909" s="145"/>
      <c r="AE909" s="145"/>
      <c r="AF909" s="145"/>
      <c r="AG909" s="145"/>
      <c r="AH909" s="146"/>
      <c r="AI909" s="145"/>
      <c r="AJ909" s="145"/>
      <c r="AK909" s="145"/>
      <c r="AL909" s="145"/>
      <c r="AM909" s="145"/>
      <c r="AN909" s="145"/>
      <c r="AO909" s="145"/>
      <c r="AP909" s="74"/>
      <c r="AQ909" s="74"/>
      <c r="AR909" s="74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</row>
    <row r="910" spans="1:85" ht="15.75" customHeight="1" x14ac:dyDescent="0.45">
      <c r="A910" s="22"/>
      <c r="B910" s="12"/>
      <c r="C910" s="12"/>
      <c r="D910" s="155"/>
      <c r="E910" s="22"/>
      <c r="F910" s="22"/>
      <c r="G910" s="12"/>
      <c r="H910" s="22"/>
      <c r="I910" s="22"/>
      <c r="J910" s="22"/>
      <c r="K910" s="22"/>
      <c r="L910" s="22"/>
      <c r="M910" s="22"/>
      <c r="N910" s="22"/>
      <c r="O910" s="145"/>
      <c r="P910" s="145"/>
      <c r="Q910" s="145"/>
      <c r="R910" s="145"/>
      <c r="S910" s="22"/>
      <c r="T910" s="145"/>
      <c r="U910" s="145"/>
      <c r="V910" s="145"/>
      <c r="W910" s="145"/>
      <c r="X910" s="53"/>
      <c r="Y910" s="74"/>
      <c r="Z910" s="145"/>
      <c r="AA910" s="145"/>
      <c r="AB910" s="145"/>
      <c r="AC910" s="146"/>
      <c r="AD910" s="145"/>
      <c r="AE910" s="145"/>
      <c r="AF910" s="145"/>
      <c r="AG910" s="145"/>
      <c r="AH910" s="146"/>
      <c r="AI910" s="145"/>
      <c r="AJ910" s="145"/>
      <c r="AK910" s="145"/>
      <c r="AL910" s="145"/>
      <c r="AM910" s="145"/>
      <c r="AN910" s="145"/>
      <c r="AO910" s="145"/>
      <c r="AP910" s="74"/>
      <c r="AQ910" s="74"/>
      <c r="AR910" s="74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</row>
    <row r="911" spans="1:85" ht="15.75" customHeight="1" x14ac:dyDescent="0.45">
      <c r="A911" s="22"/>
      <c r="B911" s="12"/>
      <c r="C911" s="12"/>
      <c r="D911" s="155"/>
      <c r="E911" s="22"/>
      <c r="F911" s="22"/>
      <c r="G911" s="12"/>
      <c r="H911" s="22"/>
      <c r="I911" s="22"/>
      <c r="J911" s="22"/>
      <c r="K911" s="22"/>
      <c r="L911" s="22"/>
      <c r="M911" s="22"/>
      <c r="N911" s="22"/>
      <c r="O911" s="145"/>
      <c r="P911" s="145"/>
      <c r="Q911" s="145"/>
      <c r="R911" s="145"/>
      <c r="S911" s="22"/>
      <c r="T911" s="145"/>
      <c r="U911" s="145"/>
      <c r="V911" s="145"/>
      <c r="W911" s="145"/>
      <c r="X911" s="53"/>
      <c r="Y911" s="74"/>
      <c r="Z911" s="145"/>
      <c r="AA911" s="145"/>
      <c r="AB911" s="145"/>
      <c r="AC911" s="146"/>
      <c r="AD911" s="145"/>
      <c r="AE911" s="145"/>
      <c r="AF911" s="145"/>
      <c r="AG911" s="145"/>
      <c r="AH911" s="146"/>
      <c r="AI911" s="145"/>
      <c r="AJ911" s="145"/>
      <c r="AK911" s="145"/>
      <c r="AL911" s="145"/>
      <c r="AM911" s="145"/>
      <c r="AN911" s="145"/>
      <c r="AO911" s="145"/>
      <c r="AP911" s="74"/>
      <c r="AQ911" s="74"/>
      <c r="AR911" s="74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</row>
    <row r="912" spans="1:85" ht="15.75" customHeight="1" x14ac:dyDescent="0.45">
      <c r="A912" s="22"/>
      <c r="B912" s="12"/>
      <c r="C912" s="12"/>
      <c r="D912" s="155"/>
      <c r="E912" s="22"/>
      <c r="F912" s="22"/>
      <c r="G912" s="12"/>
      <c r="H912" s="22"/>
      <c r="I912" s="22"/>
      <c r="J912" s="22"/>
      <c r="K912" s="22"/>
      <c r="L912" s="22"/>
      <c r="M912" s="22"/>
      <c r="N912" s="22"/>
      <c r="O912" s="145"/>
      <c r="P912" s="145"/>
      <c r="Q912" s="145"/>
      <c r="R912" s="145"/>
      <c r="S912" s="22"/>
      <c r="T912" s="145"/>
      <c r="U912" s="145"/>
      <c r="V912" s="145"/>
      <c r="W912" s="145"/>
      <c r="X912" s="53"/>
      <c r="Y912" s="74"/>
      <c r="Z912" s="145"/>
      <c r="AA912" s="145"/>
      <c r="AB912" s="145"/>
      <c r="AC912" s="146"/>
      <c r="AD912" s="145"/>
      <c r="AE912" s="145"/>
      <c r="AF912" s="145"/>
      <c r="AG912" s="145"/>
      <c r="AH912" s="146"/>
      <c r="AI912" s="145"/>
      <c r="AJ912" s="145"/>
      <c r="AK912" s="145"/>
      <c r="AL912" s="145"/>
      <c r="AM912" s="145"/>
      <c r="AN912" s="145"/>
      <c r="AO912" s="145"/>
      <c r="AP912" s="74"/>
      <c r="AQ912" s="74"/>
      <c r="AR912" s="74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</row>
    <row r="913" spans="1:85" ht="15.75" customHeight="1" x14ac:dyDescent="0.45">
      <c r="A913" s="22"/>
      <c r="B913" s="12"/>
      <c r="C913" s="12"/>
      <c r="D913" s="155"/>
      <c r="E913" s="22"/>
      <c r="F913" s="22"/>
      <c r="G913" s="12"/>
      <c r="H913" s="22"/>
      <c r="I913" s="22"/>
      <c r="J913" s="22"/>
      <c r="K913" s="22"/>
      <c r="L913" s="22"/>
      <c r="M913" s="22"/>
      <c r="N913" s="22"/>
      <c r="O913" s="145"/>
      <c r="P913" s="145"/>
      <c r="Q913" s="145"/>
      <c r="R913" s="145"/>
      <c r="S913" s="22"/>
      <c r="T913" s="145"/>
      <c r="U913" s="145"/>
      <c r="V913" s="145"/>
      <c r="W913" s="145"/>
      <c r="X913" s="53"/>
      <c r="Y913" s="74"/>
      <c r="Z913" s="145"/>
      <c r="AA913" s="145"/>
      <c r="AB913" s="145"/>
      <c r="AC913" s="146"/>
      <c r="AD913" s="145"/>
      <c r="AE913" s="145"/>
      <c r="AF913" s="145"/>
      <c r="AG913" s="145"/>
      <c r="AH913" s="146"/>
      <c r="AI913" s="145"/>
      <c r="AJ913" s="145"/>
      <c r="AK913" s="145"/>
      <c r="AL913" s="145"/>
      <c r="AM913" s="145"/>
      <c r="AN913" s="145"/>
      <c r="AO913" s="145"/>
      <c r="AP913" s="74"/>
      <c r="AQ913" s="74"/>
      <c r="AR913" s="74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</row>
    <row r="914" spans="1:85" ht="15.75" customHeight="1" x14ac:dyDescent="0.45">
      <c r="A914" s="22"/>
      <c r="B914" s="12"/>
      <c r="C914" s="12"/>
      <c r="D914" s="155"/>
      <c r="E914" s="22"/>
      <c r="F914" s="22"/>
      <c r="G914" s="12"/>
      <c r="H914" s="22"/>
      <c r="I914" s="22"/>
      <c r="J914" s="22"/>
      <c r="K914" s="22"/>
      <c r="L914" s="22"/>
      <c r="M914" s="22"/>
      <c r="N914" s="22"/>
      <c r="O914" s="145"/>
      <c r="P914" s="145"/>
      <c r="Q914" s="145"/>
      <c r="R914" s="145"/>
      <c r="S914" s="22"/>
      <c r="T914" s="145"/>
      <c r="U914" s="145"/>
      <c r="V914" s="145"/>
      <c r="W914" s="145"/>
      <c r="X914" s="53"/>
      <c r="Y914" s="74"/>
      <c r="Z914" s="145"/>
      <c r="AA914" s="145"/>
      <c r="AB914" s="145"/>
      <c r="AC914" s="146"/>
      <c r="AD914" s="145"/>
      <c r="AE914" s="145"/>
      <c r="AF914" s="145"/>
      <c r="AG914" s="145"/>
      <c r="AH914" s="146"/>
      <c r="AI914" s="145"/>
      <c r="AJ914" s="145"/>
      <c r="AK914" s="145"/>
      <c r="AL914" s="145"/>
      <c r="AM914" s="145"/>
      <c r="AN914" s="145"/>
      <c r="AO914" s="145"/>
      <c r="AP914" s="74"/>
      <c r="AQ914" s="74"/>
      <c r="AR914" s="74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</row>
    <row r="915" spans="1:85" ht="15.75" customHeight="1" x14ac:dyDescent="0.45">
      <c r="A915" s="22"/>
      <c r="B915" s="12"/>
      <c r="C915" s="12"/>
      <c r="D915" s="155"/>
      <c r="E915" s="22"/>
      <c r="F915" s="22"/>
      <c r="G915" s="12"/>
      <c r="H915" s="22"/>
      <c r="I915" s="22"/>
      <c r="J915" s="22"/>
      <c r="K915" s="22"/>
      <c r="L915" s="22"/>
      <c r="M915" s="22"/>
      <c r="N915" s="22"/>
      <c r="O915" s="145"/>
      <c r="P915" s="145"/>
      <c r="Q915" s="145"/>
      <c r="R915" s="145"/>
      <c r="S915" s="22"/>
      <c r="T915" s="145"/>
      <c r="U915" s="145"/>
      <c r="V915" s="145"/>
      <c r="W915" s="145"/>
      <c r="X915" s="53"/>
      <c r="Y915" s="74"/>
      <c r="Z915" s="145"/>
      <c r="AA915" s="145"/>
      <c r="AB915" s="145"/>
      <c r="AC915" s="146"/>
      <c r="AD915" s="145"/>
      <c r="AE915" s="145"/>
      <c r="AF915" s="145"/>
      <c r="AG915" s="145"/>
      <c r="AH915" s="146"/>
      <c r="AI915" s="145"/>
      <c r="AJ915" s="145"/>
      <c r="AK915" s="145"/>
      <c r="AL915" s="145"/>
      <c r="AM915" s="145"/>
      <c r="AN915" s="145"/>
      <c r="AO915" s="145"/>
      <c r="AP915" s="74"/>
      <c r="AQ915" s="74"/>
      <c r="AR915" s="74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</row>
    <row r="916" spans="1:85" ht="15.75" customHeight="1" x14ac:dyDescent="0.45">
      <c r="A916" s="22"/>
      <c r="B916" s="12"/>
      <c r="C916" s="12"/>
      <c r="D916" s="155"/>
      <c r="E916" s="22"/>
      <c r="F916" s="22"/>
      <c r="G916" s="12"/>
      <c r="H916" s="22"/>
      <c r="I916" s="22"/>
      <c r="J916" s="22"/>
      <c r="K916" s="22"/>
      <c r="L916" s="22"/>
      <c r="M916" s="22"/>
      <c r="N916" s="22"/>
      <c r="O916" s="145"/>
      <c r="P916" s="145"/>
      <c r="Q916" s="145"/>
      <c r="R916" s="145"/>
      <c r="S916" s="22"/>
      <c r="T916" s="145"/>
      <c r="U916" s="145"/>
      <c r="V916" s="145"/>
      <c r="W916" s="145"/>
      <c r="X916" s="53"/>
      <c r="Y916" s="74"/>
      <c r="Z916" s="145"/>
      <c r="AA916" s="145"/>
      <c r="AB916" s="145"/>
      <c r="AC916" s="146"/>
      <c r="AD916" s="145"/>
      <c r="AE916" s="145"/>
      <c r="AF916" s="145"/>
      <c r="AG916" s="145"/>
      <c r="AH916" s="146"/>
      <c r="AI916" s="145"/>
      <c r="AJ916" s="145"/>
      <c r="AK916" s="145"/>
      <c r="AL916" s="145"/>
      <c r="AM916" s="145"/>
      <c r="AN916" s="145"/>
      <c r="AO916" s="145"/>
      <c r="AP916" s="74"/>
      <c r="AQ916" s="74"/>
      <c r="AR916" s="74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</row>
    <row r="917" spans="1:85" ht="15.75" customHeight="1" x14ac:dyDescent="0.45">
      <c r="A917" s="22"/>
      <c r="B917" s="12"/>
      <c r="C917" s="12"/>
      <c r="D917" s="155"/>
      <c r="E917" s="22"/>
      <c r="F917" s="22"/>
      <c r="G917" s="12"/>
      <c r="H917" s="22"/>
      <c r="I917" s="22"/>
      <c r="J917" s="22"/>
      <c r="K917" s="22"/>
      <c r="L917" s="22"/>
      <c r="M917" s="22"/>
      <c r="N917" s="22"/>
      <c r="O917" s="145"/>
      <c r="P917" s="145"/>
      <c r="Q917" s="145"/>
      <c r="R917" s="145"/>
      <c r="S917" s="22"/>
      <c r="T917" s="145"/>
      <c r="U917" s="145"/>
      <c r="V917" s="145"/>
      <c r="W917" s="145"/>
      <c r="X917" s="53"/>
      <c r="Y917" s="74"/>
      <c r="Z917" s="145"/>
      <c r="AA917" s="145"/>
      <c r="AB917" s="145"/>
      <c r="AC917" s="146"/>
      <c r="AD917" s="145"/>
      <c r="AE917" s="145"/>
      <c r="AF917" s="145"/>
      <c r="AG917" s="145"/>
      <c r="AH917" s="146"/>
      <c r="AI917" s="145"/>
      <c r="AJ917" s="145"/>
      <c r="AK917" s="145"/>
      <c r="AL917" s="145"/>
      <c r="AM917" s="145"/>
      <c r="AN917" s="145"/>
      <c r="AO917" s="145"/>
      <c r="AP917" s="74"/>
      <c r="AQ917" s="74"/>
      <c r="AR917" s="74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</row>
    <row r="918" spans="1:85" ht="15.75" customHeight="1" x14ac:dyDescent="0.45">
      <c r="A918" s="22"/>
      <c r="B918" s="12"/>
      <c r="C918" s="12"/>
      <c r="D918" s="155"/>
      <c r="E918" s="22"/>
      <c r="F918" s="22"/>
      <c r="G918" s="12"/>
      <c r="H918" s="22"/>
      <c r="I918" s="22"/>
      <c r="J918" s="22"/>
      <c r="K918" s="22"/>
      <c r="L918" s="22"/>
      <c r="M918" s="22"/>
      <c r="N918" s="22"/>
      <c r="O918" s="145"/>
      <c r="P918" s="145"/>
      <c r="Q918" s="145"/>
      <c r="R918" s="145"/>
      <c r="S918" s="22"/>
      <c r="T918" s="145"/>
      <c r="U918" s="145"/>
      <c r="V918" s="145"/>
      <c r="W918" s="145"/>
      <c r="X918" s="53"/>
      <c r="Y918" s="74"/>
      <c r="Z918" s="145"/>
      <c r="AA918" s="145"/>
      <c r="AB918" s="145"/>
      <c r="AC918" s="146"/>
      <c r="AD918" s="145"/>
      <c r="AE918" s="145"/>
      <c r="AF918" s="145"/>
      <c r="AG918" s="145"/>
      <c r="AH918" s="146"/>
      <c r="AI918" s="145"/>
      <c r="AJ918" s="145"/>
      <c r="AK918" s="145"/>
      <c r="AL918" s="145"/>
      <c r="AM918" s="145"/>
      <c r="AN918" s="145"/>
      <c r="AO918" s="145"/>
      <c r="AP918" s="74"/>
      <c r="AQ918" s="74"/>
      <c r="AR918" s="74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</row>
    <row r="919" spans="1:85" ht="15.75" customHeight="1" x14ac:dyDescent="0.45">
      <c r="A919" s="22"/>
      <c r="B919" s="12"/>
      <c r="C919" s="12"/>
      <c r="D919" s="155"/>
      <c r="E919" s="22"/>
      <c r="F919" s="22"/>
      <c r="G919" s="12"/>
      <c r="H919" s="22"/>
      <c r="I919" s="22"/>
      <c r="J919" s="22"/>
      <c r="K919" s="22"/>
      <c r="L919" s="22"/>
      <c r="M919" s="22"/>
      <c r="N919" s="22"/>
      <c r="O919" s="145"/>
      <c r="P919" s="145"/>
      <c r="Q919" s="145"/>
      <c r="R919" s="145"/>
      <c r="S919" s="22"/>
      <c r="T919" s="145"/>
      <c r="U919" s="145"/>
      <c r="V919" s="145"/>
      <c r="W919" s="145"/>
      <c r="X919" s="53"/>
      <c r="Y919" s="74"/>
      <c r="Z919" s="145"/>
      <c r="AA919" s="145"/>
      <c r="AB919" s="145"/>
      <c r="AC919" s="146"/>
      <c r="AD919" s="145"/>
      <c r="AE919" s="145"/>
      <c r="AF919" s="145"/>
      <c r="AG919" s="145"/>
      <c r="AH919" s="146"/>
      <c r="AI919" s="145"/>
      <c r="AJ919" s="145"/>
      <c r="AK919" s="145"/>
      <c r="AL919" s="145"/>
      <c r="AM919" s="145"/>
      <c r="AN919" s="145"/>
      <c r="AO919" s="145"/>
      <c r="AP919" s="74"/>
      <c r="AQ919" s="74"/>
      <c r="AR919" s="74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</row>
    <row r="920" spans="1:85" ht="15.75" customHeight="1" x14ac:dyDescent="0.45">
      <c r="A920" s="22"/>
      <c r="B920" s="12"/>
      <c r="C920" s="12"/>
      <c r="D920" s="155"/>
      <c r="E920" s="22"/>
      <c r="F920" s="22"/>
      <c r="G920" s="12"/>
      <c r="H920" s="22"/>
      <c r="I920" s="22"/>
      <c r="J920" s="22"/>
      <c r="K920" s="22"/>
      <c r="L920" s="22"/>
      <c r="M920" s="22"/>
      <c r="N920" s="22"/>
      <c r="O920" s="145"/>
      <c r="P920" s="145"/>
      <c r="Q920" s="145"/>
      <c r="R920" s="145"/>
      <c r="S920" s="22"/>
      <c r="T920" s="145"/>
      <c r="U920" s="145"/>
      <c r="V920" s="145"/>
      <c r="W920" s="145"/>
      <c r="X920" s="53"/>
      <c r="Y920" s="74"/>
      <c r="Z920" s="145"/>
      <c r="AA920" s="145"/>
      <c r="AB920" s="145"/>
      <c r="AC920" s="146"/>
      <c r="AD920" s="145"/>
      <c r="AE920" s="145"/>
      <c r="AF920" s="145"/>
      <c r="AG920" s="145"/>
      <c r="AH920" s="146"/>
      <c r="AI920" s="145"/>
      <c r="AJ920" s="145"/>
      <c r="AK920" s="145"/>
      <c r="AL920" s="145"/>
      <c r="AM920" s="145"/>
      <c r="AN920" s="145"/>
      <c r="AO920" s="145"/>
      <c r="AP920" s="74"/>
      <c r="AQ920" s="74"/>
      <c r="AR920" s="74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</row>
    <row r="921" spans="1:85" ht="15.75" customHeight="1" x14ac:dyDescent="0.45">
      <c r="A921" s="22"/>
      <c r="B921" s="12"/>
      <c r="C921" s="12"/>
      <c r="D921" s="155"/>
      <c r="E921" s="22"/>
      <c r="F921" s="22"/>
      <c r="G921" s="12"/>
      <c r="H921" s="22"/>
      <c r="I921" s="22"/>
      <c r="J921" s="22"/>
      <c r="K921" s="22"/>
      <c r="L921" s="22"/>
      <c r="M921" s="22"/>
      <c r="N921" s="22"/>
      <c r="O921" s="145"/>
      <c r="P921" s="145"/>
      <c r="Q921" s="145"/>
      <c r="R921" s="145"/>
      <c r="S921" s="22"/>
      <c r="T921" s="145"/>
      <c r="U921" s="145"/>
      <c r="V921" s="145"/>
      <c r="W921" s="145"/>
      <c r="X921" s="53"/>
      <c r="Y921" s="74"/>
      <c r="Z921" s="145"/>
      <c r="AA921" s="145"/>
      <c r="AB921" s="145"/>
      <c r="AC921" s="146"/>
      <c r="AD921" s="145"/>
      <c r="AE921" s="145"/>
      <c r="AF921" s="145"/>
      <c r="AG921" s="145"/>
      <c r="AH921" s="146"/>
      <c r="AI921" s="145"/>
      <c r="AJ921" s="145"/>
      <c r="AK921" s="145"/>
      <c r="AL921" s="145"/>
      <c r="AM921" s="145"/>
      <c r="AN921" s="145"/>
      <c r="AO921" s="145"/>
      <c r="AP921" s="74"/>
      <c r="AQ921" s="74"/>
      <c r="AR921" s="74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</row>
    <row r="922" spans="1:85" ht="15.75" customHeight="1" x14ac:dyDescent="0.45">
      <c r="A922" s="22"/>
      <c r="B922" s="12"/>
      <c r="C922" s="12"/>
      <c r="D922" s="155"/>
      <c r="E922" s="22"/>
      <c r="F922" s="22"/>
      <c r="G922" s="12"/>
      <c r="H922" s="22"/>
      <c r="I922" s="22"/>
      <c r="J922" s="22"/>
      <c r="K922" s="22"/>
      <c r="L922" s="22"/>
      <c r="M922" s="22"/>
      <c r="N922" s="22"/>
      <c r="O922" s="145"/>
      <c r="P922" s="145"/>
      <c r="Q922" s="145"/>
      <c r="R922" s="145"/>
      <c r="S922" s="22"/>
      <c r="T922" s="145"/>
      <c r="U922" s="145"/>
      <c r="V922" s="145"/>
      <c r="W922" s="145"/>
      <c r="X922" s="53"/>
      <c r="Y922" s="74"/>
      <c r="Z922" s="145"/>
      <c r="AA922" s="145"/>
      <c r="AB922" s="145"/>
      <c r="AC922" s="146"/>
      <c r="AD922" s="145"/>
      <c r="AE922" s="145"/>
      <c r="AF922" s="145"/>
      <c r="AG922" s="145"/>
      <c r="AH922" s="146"/>
      <c r="AI922" s="145"/>
      <c r="AJ922" s="145"/>
      <c r="AK922" s="145"/>
      <c r="AL922" s="145"/>
      <c r="AM922" s="145"/>
      <c r="AN922" s="145"/>
      <c r="AO922" s="145"/>
      <c r="AP922" s="74"/>
      <c r="AQ922" s="74"/>
      <c r="AR922" s="74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</row>
    <row r="923" spans="1:85" ht="15.75" customHeight="1" x14ac:dyDescent="0.45">
      <c r="A923" s="22"/>
      <c r="B923" s="12"/>
      <c r="C923" s="12"/>
      <c r="D923" s="155"/>
      <c r="E923" s="22"/>
      <c r="F923" s="22"/>
      <c r="G923" s="12"/>
      <c r="H923" s="22"/>
      <c r="I923" s="22"/>
      <c r="J923" s="22"/>
      <c r="K923" s="22"/>
      <c r="L923" s="22"/>
      <c r="M923" s="22"/>
      <c r="N923" s="22"/>
      <c r="O923" s="145"/>
      <c r="P923" s="145"/>
      <c r="Q923" s="145"/>
      <c r="R923" s="145"/>
      <c r="S923" s="22"/>
      <c r="T923" s="145"/>
      <c r="U923" s="145"/>
      <c r="V923" s="145"/>
      <c r="W923" s="145"/>
      <c r="X923" s="53"/>
      <c r="Y923" s="74"/>
      <c r="Z923" s="145"/>
      <c r="AA923" s="145"/>
      <c r="AB923" s="145"/>
      <c r="AC923" s="146"/>
      <c r="AD923" s="145"/>
      <c r="AE923" s="145"/>
      <c r="AF923" s="145"/>
      <c r="AG923" s="145"/>
      <c r="AH923" s="146"/>
      <c r="AI923" s="145"/>
      <c r="AJ923" s="145"/>
      <c r="AK923" s="145"/>
      <c r="AL923" s="145"/>
      <c r="AM923" s="145"/>
      <c r="AN923" s="145"/>
      <c r="AO923" s="145"/>
      <c r="AP923" s="74"/>
      <c r="AQ923" s="74"/>
      <c r="AR923" s="74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</row>
    <row r="924" spans="1:85" ht="15.75" customHeight="1" x14ac:dyDescent="0.45">
      <c r="A924" s="22"/>
      <c r="B924" s="12"/>
      <c r="C924" s="12"/>
      <c r="D924" s="155"/>
      <c r="E924" s="22"/>
      <c r="F924" s="22"/>
      <c r="G924" s="12"/>
      <c r="H924" s="22"/>
      <c r="I924" s="22"/>
      <c r="J924" s="22"/>
      <c r="K924" s="22"/>
      <c r="L924" s="22"/>
      <c r="M924" s="22"/>
      <c r="N924" s="22"/>
      <c r="O924" s="145"/>
      <c r="P924" s="145"/>
      <c r="Q924" s="145"/>
      <c r="R924" s="145"/>
      <c r="S924" s="22"/>
      <c r="T924" s="145"/>
      <c r="U924" s="145"/>
      <c r="V924" s="145"/>
      <c r="W924" s="145"/>
      <c r="X924" s="53"/>
      <c r="Y924" s="74"/>
      <c r="Z924" s="145"/>
      <c r="AA924" s="145"/>
      <c r="AB924" s="145"/>
      <c r="AC924" s="146"/>
      <c r="AD924" s="145"/>
      <c r="AE924" s="145"/>
      <c r="AF924" s="145"/>
      <c r="AG924" s="145"/>
      <c r="AH924" s="146"/>
      <c r="AI924" s="145"/>
      <c r="AJ924" s="145"/>
      <c r="AK924" s="145"/>
      <c r="AL924" s="145"/>
      <c r="AM924" s="145"/>
      <c r="AN924" s="145"/>
      <c r="AO924" s="145"/>
      <c r="AP924" s="74"/>
      <c r="AQ924" s="74"/>
      <c r="AR924" s="74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</row>
    <row r="925" spans="1:85" ht="15.75" customHeight="1" x14ac:dyDescent="0.45">
      <c r="A925" s="22"/>
      <c r="B925" s="12"/>
      <c r="C925" s="12"/>
      <c r="D925" s="155"/>
      <c r="E925" s="22"/>
      <c r="F925" s="22"/>
      <c r="G925" s="12"/>
      <c r="H925" s="22"/>
      <c r="I925" s="22"/>
      <c r="J925" s="22"/>
      <c r="K925" s="22"/>
      <c r="L925" s="22"/>
      <c r="M925" s="22"/>
      <c r="N925" s="22"/>
      <c r="O925" s="145"/>
      <c r="P925" s="145"/>
      <c r="Q925" s="145"/>
      <c r="R925" s="145"/>
      <c r="S925" s="22"/>
      <c r="T925" s="145"/>
      <c r="U925" s="145"/>
      <c r="V925" s="145"/>
      <c r="W925" s="145"/>
      <c r="X925" s="53"/>
      <c r="Y925" s="74"/>
      <c r="Z925" s="145"/>
      <c r="AA925" s="145"/>
      <c r="AB925" s="145"/>
      <c r="AC925" s="146"/>
      <c r="AD925" s="145"/>
      <c r="AE925" s="145"/>
      <c r="AF925" s="145"/>
      <c r="AG925" s="145"/>
      <c r="AH925" s="146"/>
      <c r="AI925" s="145"/>
      <c r="AJ925" s="145"/>
      <c r="AK925" s="145"/>
      <c r="AL925" s="145"/>
      <c r="AM925" s="145"/>
      <c r="AN925" s="145"/>
      <c r="AO925" s="145"/>
      <c r="AP925" s="74"/>
      <c r="AQ925" s="74"/>
      <c r="AR925" s="74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</row>
    <row r="926" spans="1:85" ht="15.75" customHeight="1" x14ac:dyDescent="0.45">
      <c r="A926" s="22"/>
      <c r="B926" s="12"/>
      <c r="C926" s="12"/>
      <c r="D926" s="155"/>
      <c r="E926" s="22"/>
      <c r="F926" s="22"/>
      <c r="G926" s="12"/>
      <c r="H926" s="22"/>
      <c r="I926" s="22"/>
      <c r="J926" s="22"/>
      <c r="K926" s="22"/>
      <c r="L926" s="22"/>
      <c r="M926" s="22"/>
      <c r="N926" s="22"/>
      <c r="O926" s="145"/>
      <c r="P926" s="145"/>
      <c r="Q926" s="145"/>
      <c r="R926" s="145"/>
      <c r="S926" s="22"/>
      <c r="T926" s="145"/>
      <c r="U926" s="145"/>
      <c r="V926" s="145"/>
      <c r="W926" s="145"/>
      <c r="X926" s="53"/>
      <c r="Y926" s="74"/>
      <c r="Z926" s="145"/>
      <c r="AA926" s="145"/>
      <c r="AB926" s="145"/>
      <c r="AC926" s="146"/>
      <c r="AD926" s="145"/>
      <c r="AE926" s="145"/>
      <c r="AF926" s="145"/>
      <c r="AG926" s="145"/>
      <c r="AH926" s="146"/>
      <c r="AI926" s="145"/>
      <c r="AJ926" s="145"/>
      <c r="AK926" s="145"/>
      <c r="AL926" s="145"/>
      <c r="AM926" s="145"/>
      <c r="AN926" s="145"/>
      <c r="AO926" s="145"/>
      <c r="AP926" s="74"/>
      <c r="AQ926" s="74"/>
      <c r="AR926" s="74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</row>
    <row r="927" spans="1:85" ht="15.75" customHeight="1" x14ac:dyDescent="0.45">
      <c r="A927" s="22"/>
      <c r="B927" s="12"/>
      <c r="C927" s="12"/>
      <c r="D927" s="155"/>
      <c r="E927" s="22"/>
      <c r="F927" s="22"/>
      <c r="G927" s="12"/>
      <c r="H927" s="22"/>
      <c r="I927" s="22"/>
      <c r="J927" s="22"/>
      <c r="K927" s="22"/>
      <c r="L927" s="22"/>
      <c r="M927" s="22"/>
      <c r="N927" s="22"/>
      <c r="O927" s="145"/>
      <c r="P927" s="145"/>
      <c r="Q927" s="145"/>
      <c r="R927" s="145"/>
      <c r="S927" s="22"/>
      <c r="T927" s="145"/>
      <c r="U927" s="145"/>
      <c r="V927" s="145"/>
      <c r="W927" s="145"/>
      <c r="X927" s="53"/>
      <c r="Y927" s="74"/>
      <c r="Z927" s="145"/>
      <c r="AA927" s="145"/>
      <c r="AB927" s="145"/>
      <c r="AC927" s="146"/>
      <c r="AD927" s="145"/>
      <c r="AE927" s="145"/>
      <c r="AF927" s="145"/>
      <c r="AG927" s="145"/>
      <c r="AH927" s="146"/>
      <c r="AI927" s="145"/>
      <c r="AJ927" s="145"/>
      <c r="AK927" s="145"/>
      <c r="AL927" s="145"/>
      <c r="AM927" s="145"/>
      <c r="AN927" s="145"/>
      <c r="AO927" s="145"/>
      <c r="AP927" s="74"/>
      <c r="AQ927" s="74"/>
      <c r="AR927" s="74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</row>
    <row r="928" spans="1:85" ht="15.75" customHeight="1" x14ac:dyDescent="0.45">
      <c r="A928" s="22"/>
      <c r="B928" s="12"/>
      <c r="C928" s="12"/>
      <c r="D928" s="155"/>
      <c r="E928" s="22"/>
      <c r="F928" s="22"/>
      <c r="G928" s="12"/>
      <c r="H928" s="22"/>
      <c r="I928" s="22"/>
      <c r="J928" s="22"/>
      <c r="K928" s="22"/>
      <c r="L928" s="22"/>
      <c r="M928" s="22"/>
      <c r="N928" s="22"/>
      <c r="O928" s="145"/>
      <c r="P928" s="145"/>
      <c r="Q928" s="145"/>
      <c r="R928" s="145"/>
      <c r="S928" s="22"/>
      <c r="T928" s="145"/>
      <c r="U928" s="145"/>
      <c r="V928" s="145"/>
      <c r="W928" s="145"/>
      <c r="X928" s="53"/>
      <c r="Y928" s="74"/>
      <c r="Z928" s="145"/>
      <c r="AA928" s="145"/>
      <c r="AB928" s="145"/>
      <c r="AC928" s="146"/>
      <c r="AD928" s="145"/>
      <c r="AE928" s="145"/>
      <c r="AF928" s="145"/>
      <c r="AG928" s="145"/>
      <c r="AH928" s="146"/>
      <c r="AI928" s="145"/>
      <c r="AJ928" s="145"/>
      <c r="AK928" s="145"/>
      <c r="AL928" s="145"/>
      <c r="AM928" s="145"/>
      <c r="AN928" s="145"/>
      <c r="AO928" s="145"/>
      <c r="AP928" s="74"/>
      <c r="AQ928" s="74"/>
      <c r="AR928" s="74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</row>
    <row r="929" spans="1:85" ht="15.75" customHeight="1" x14ac:dyDescent="0.45">
      <c r="A929" s="22"/>
      <c r="B929" s="12"/>
      <c r="C929" s="12"/>
      <c r="D929" s="155"/>
      <c r="E929" s="22"/>
      <c r="F929" s="22"/>
      <c r="G929" s="12"/>
      <c r="H929" s="22"/>
      <c r="I929" s="22"/>
      <c r="J929" s="22"/>
      <c r="K929" s="22"/>
      <c r="L929" s="22"/>
      <c r="M929" s="22"/>
      <c r="N929" s="22"/>
      <c r="O929" s="145"/>
      <c r="P929" s="145"/>
      <c r="Q929" s="145"/>
      <c r="R929" s="145"/>
      <c r="S929" s="22"/>
      <c r="T929" s="145"/>
      <c r="U929" s="145"/>
      <c r="V929" s="145"/>
      <c r="W929" s="145"/>
      <c r="X929" s="53"/>
      <c r="Y929" s="74"/>
      <c r="Z929" s="145"/>
      <c r="AA929" s="145"/>
      <c r="AB929" s="145"/>
      <c r="AC929" s="146"/>
      <c r="AD929" s="145"/>
      <c r="AE929" s="145"/>
      <c r="AF929" s="145"/>
      <c r="AG929" s="145"/>
      <c r="AH929" s="146"/>
      <c r="AI929" s="145"/>
      <c r="AJ929" s="145"/>
      <c r="AK929" s="145"/>
      <c r="AL929" s="145"/>
      <c r="AM929" s="145"/>
      <c r="AN929" s="145"/>
      <c r="AO929" s="145"/>
      <c r="AP929" s="74"/>
      <c r="AQ929" s="74"/>
      <c r="AR929" s="74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</row>
    <row r="930" spans="1:85" ht="15.75" customHeight="1" x14ac:dyDescent="0.45">
      <c r="A930" s="22"/>
      <c r="B930" s="12"/>
      <c r="C930" s="12"/>
      <c r="D930" s="155"/>
      <c r="E930" s="22"/>
      <c r="F930" s="22"/>
      <c r="G930" s="12"/>
      <c r="H930" s="22"/>
      <c r="I930" s="22"/>
      <c r="J930" s="22"/>
      <c r="K930" s="22"/>
      <c r="L930" s="22"/>
      <c r="M930" s="22"/>
      <c r="N930" s="22"/>
      <c r="O930" s="145"/>
      <c r="P930" s="145"/>
      <c r="Q930" s="145"/>
      <c r="R930" s="145"/>
      <c r="S930" s="22"/>
      <c r="T930" s="145"/>
      <c r="U930" s="145"/>
      <c r="V930" s="145"/>
      <c r="W930" s="145"/>
      <c r="X930" s="53"/>
      <c r="Y930" s="74"/>
      <c r="Z930" s="145"/>
      <c r="AA930" s="145"/>
      <c r="AB930" s="145"/>
      <c r="AC930" s="146"/>
      <c r="AD930" s="145"/>
      <c r="AE930" s="145"/>
      <c r="AF930" s="145"/>
      <c r="AG930" s="145"/>
      <c r="AH930" s="146"/>
      <c r="AI930" s="145"/>
      <c r="AJ930" s="145"/>
      <c r="AK930" s="145"/>
      <c r="AL930" s="145"/>
      <c r="AM930" s="145"/>
      <c r="AN930" s="145"/>
      <c r="AO930" s="145"/>
      <c r="AP930" s="74"/>
      <c r="AQ930" s="74"/>
      <c r="AR930" s="74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</row>
    <row r="931" spans="1:85" ht="15.75" customHeight="1" x14ac:dyDescent="0.45">
      <c r="A931" s="22"/>
      <c r="B931" s="12"/>
      <c r="C931" s="12"/>
      <c r="D931" s="155"/>
      <c r="E931" s="22"/>
      <c r="F931" s="22"/>
      <c r="G931" s="12"/>
      <c r="H931" s="22"/>
      <c r="I931" s="22"/>
      <c r="J931" s="22"/>
      <c r="K931" s="22"/>
      <c r="L931" s="22"/>
      <c r="M931" s="22"/>
      <c r="N931" s="22"/>
      <c r="O931" s="145"/>
      <c r="P931" s="145"/>
      <c r="Q931" s="145"/>
      <c r="R931" s="145"/>
      <c r="S931" s="22"/>
      <c r="T931" s="145"/>
      <c r="U931" s="145"/>
      <c r="V931" s="145"/>
      <c r="W931" s="145"/>
      <c r="X931" s="53"/>
      <c r="Y931" s="74"/>
      <c r="Z931" s="145"/>
      <c r="AA931" s="145"/>
      <c r="AB931" s="145"/>
      <c r="AC931" s="146"/>
      <c r="AD931" s="145"/>
      <c r="AE931" s="145"/>
      <c r="AF931" s="145"/>
      <c r="AG931" s="145"/>
      <c r="AH931" s="146"/>
      <c r="AI931" s="145"/>
      <c r="AJ931" s="145"/>
      <c r="AK931" s="145"/>
      <c r="AL931" s="145"/>
      <c r="AM931" s="145"/>
      <c r="AN931" s="145"/>
      <c r="AO931" s="145"/>
      <c r="AP931" s="74"/>
      <c r="AQ931" s="74"/>
      <c r="AR931" s="74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</row>
    <row r="932" spans="1:85" ht="15.75" customHeight="1" x14ac:dyDescent="0.45">
      <c r="A932" s="22"/>
      <c r="B932" s="12"/>
      <c r="C932" s="12"/>
      <c r="D932" s="155"/>
      <c r="E932" s="22"/>
      <c r="F932" s="22"/>
      <c r="G932" s="12"/>
      <c r="H932" s="22"/>
      <c r="I932" s="22"/>
      <c r="J932" s="22"/>
      <c r="K932" s="22"/>
      <c r="L932" s="22"/>
      <c r="M932" s="22"/>
      <c r="N932" s="22"/>
      <c r="O932" s="145"/>
      <c r="P932" s="145"/>
      <c r="Q932" s="145"/>
      <c r="R932" s="145"/>
      <c r="S932" s="22"/>
      <c r="T932" s="145"/>
      <c r="U932" s="145"/>
      <c r="V932" s="145"/>
      <c r="W932" s="145"/>
      <c r="X932" s="53"/>
      <c r="Y932" s="74"/>
      <c r="Z932" s="145"/>
      <c r="AA932" s="145"/>
      <c r="AB932" s="145"/>
      <c r="AC932" s="146"/>
      <c r="AD932" s="145"/>
      <c r="AE932" s="145"/>
      <c r="AF932" s="145"/>
      <c r="AG932" s="145"/>
      <c r="AH932" s="146"/>
      <c r="AI932" s="145"/>
      <c r="AJ932" s="145"/>
      <c r="AK932" s="145"/>
      <c r="AL932" s="145"/>
      <c r="AM932" s="145"/>
      <c r="AN932" s="145"/>
      <c r="AO932" s="145"/>
      <c r="AP932" s="74"/>
      <c r="AQ932" s="74"/>
      <c r="AR932" s="74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</row>
    <row r="933" spans="1:85" ht="15.75" customHeight="1" x14ac:dyDescent="0.45">
      <c r="A933" s="22"/>
      <c r="B933" s="12"/>
      <c r="C933" s="12"/>
      <c r="D933" s="155"/>
      <c r="E933" s="22"/>
      <c r="F933" s="22"/>
      <c r="G933" s="12"/>
      <c r="H933" s="22"/>
      <c r="I933" s="22"/>
      <c r="J933" s="22"/>
      <c r="K933" s="22"/>
      <c r="L933" s="22"/>
      <c r="M933" s="22"/>
      <c r="N933" s="22"/>
      <c r="O933" s="145"/>
      <c r="P933" s="145"/>
      <c r="Q933" s="145"/>
      <c r="R933" s="145"/>
      <c r="S933" s="22"/>
      <c r="T933" s="145"/>
      <c r="U933" s="145"/>
      <c r="V933" s="145"/>
      <c r="W933" s="145"/>
      <c r="X933" s="53"/>
      <c r="Y933" s="74"/>
      <c r="Z933" s="145"/>
      <c r="AA933" s="145"/>
      <c r="AB933" s="145"/>
      <c r="AC933" s="146"/>
      <c r="AD933" s="145"/>
      <c r="AE933" s="145"/>
      <c r="AF933" s="145"/>
      <c r="AG933" s="145"/>
      <c r="AH933" s="146"/>
      <c r="AI933" s="145"/>
      <c r="AJ933" s="145"/>
      <c r="AK933" s="145"/>
      <c r="AL933" s="145"/>
      <c r="AM933" s="145"/>
      <c r="AN933" s="145"/>
      <c r="AO933" s="145"/>
      <c r="AP933" s="74"/>
      <c r="AQ933" s="74"/>
      <c r="AR933" s="74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</row>
    <row r="934" spans="1:85" ht="15.75" customHeight="1" x14ac:dyDescent="0.45">
      <c r="A934" s="22"/>
      <c r="B934" s="12"/>
      <c r="C934" s="12"/>
      <c r="D934" s="155"/>
      <c r="E934" s="22"/>
      <c r="F934" s="22"/>
      <c r="G934" s="12"/>
      <c r="H934" s="22"/>
      <c r="I934" s="22"/>
      <c r="J934" s="22"/>
      <c r="K934" s="22"/>
      <c r="L934" s="22"/>
      <c r="M934" s="22"/>
      <c r="N934" s="22"/>
      <c r="O934" s="145"/>
      <c r="P934" s="145"/>
      <c r="Q934" s="145"/>
      <c r="R934" s="145"/>
      <c r="S934" s="22"/>
      <c r="T934" s="145"/>
      <c r="U934" s="145"/>
      <c r="V934" s="145"/>
      <c r="W934" s="145"/>
      <c r="X934" s="53"/>
      <c r="Y934" s="74"/>
      <c r="Z934" s="145"/>
      <c r="AA934" s="145"/>
      <c r="AB934" s="145"/>
      <c r="AC934" s="146"/>
      <c r="AD934" s="145"/>
      <c r="AE934" s="145"/>
      <c r="AF934" s="145"/>
      <c r="AG934" s="145"/>
      <c r="AH934" s="146"/>
      <c r="AI934" s="145"/>
      <c r="AJ934" s="145"/>
      <c r="AK934" s="145"/>
      <c r="AL934" s="145"/>
      <c r="AM934" s="145"/>
      <c r="AN934" s="145"/>
      <c r="AO934" s="145"/>
      <c r="AP934" s="74"/>
      <c r="AQ934" s="74"/>
      <c r="AR934" s="74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</row>
    <row r="935" spans="1:85" ht="15.75" customHeight="1" x14ac:dyDescent="0.45">
      <c r="A935" s="22"/>
      <c r="B935" s="12"/>
      <c r="C935" s="12"/>
      <c r="D935" s="155"/>
      <c r="E935" s="22"/>
      <c r="F935" s="22"/>
      <c r="G935" s="12"/>
      <c r="H935" s="22"/>
      <c r="I935" s="22"/>
      <c r="J935" s="22"/>
      <c r="K935" s="22"/>
      <c r="L935" s="22"/>
      <c r="M935" s="22"/>
      <c r="N935" s="22"/>
      <c r="O935" s="145"/>
      <c r="P935" s="145"/>
      <c r="Q935" s="145"/>
      <c r="R935" s="145"/>
      <c r="S935" s="22"/>
      <c r="T935" s="145"/>
      <c r="U935" s="145"/>
      <c r="V935" s="145"/>
      <c r="W935" s="145"/>
      <c r="X935" s="53"/>
      <c r="Y935" s="74"/>
      <c r="Z935" s="145"/>
      <c r="AA935" s="145"/>
      <c r="AB935" s="145"/>
      <c r="AC935" s="146"/>
      <c r="AD935" s="145"/>
      <c r="AE935" s="145"/>
      <c r="AF935" s="145"/>
      <c r="AG935" s="145"/>
      <c r="AH935" s="146"/>
      <c r="AI935" s="145"/>
      <c r="AJ935" s="145"/>
      <c r="AK935" s="145"/>
      <c r="AL935" s="145"/>
      <c r="AM935" s="145"/>
      <c r="AN935" s="145"/>
      <c r="AO935" s="145"/>
      <c r="AP935" s="74"/>
      <c r="AQ935" s="74"/>
      <c r="AR935" s="74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</row>
    <row r="936" spans="1:85" ht="15.75" customHeight="1" x14ac:dyDescent="0.45">
      <c r="A936" s="22"/>
      <c r="B936" s="12"/>
      <c r="C936" s="12"/>
      <c r="D936" s="155"/>
      <c r="E936" s="22"/>
      <c r="F936" s="22"/>
      <c r="G936" s="12"/>
      <c r="H936" s="22"/>
      <c r="I936" s="22"/>
      <c r="J936" s="22"/>
      <c r="K936" s="22"/>
      <c r="L936" s="22"/>
      <c r="M936" s="22"/>
      <c r="N936" s="22"/>
      <c r="O936" s="145"/>
      <c r="P936" s="145"/>
      <c r="Q936" s="145"/>
      <c r="R936" s="145"/>
      <c r="S936" s="22"/>
      <c r="T936" s="145"/>
      <c r="U936" s="145"/>
      <c r="V936" s="145"/>
      <c r="W936" s="145"/>
      <c r="X936" s="53"/>
      <c r="Y936" s="74"/>
      <c r="Z936" s="145"/>
      <c r="AA936" s="145"/>
      <c r="AB936" s="145"/>
      <c r="AC936" s="146"/>
      <c r="AD936" s="145"/>
      <c r="AE936" s="145"/>
      <c r="AF936" s="145"/>
      <c r="AG936" s="145"/>
      <c r="AH936" s="146"/>
      <c r="AI936" s="145"/>
      <c r="AJ936" s="145"/>
      <c r="AK936" s="145"/>
      <c r="AL936" s="145"/>
      <c r="AM936" s="145"/>
      <c r="AN936" s="145"/>
      <c r="AO936" s="145"/>
      <c r="AP936" s="74"/>
      <c r="AQ936" s="74"/>
      <c r="AR936" s="74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</row>
    <row r="937" spans="1:85" ht="15.75" customHeight="1" x14ac:dyDescent="0.45">
      <c r="A937" s="22"/>
      <c r="B937" s="12"/>
      <c r="C937" s="12"/>
      <c r="D937" s="155"/>
      <c r="E937" s="22"/>
      <c r="F937" s="22"/>
      <c r="G937" s="12"/>
      <c r="H937" s="22"/>
      <c r="I937" s="22"/>
      <c r="J937" s="22"/>
      <c r="K937" s="22"/>
      <c r="L937" s="22"/>
      <c r="M937" s="22"/>
      <c r="N937" s="22"/>
      <c r="O937" s="145"/>
      <c r="P937" s="145"/>
      <c r="Q937" s="145"/>
      <c r="R937" s="145"/>
      <c r="S937" s="22"/>
      <c r="T937" s="145"/>
      <c r="U937" s="145"/>
      <c r="V937" s="145"/>
      <c r="W937" s="145"/>
      <c r="X937" s="53"/>
      <c r="Y937" s="74"/>
      <c r="Z937" s="145"/>
      <c r="AA937" s="145"/>
      <c r="AB937" s="145"/>
      <c r="AC937" s="146"/>
      <c r="AD937" s="145"/>
      <c r="AE937" s="145"/>
      <c r="AF937" s="145"/>
      <c r="AG937" s="145"/>
      <c r="AH937" s="146"/>
      <c r="AI937" s="145"/>
      <c r="AJ937" s="145"/>
      <c r="AK937" s="145"/>
      <c r="AL937" s="145"/>
      <c r="AM937" s="145"/>
      <c r="AN937" s="145"/>
      <c r="AO937" s="145"/>
      <c r="AP937" s="74"/>
      <c r="AQ937" s="74"/>
      <c r="AR937" s="74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</row>
    <row r="938" spans="1:85" ht="15.75" customHeight="1" x14ac:dyDescent="0.45">
      <c r="A938" s="22"/>
      <c r="B938" s="12"/>
      <c r="C938" s="12"/>
      <c r="D938" s="155"/>
      <c r="E938" s="22"/>
      <c r="F938" s="22"/>
      <c r="G938" s="12"/>
      <c r="H938" s="22"/>
      <c r="I938" s="22"/>
      <c r="J938" s="22"/>
      <c r="K938" s="22"/>
      <c r="L938" s="22"/>
      <c r="M938" s="22"/>
      <c r="N938" s="22"/>
      <c r="O938" s="145"/>
      <c r="P938" s="145"/>
      <c r="Q938" s="145"/>
      <c r="R938" s="145"/>
      <c r="S938" s="22"/>
      <c r="T938" s="145"/>
      <c r="U938" s="145"/>
      <c r="V938" s="145"/>
      <c r="W938" s="145"/>
      <c r="X938" s="53"/>
      <c r="Y938" s="74"/>
      <c r="Z938" s="145"/>
      <c r="AA938" s="145"/>
      <c r="AB938" s="145"/>
      <c r="AC938" s="146"/>
      <c r="AD938" s="145"/>
      <c r="AE938" s="145"/>
      <c r="AF938" s="145"/>
      <c r="AG938" s="145"/>
      <c r="AH938" s="146"/>
      <c r="AI938" s="145"/>
      <c r="AJ938" s="145"/>
      <c r="AK938" s="145"/>
      <c r="AL938" s="145"/>
      <c r="AM938" s="145"/>
      <c r="AN938" s="145"/>
      <c r="AO938" s="145"/>
      <c r="AP938" s="74"/>
      <c r="AQ938" s="74"/>
      <c r="AR938" s="74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</row>
    <row r="939" spans="1:85" ht="15.75" customHeight="1" x14ac:dyDescent="0.45">
      <c r="A939" s="22"/>
      <c r="B939" s="12"/>
      <c r="C939" s="12"/>
      <c r="D939" s="155"/>
      <c r="E939" s="22"/>
      <c r="F939" s="22"/>
      <c r="G939" s="12"/>
      <c r="H939" s="22"/>
      <c r="I939" s="22"/>
      <c r="J939" s="22"/>
      <c r="K939" s="22"/>
      <c r="L939" s="22"/>
      <c r="M939" s="22"/>
      <c r="N939" s="22"/>
      <c r="O939" s="145"/>
      <c r="P939" s="145"/>
      <c r="Q939" s="145"/>
      <c r="R939" s="145"/>
      <c r="S939" s="22"/>
      <c r="T939" s="145"/>
      <c r="U939" s="145"/>
      <c r="V939" s="145"/>
      <c r="W939" s="145"/>
      <c r="X939" s="53"/>
      <c r="Y939" s="74"/>
      <c r="Z939" s="145"/>
      <c r="AA939" s="145"/>
      <c r="AB939" s="145"/>
      <c r="AC939" s="146"/>
      <c r="AD939" s="145"/>
      <c r="AE939" s="145"/>
      <c r="AF939" s="145"/>
      <c r="AG939" s="145"/>
      <c r="AH939" s="146"/>
      <c r="AI939" s="145"/>
      <c r="AJ939" s="145"/>
      <c r="AK939" s="145"/>
      <c r="AL939" s="145"/>
      <c r="AM939" s="145"/>
      <c r="AN939" s="145"/>
      <c r="AO939" s="145"/>
      <c r="AP939" s="74"/>
      <c r="AQ939" s="74"/>
      <c r="AR939" s="74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</row>
    <row r="940" spans="1:85" ht="15.75" customHeight="1" x14ac:dyDescent="0.45">
      <c r="A940" s="22"/>
      <c r="B940" s="12"/>
      <c r="C940" s="12"/>
      <c r="D940" s="155"/>
      <c r="E940" s="22"/>
      <c r="F940" s="22"/>
      <c r="G940" s="12"/>
      <c r="H940" s="22"/>
      <c r="I940" s="22"/>
      <c r="J940" s="22"/>
      <c r="K940" s="22"/>
      <c r="L940" s="22"/>
      <c r="M940" s="22"/>
      <c r="N940" s="22"/>
      <c r="O940" s="145"/>
      <c r="P940" s="145"/>
      <c r="Q940" s="145"/>
      <c r="R940" s="145"/>
      <c r="S940" s="22"/>
      <c r="T940" s="145"/>
      <c r="U940" s="145"/>
      <c r="V940" s="145"/>
      <c r="W940" s="145"/>
      <c r="X940" s="53"/>
      <c r="Y940" s="74"/>
      <c r="Z940" s="145"/>
      <c r="AA940" s="145"/>
      <c r="AB940" s="145"/>
      <c r="AC940" s="146"/>
      <c r="AD940" s="145"/>
      <c r="AE940" s="145"/>
      <c r="AF940" s="145"/>
      <c r="AG940" s="145"/>
      <c r="AH940" s="146"/>
      <c r="AI940" s="145"/>
      <c r="AJ940" s="145"/>
      <c r="AK940" s="145"/>
      <c r="AL940" s="145"/>
      <c r="AM940" s="145"/>
      <c r="AN940" s="145"/>
      <c r="AO940" s="145"/>
      <c r="AP940" s="74"/>
      <c r="AQ940" s="74"/>
      <c r="AR940" s="74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</row>
    <row r="941" spans="1:85" ht="15.75" customHeight="1" x14ac:dyDescent="0.45">
      <c r="A941" s="22"/>
      <c r="B941" s="12"/>
      <c r="C941" s="12"/>
      <c r="D941" s="155"/>
      <c r="E941" s="22"/>
      <c r="F941" s="22"/>
      <c r="G941" s="12"/>
      <c r="H941" s="22"/>
      <c r="I941" s="22"/>
      <c r="J941" s="22"/>
      <c r="K941" s="22"/>
      <c r="L941" s="22"/>
      <c r="M941" s="22"/>
      <c r="N941" s="22"/>
      <c r="O941" s="145"/>
      <c r="P941" s="145"/>
      <c r="Q941" s="145"/>
      <c r="R941" s="145"/>
      <c r="S941" s="22"/>
      <c r="T941" s="145"/>
      <c r="U941" s="145"/>
      <c r="V941" s="145"/>
      <c r="W941" s="145"/>
      <c r="X941" s="53"/>
      <c r="Y941" s="74"/>
      <c r="Z941" s="145"/>
      <c r="AA941" s="145"/>
      <c r="AB941" s="145"/>
      <c r="AC941" s="146"/>
      <c r="AD941" s="145"/>
      <c r="AE941" s="145"/>
      <c r="AF941" s="145"/>
      <c r="AG941" s="145"/>
      <c r="AH941" s="146"/>
      <c r="AI941" s="145"/>
      <c r="AJ941" s="145"/>
      <c r="AK941" s="145"/>
      <c r="AL941" s="145"/>
      <c r="AM941" s="145"/>
      <c r="AN941" s="145"/>
      <c r="AO941" s="145"/>
      <c r="AP941" s="74"/>
      <c r="AQ941" s="74"/>
      <c r="AR941" s="74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</row>
    <row r="942" spans="1:85" ht="15.75" customHeight="1" x14ac:dyDescent="0.45">
      <c r="A942" s="22"/>
      <c r="B942" s="12"/>
      <c r="C942" s="12"/>
      <c r="D942" s="155"/>
      <c r="E942" s="22"/>
      <c r="F942" s="22"/>
      <c r="G942" s="12"/>
      <c r="H942" s="22"/>
      <c r="I942" s="22"/>
      <c r="J942" s="22"/>
      <c r="K942" s="22"/>
      <c r="L942" s="22"/>
      <c r="M942" s="22"/>
      <c r="N942" s="22"/>
      <c r="O942" s="145"/>
      <c r="P942" s="145"/>
      <c r="Q942" s="145"/>
      <c r="R942" s="145"/>
      <c r="S942" s="22"/>
      <c r="T942" s="145"/>
      <c r="U942" s="145"/>
      <c r="V942" s="145"/>
      <c r="W942" s="145"/>
      <c r="X942" s="53"/>
      <c r="Y942" s="74"/>
      <c r="Z942" s="145"/>
      <c r="AA942" s="145"/>
      <c r="AB942" s="145"/>
      <c r="AC942" s="146"/>
      <c r="AD942" s="145"/>
      <c r="AE942" s="145"/>
      <c r="AF942" s="145"/>
      <c r="AG942" s="145"/>
      <c r="AH942" s="146"/>
      <c r="AI942" s="145"/>
      <c r="AJ942" s="145"/>
      <c r="AK942" s="145"/>
      <c r="AL942" s="145"/>
      <c r="AM942" s="145"/>
      <c r="AN942" s="145"/>
      <c r="AO942" s="145"/>
      <c r="AP942" s="74"/>
      <c r="AQ942" s="74"/>
      <c r="AR942" s="74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</row>
    <row r="943" spans="1:85" ht="15.75" customHeight="1" x14ac:dyDescent="0.45">
      <c r="A943" s="22"/>
      <c r="B943" s="12"/>
      <c r="C943" s="12"/>
      <c r="D943" s="155"/>
      <c r="E943" s="22"/>
      <c r="F943" s="22"/>
      <c r="G943" s="12"/>
      <c r="H943" s="22"/>
      <c r="I943" s="22"/>
      <c r="J943" s="22"/>
      <c r="K943" s="22"/>
      <c r="L943" s="22"/>
      <c r="M943" s="22"/>
      <c r="N943" s="22"/>
      <c r="O943" s="145"/>
      <c r="P943" s="145"/>
      <c r="Q943" s="145"/>
      <c r="R943" s="145"/>
      <c r="S943" s="22"/>
      <c r="T943" s="145"/>
      <c r="U943" s="145"/>
      <c r="V943" s="145"/>
      <c r="W943" s="145"/>
      <c r="X943" s="53"/>
      <c r="Y943" s="74"/>
      <c r="Z943" s="145"/>
      <c r="AA943" s="145"/>
      <c r="AB943" s="145"/>
      <c r="AC943" s="146"/>
      <c r="AD943" s="145"/>
      <c r="AE943" s="145"/>
      <c r="AF943" s="145"/>
      <c r="AG943" s="145"/>
      <c r="AH943" s="146"/>
      <c r="AI943" s="145"/>
      <c r="AJ943" s="145"/>
      <c r="AK943" s="145"/>
      <c r="AL943" s="145"/>
      <c r="AM943" s="145"/>
      <c r="AN943" s="145"/>
      <c r="AO943" s="145"/>
      <c r="AP943" s="74"/>
      <c r="AQ943" s="74"/>
      <c r="AR943" s="74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</row>
    <row r="944" spans="1:85" ht="15.75" customHeight="1" x14ac:dyDescent="0.45">
      <c r="A944" s="22"/>
      <c r="B944" s="12"/>
      <c r="C944" s="12"/>
      <c r="D944" s="155"/>
      <c r="E944" s="22"/>
      <c r="F944" s="22"/>
      <c r="G944" s="12"/>
      <c r="H944" s="22"/>
      <c r="I944" s="22"/>
      <c r="J944" s="22"/>
      <c r="K944" s="22"/>
      <c r="L944" s="22"/>
      <c r="M944" s="22"/>
      <c r="N944" s="22"/>
      <c r="O944" s="145"/>
      <c r="P944" s="145"/>
      <c r="Q944" s="145"/>
      <c r="R944" s="145"/>
      <c r="S944" s="22"/>
      <c r="T944" s="145"/>
      <c r="U944" s="145"/>
      <c r="V944" s="145"/>
      <c r="W944" s="145"/>
      <c r="X944" s="53"/>
      <c r="Y944" s="74"/>
      <c r="Z944" s="145"/>
      <c r="AA944" s="145"/>
      <c r="AB944" s="145"/>
      <c r="AC944" s="146"/>
      <c r="AD944" s="145"/>
      <c r="AE944" s="145"/>
      <c r="AF944" s="145"/>
      <c r="AG944" s="145"/>
      <c r="AH944" s="146"/>
      <c r="AI944" s="145"/>
      <c r="AJ944" s="145"/>
      <c r="AK944" s="145"/>
      <c r="AL944" s="145"/>
      <c r="AM944" s="145"/>
      <c r="AN944" s="145"/>
      <c r="AO944" s="145"/>
      <c r="AP944" s="74"/>
      <c r="AQ944" s="74"/>
      <c r="AR944" s="74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</row>
    <row r="945" spans="1:85" ht="15.75" customHeight="1" x14ac:dyDescent="0.45">
      <c r="A945" s="22"/>
      <c r="B945" s="12"/>
      <c r="C945" s="12"/>
      <c r="D945" s="155"/>
      <c r="E945" s="22"/>
      <c r="F945" s="22"/>
      <c r="G945" s="12"/>
      <c r="H945" s="22"/>
      <c r="I945" s="22"/>
      <c r="J945" s="22"/>
      <c r="K945" s="22"/>
      <c r="L945" s="22"/>
      <c r="M945" s="22"/>
      <c r="N945" s="22"/>
      <c r="O945" s="145"/>
      <c r="P945" s="145"/>
      <c r="Q945" s="145"/>
      <c r="R945" s="145"/>
      <c r="S945" s="22"/>
      <c r="T945" s="145"/>
      <c r="U945" s="145"/>
      <c r="V945" s="145"/>
      <c r="W945" s="145"/>
      <c r="X945" s="53"/>
      <c r="Y945" s="74"/>
      <c r="Z945" s="145"/>
      <c r="AA945" s="145"/>
      <c r="AB945" s="145"/>
      <c r="AC945" s="146"/>
      <c r="AD945" s="145"/>
      <c r="AE945" s="145"/>
      <c r="AF945" s="145"/>
      <c r="AG945" s="145"/>
      <c r="AH945" s="146"/>
      <c r="AI945" s="145"/>
      <c r="AJ945" s="145"/>
      <c r="AK945" s="145"/>
      <c r="AL945" s="145"/>
      <c r="AM945" s="145"/>
      <c r="AN945" s="145"/>
      <c r="AO945" s="145"/>
      <c r="AP945" s="74"/>
      <c r="AQ945" s="74"/>
      <c r="AR945" s="74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</row>
    <row r="946" spans="1:85" ht="15.75" customHeight="1" x14ac:dyDescent="0.45">
      <c r="A946" s="22"/>
      <c r="B946" s="12"/>
      <c r="C946" s="12"/>
      <c r="D946" s="155"/>
      <c r="E946" s="22"/>
      <c r="F946" s="22"/>
      <c r="G946" s="12"/>
      <c r="H946" s="22"/>
      <c r="I946" s="22"/>
      <c r="J946" s="22"/>
      <c r="K946" s="22"/>
      <c r="L946" s="22"/>
      <c r="M946" s="22"/>
      <c r="N946" s="22"/>
      <c r="O946" s="145"/>
      <c r="P946" s="145"/>
      <c r="Q946" s="145"/>
      <c r="R946" s="145"/>
      <c r="S946" s="22"/>
      <c r="T946" s="145"/>
      <c r="U946" s="145"/>
      <c r="V946" s="145"/>
      <c r="W946" s="145"/>
      <c r="X946" s="53"/>
      <c r="Y946" s="74"/>
      <c r="Z946" s="145"/>
      <c r="AA946" s="145"/>
      <c r="AB946" s="145"/>
      <c r="AC946" s="146"/>
      <c r="AD946" s="145"/>
      <c r="AE946" s="145"/>
      <c r="AF946" s="145"/>
      <c r="AG946" s="145"/>
      <c r="AH946" s="146"/>
      <c r="AI946" s="145"/>
      <c r="AJ946" s="145"/>
      <c r="AK946" s="145"/>
      <c r="AL946" s="145"/>
      <c r="AM946" s="145"/>
      <c r="AN946" s="145"/>
      <c r="AO946" s="145"/>
      <c r="AP946" s="74"/>
      <c r="AQ946" s="74"/>
      <c r="AR946" s="74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</row>
    <row r="947" spans="1:85" ht="15.75" customHeight="1" x14ac:dyDescent="0.45">
      <c r="A947" s="22"/>
      <c r="B947" s="12"/>
      <c r="C947" s="12"/>
      <c r="D947" s="155"/>
      <c r="E947" s="22"/>
      <c r="F947" s="22"/>
      <c r="G947" s="12"/>
      <c r="H947" s="22"/>
      <c r="I947" s="22"/>
      <c r="J947" s="22"/>
      <c r="K947" s="22"/>
      <c r="L947" s="22"/>
      <c r="M947" s="22"/>
      <c r="N947" s="22"/>
      <c r="O947" s="145"/>
      <c r="P947" s="145"/>
      <c r="Q947" s="145"/>
      <c r="R947" s="145"/>
      <c r="S947" s="22"/>
      <c r="T947" s="145"/>
      <c r="U947" s="145"/>
      <c r="V947" s="145"/>
      <c r="W947" s="145"/>
      <c r="X947" s="53"/>
      <c r="Y947" s="74"/>
      <c r="Z947" s="145"/>
      <c r="AA947" s="145"/>
      <c r="AB947" s="145"/>
      <c r="AC947" s="146"/>
      <c r="AD947" s="145"/>
      <c r="AE947" s="145"/>
      <c r="AF947" s="145"/>
      <c r="AG947" s="145"/>
      <c r="AH947" s="146"/>
      <c r="AI947" s="145"/>
      <c r="AJ947" s="145"/>
      <c r="AK947" s="145"/>
      <c r="AL947" s="145"/>
      <c r="AM947" s="145"/>
      <c r="AN947" s="145"/>
      <c r="AO947" s="145"/>
      <c r="AP947" s="74"/>
      <c r="AQ947" s="74"/>
      <c r="AR947" s="74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</row>
    <row r="948" spans="1:85" ht="15.75" customHeight="1" x14ac:dyDescent="0.45">
      <c r="A948" s="22"/>
      <c r="B948" s="12"/>
      <c r="C948" s="12"/>
      <c r="D948" s="155"/>
      <c r="E948" s="22"/>
      <c r="F948" s="22"/>
      <c r="G948" s="12"/>
      <c r="H948" s="22"/>
      <c r="I948" s="22"/>
      <c r="J948" s="22"/>
      <c r="K948" s="22"/>
      <c r="L948" s="22"/>
      <c r="M948" s="22"/>
      <c r="N948" s="22"/>
      <c r="O948" s="145"/>
      <c r="P948" s="145"/>
      <c r="Q948" s="145"/>
      <c r="R948" s="145"/>
      <c r="S948" s="22"/>
      <c r="T948" s="145"/>
      <c r="U948" s="145"/>
      <c r="V948" s="145"/>
      <c r="W948" s="145"/>
      <c r="X948" s="53"/>
      <c r="Y948" s="74"/>
      <c r="Z948" s="145"/>
      <c r="AA948" s="145"/>
      <c r="AB948" s="145"/>
      <c r="AC948" s="146"/>
      <c r="AD948" s="145"/>
      <c r="AE948" s="145"/>
      <c r="AF948" s="145"/>
      <c r="AG948" s="145"/>
      <c r="AH948" s="146"/>
      <c r="AI948" s="145"/>
      <c r="AJ948" s="145"/>
      <c r="AK948" s="145"/>
      <c r="AL948" s="145"/>
      <c r="AM948" s="145"/>
      <c r="AN948" s="145"/>
      <c r="AO948" s="145"/>
      <c r="AP948" s="74"/>
      <c r="AQ948" s="74"/>
      <c r="AR948" s="74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</row>
    <row r="949" spans="1:85" ht="15.75" customHeight="1" x14ac:dyDescent="0.45">
      <c r="A949" s="22"/>
      <c r="B949" s="12"/>
      <c r="C949" s="12"/>
      <c r="D949" s="155"/>
      <c r="E949" s="22"/>
      <c r="F949" s="22"/>
      <c r="G949" s="12"/>
      <c r="H949" s="22"/>
      <c r="I949" s="22"/>
      <c r="J949" s="22"/>
      <c r="K949" s="22"/>
      <c r="L949" s="22"/>
      <c r="M949" s="22"/>
      <c r="N949" s="22"/>
      <c r="O949" s="145"/>
      <c r="P949" s="145"/>
      <c r="Q949" s="145"/>
      <c r="R949" s="145"/>
      <c r="S949" s="22"/>
      <c r="T949" s="145"/>
      <c r="U949" s="145"/>
      <c r="V949" s="145"/>
      <c r="W949" s="145"/>
      <c r="X949" s="53"/>
      <c r="Y949" s="74"/>
      <c r="Z949" s="145"/>
      <c r="AA949" s="145"/>
      <c r="AB949" s="145"/>
      <c r="AC949" s="146"/>
      <c r="AD949" s="145"/>
      <c r="AE949" s="145"/>
      <c r="AF949" s="145"/>
      <c r="AG949" s="145"/>
      <c r="AH949" s="146"/>
      <c r="AI949" s="145"/>
      <c r="AJ949" s="145"/>
      <c r="AK949" s="145"/>
      <c r="AL949" s="145"/>
      <c r="AM949" s="145"/>
      <c r="AN949" s="145"/>
      <c r="AO949" s="145"/>
      <c r="AP949" s="74"/>
      <c r="AQ949" s="74"/>
      <c r="AR949" s="74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</row>
    <row r="950" spans="1:85" ht="15.75" customHeight="1" x14ac:dyDescent="0.45">
      <c r="A950" s="22"/>
      <c r="B950" s="12"/>
      <c r="C950" s="12"/>
      <c r="D950" s="155"/>
      <c r="E950" s="22"/>
      <c r="F950" s="22"/>
      <c r="G950" s="12"/>
      <c r="H950" s="22"/>
      <c r="I950" s="22"/>
      <c r="J950" s="22"/>
      <c r="K950" s="22"/>
      <c r="L950" s="22"/>
      <c r="M950" s="22"/>
      <c r="N950" s="22"/>
      <c r="O950" s="145"/>
      <c r="P950" s="145"/>
      <c r="Q950" s="145"/>
      <c r="R950" s="145"/>
      <c r="S950" s="22"/>
      <c r="T950" s="145"/>
      <c r="U950" s="145"/>
      <c r="V950" s="145"/>
      <c r="W950" s="145"/>
      <c r="X950" s="53"/>
      <c r="Y950" s="74"/>
      <c r="Z950" s="145"/>
      <c r="AA950" s="145"/>
      <c r="AB950" s="145"/>
      <c r="AC950" s="146"/>
      <c r="AD950" s="145"/>
      <c r="AE950" s="145"/>
      <c r="AF950" s="145"/>
      <c r="AG950" s="145"/>
      <c r="AH950" s="146"/>
      <c r="AI950" s="145"/>
      <c r="AJ950" s="145"/>
      <c r="AK950" s="145"/>
      <c r="AL950" s="145"/>
      <c r="AM950" s="145"/>
      <c r="AN950" s="145"/>
      <c r="AO950" s="145"/>
      <c r="AP950" s="74"/>
      <c r="AQ950" s="74"/>
      <c r="AR950" s="74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</row>
    <row r="951" spans="1:85" ht="15.75" customHeight="1" x14ac:dyDescent="0.45">
      <c r="A951" s="22"/>
      <c r="B951" s="12"/>
      <c r="C951" s="12"/>
      <c r="D951" s="155"/>
      <c r="E951" s="22"/>
      <c r="F951" s="22"/>
      <c r="G951" s="12"/>
      <c r="H951" s="22"/>
      <c r="I951" s="22"/>
      <c r="J951" s="22"/>
      <c r="K951" s="22"/>
      <c r="L951" s="22"/>
      <c r="M951" s="22"/>
      <c r="N951" s="22"/>
      <c r="O951" s="145"/>
      <c r="P951" s="145"/>
      <c r="Q951" s="145"/>
      <c r="R951" s="145"/>
      <c r="S951" s="22"/>
      <c r="T951" s="145"/>
      <c r="U951" s="145"/>
      <c r="V951" s="145"/>
      <c r="W951" s="145"/>
      <c r="X951" s="53"/>
      <c r="Y951" s="74"/>
      <c r="Z951" s="145"/>
      <c r="AA951" s="145"/>
      <c r="AB951" s="145"/>
      <c r="AC951" s="146"/>
      <c r="AD951" s="145"/>
      <c r="AE951" s="145"/>
      <c r="AF951" s="145"/>
      <c r="AG951" s="145"/>
      <c r="AH951" s="146"/>
      <c r="AI951" s="145"/>
      <c r="AJ951" s="145"/>
      <c r="AK951" s="145"/>
      <c r="AL951" s="145"/>
      <c r="AM951" s="145"/>
      <c r="AN951" s="145"/>
      <c r="AO951" s="145"/>
      <c r="AP951" s="74"/>
      <c r="AQ951" s="74"/>
      <c r="AR951" s="74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</row>
    <row r="952" spans="1:85" ht="15.75" customHeight="1" x14ac:dyDescent="0.45">
      <c r="A952" s="22"/>
      <c r="B952" s="12"/>
      <c r="C952" s="12"/>
      <c r="D952" s="155"/>
      <c r="E952" s="22"/>
      <c r="F952" s="22"/>
      <c r="G952" s="12"/>
      <c r="H952" s="22"/>
      <c r="I952" s="22"/>
      <c r="J952" s="22"/>
      <c r="K952" s="22"/>
      <c r="L952" s="22"/>
      <c r="M952" s="22"/>
      <c r="N952" s="22"/>
      <c r="O952" s="145"/>
      <c r="P952" s="145"/>
      <c r="Q952" s="145"/>
      <c r="R952" s="145"/>
      <c r="S952" s="22"/>
      <c r="T952" s="145"/>
      <c r="U952" s="145"/>
      <c r="V952" s="145"/>
      <c r="W952" s="145"/>
      <c r="X952" s="53"/>
      <c r="Y952" s="74"/>
      <c r="Z952" s="145"/>
      <c r="AA952" s="145"/>
      <c r="AB952" s="145"/>
      <c r="AC952" s="146"/>
      <c r="AD952" s="145"/>
      <c r="AE952" s="145"/>
      <c r="AF952" s="145"/>
      <c r="AG952" s="145"/>
      <c r="AH952" s="146"/>
      <c r="AI952" s="145"/>
      <c r="AJ952" s="145"/>
      <c r="AK952" s="145"/>
      <c r="AL952" s="145"/>
      <c r="AM952" s="145"/>
      <c r="AN952" s="145"/>
      <c r="AO952" s="145"/>
      <c r="AP952" s="74"/>
      <c r="AQ952" s="74"/>
      <c r="AR952" s="74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</row>
    <row r="953" spans="1:85" ht="15.75" customHeight="1" x14ac:dyDescent="0.45">
      <c r="A953" s="22"/>
      <c r="B953" s="12"/>
      <c r="C953" s="12"/>
      <c r="D953" s="155"/>
      <c r="E953" s="22"/>
      <c r="F953" s="22"/>
      <c r="G953" s="12"/>
      <c r="H953" s="22"/>
      <c r="I953" s="22"/>
      <c r="J953" s="22"/>
      <c r="K953" s="22"/>
      <c r="L953" s="22"/>
      <c r="M953" s="22"/>
      <c r="N953" s="22"/>
      <c r="O953" s="145"/>
      <c r="P953" s="145"/>
      <c r="Q953" s="145"/>
      <c r="R953" s="145"/>
      <c r="S953" s="22"/>
      <c r="T953" s="145"/>
      <c r="U953" s="145"/>
      <c r="V953" s="145"/>
      <c r="W953" s="145"/>
      <c r="X953" s="53"/>
      <c r="Y953" s="74"/>
      <c r="Z953" s="145"/>
      <c r="AA953" s="145"/>
      <c r="AB953" s="145"/>
      <c r="AC953" s="146"/>
      <c r="AD953" s="145"/>
      <c r="AE953" s="145"/>
      <c r="AF953" s="145"/>
      <c r="AG953" s="145"/>
      <c r="AH953" s="146"/>
      <c r="AI953" s="145"/>
      <c r="AJ953" s="145"/>
      <c r="AK953" s="145"/>
      <c r="AL953" s="145"/>
      <c r="AM953" s="145"/>
      <c r="AN953" s="145"/>
      <c r="AO953" s="145"/>
      <c r="AP953" s="74"/>
      <c r="AQ953" s="74"/>
      <c r="AR953" s="74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</row>
    <row r="954" spans="1:85" ht="15.75" customHeight="1" x14ac:dyDescent="0.45">
      <c r="A954" s="22"/>
      <c r="B954" s="12"/>
      <c r="C954" s="12"/>
      <c r="D954" s="155"/>
      <c r="E954" s="22"/>
      <c r="F954" s="22"/>
      <c r="G954" s="12"/>
      <c r="H954" s="22"/>
      <c r="I954" s="22"/>
      <c r="J954" s="22"/>
      <c r="K954" s="22"/>
      <c r="L954" s="22"/>
      <c r="M954" s="22"/>
      <c r="N954" s="22"/>
      <c r="O954" s="145"/>
      <c r="P954" s="145"/>
      <c r="Q954" s="145"/>
      <c r="R954" s="145"/>
      <c r="S954" s="22"/>
      <c r="T954" s="145"/>
      <c r="U954" s="145"/>
      <c r="V954" s="145"/>
      <c r="W954" s="145"/>
      <c r="X954" s="53"/>
      <c r="Y954" s="74"/>
      <c r="Z954" s="145"/>
      <c r="AA954" s="145"/>
      <c r="AB954" s="145"/>
      <c r="AC954" s="146"/>
      <c r="AD954" s="145"/>
      <c r="AE954" s="145"/>
      <c r="AF954" s="145"/>
      <c r="AG954" s="145"/>
      <c r="AH954" s="146"/>
      <c r="AI954" s="145"/>
      <c r="AJ954" s="145"/>
      <c r="AK954" s="145"/>
      <c r="AL954" s="145"/>
      <c r="AM954" s="145"/>
      <c r="AN954" s="145"/>
      <c r="AO954" s="145"/>
      <c r="AP954" s="74"/>
      <c r="AQ954" s="74"/>
      <c r="AR954" s="74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</row>
    <row r="955" spans="1:85" ht="15.75" customHeight="1" x14ac:dyDescent="0.45">
      <c r="A955" s="22"/>
      <c r="B955" s="12"/>
      <c r="C955" s="12"/>
      <c r="D955" s="155"/>
      <c r="E955" s="22"/>
      <c r="F955" s="22"/>
      <c r="G955" s="12"/>
      <c r="H955" s="22"/>
      <c r="I955" s="22"/>
      <c r="J955" s="22"/>
      <c r="K955" s="22"/>
      <c r="L955" s="22"/>
      <c r="M955" s="22"/>
      <c r="N955" s="22"/>
      <c r="O955" s="145"/>
      <c r="P955" s="145"/>
      <c r="Q955" s="145"/>
      <c r="R955" s="145"/>
      <c r="S955" s="22"/>
      <c r="T955" s="145"/>
      <c r="U955" s="145"/>
      <c r="V955" s="145"/>
      <c r="W955" s="145"/>
      <c r="X955" s="53"/>
      <c r="Y955" s="74"/>
      <c r="Z955" s="145"/>
      <c r="AA955" s="145"/>
      <c r="AB955" s="145"/>
      <c r="AC955" s="146"/>
      <c r="AD955" s="145"/>
      <c r="AE955" s="145"/>
      <c r="AF955" s="145"/>
      <c r="AG955" s="145"/>
      <c r="AH955" s="146"/>
      <c r="AI955" s="145"/>
      <c r="AJ955" s="145"/>
      <c r="AK955" s="145"/>
      <c r="AL955" s="145"/>
      <c r="AM955" s="145"/>
      <c r="AN955" s="145"/>
      <c r="AO955" s="145"/>
      <c r="AP955" s="74"/>
      <c r="AQ955" s="74"/>
      <c r="AR955" s="74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</row>
    <row r="956" spans="1:85" ht="15.75" customHeight="1" x14ac:dyDescent="0.45">
      <c r="A956" s="22"/>
      <c r="B956" s="12"/>
      <c r="C956" s="12"/>
      <c r="D956" s="155"/>
      <c r="E956" s="22"/>
      <c r="F956" s="22"/>
      <c r="G956" s="12"/>
      <c r="H956" s="22"/>
      <c r="I956" s="22"/>
      <c r="J956" s="22"/>
      <c r="K956" s="22"/>
      <c r="L956" s="22"/>
      <c r="M956" s="22"/>
      <c r="N956" s="22"/>
      <c r="O956" s="145"/>
      <c r="P956" s="145"/>
      <c r="Q956" s="145"/>
      <c r="R956" s="145"/>
      <c r="S956" s="22"/>
      <c r="T956" s="145"/>
      <c r="U956" s="145"/>
      <c r="V956" s="145"/>
      <c r="W956" s="145"/>
      <c r="X956" s="53"/>
      <c r="Y956" s="74"/>
      <c r="Z956" s="145"/>
      <c r="AA956" s="145"/>
      <c r="AB956" s="145"/>
      <c r="AC956" s="146"/>
      <c r="AD956" s="145"/>
      <c r="AE956" s="145"/>
      <c r="AF956" s="145"/>
      <c r="AG956" s="145"/>
      <c r="AH956" s="146"/>
      <c r="AI956" s="145"/>
      <c r="AJ956" s="145"/>
      <c r="AK956" s="145"/>
      <c r="AL956" s="145"/>
      <c r="AM956" s="145"/>
      <c r="AN956" s="145"/>
      <c r="AO956" s="145"/>
      <c r="AP956" s="74"/>
      <c r="AQ956" s="74"/>
      <c r="AR956" s="74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</row>
    <row r="957" spans="1:85" ht="15.75" customHeight="1" x14ac:dyDescent="0.45">
      <c r="A957" s="22"/>
      <c r="B957" s="12"/>
      <c r="C957" s="12"/>
      <c r="D957" s="155"/>
      <c r="E957" s="22"/>
      <c r="F957" s="22"/>
      <c r="G957" s="12"/>
      <c r="H957" s="22"/>
      <c r="I957" s="22"/>
      <c r="J957" s="22"/>
      <c r="K957" s="22"/>
      <c r="L957" s="22"/>
      <c r="M957" s="22"/>
      <c r="N957" s="22"/>
      <c r="O957" s="145"/>
      <c r="P957" s="145"/>
      <c r="Q957" s="145"/>
      <c r="R957" s="145"/>
      <c r="S957" s="22"/>
      <c r="T957" s="145"/>
      <c r="U957" s="145"/>
      <c r="V957" s="145"/>
      <c r="W957" s="145"/>
      <c r="X957" s="53"/>
      <c r="Y957" s="74"/>
      <c r="Z957" s="145"/>
      <c r="AA957" s="145"/>
      <c r="AB957" s="145"/>
      <c r="AC957" s="146"/>
      <c r="AD957" s="145"/>
      <c r="AE957" s="145"/>
      <c r="AF957" s="145"/>
      <c r="AG957" s="145"/>
      <c r="AH957" s="146"/>
      <c r="AI957" s="145"/>
      <c r="AJ957" s="145"/>
      <c r="AK957" s="145"/>
      <c r="AL957" s="145"/>
      <c r="AM957" s="145"/>
      <c r="AN957" s="145"/>
      <c r="AO957" s="145"/>
      <c r="AP957" s="74"/>
      <c r="AQ957" s="74"/>
      <c r="AR957" s="74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</row>
    <row r="958" spans="1:85" ht="15.75" customHeight="1" x14ac:dyDescent="0.45">
      <c r="A958" s="22"/>
      <c r="B958" s="12"/>
      <c r="C958" s="12"/>
      <c r="D958" s="155"/>
      <c r="E958" s="22"/>
      <c r="F958" s="22"/>
      <c r="G958" s="12"/>
      <c r="H958" s="22"/>
      <c r="I958" s="22"/>
      <c r="J958" s="22"/>
      <c r="K958" s="22"/>
      <c r="L958" s="22"/>
      <c r="M958" s="22"/>
      <c r="N958" s="22"/>
      <c r="O958" s="145"/>
      <c r="P958" s="145"/>
      <c r="Q958" s="145"/>
      <c r="R958" s="145"/>
      <c r="S958" s="22"/>
      <c r="T958" s="145"/>
      <c r="U958" s="145"/>
      <c r="V958" s="145"/>
      <c r="W958" s="145"/>
      <c r="X958" s="53"/>
      <c r="Y958" s="74"/>
      <c r="Z958" s="145"/>
      <c r="AA958" s="145"/>
      <c r="AB958" s="145"/>
      <c r="AC958" s="146"/>
      <c r="AD958" s="145"/>
      <c r="AE958" s="145"/>
      <c r="AF958" s="145"/>
      <c r="AG958" s="145"/>
      <c r="AH958" s="146"/>
      <c r="AI958" s="145"/>
      <c r="AJ958" s="145"/>
      <c r="AK958" s="145"/>
      <c r="AL958" s="145"/>
      <c r="AM958" s="145"/>
      <c r="AN958" s="145"/>
      <c r="AO958" s="145"/>
      <c r="AP958" s="74"/>
      <c r="AQ958" s="74"/>
      <c r="AR958" s="74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</row>
    <row r="959" spans="1:85" ht="15.75" customHeight="1" x14ac:dyDescent="0.45">
      <c r="A959" s="22"/>
      <c r="B959" s="12"/>
      <c r="C959" s="12"/>
      <c r="D959" s="155"/>
      <c r="E959" s="22"/>
      <c r="F959" s="22"/>
      <c r="G959" s="12"/>
      <c r="H959" s="22"/>
      <c r="I959" s="22"/>
      <c r="J959" s="22"/>
      <c r="K959" s="22"/>
      <c r="L959" s="22"/>
      <c r="M959" s="22"/>
      <c r="N959" s="22"/>
      <c r="O959" s="145"/>
      <c r="P959" s="145"/>
      <c r="Q959" s="145"/>
      <c r="R959" s="145"/>
      <c r="S959" s="22"/>
      <c r="T959" s="145"/>
      <c r="U959" s="145"/>
      <c r="V959" s="145"/>
      <c r="W959" s="145"/>
      <c r="X959" s="53"/>
      <c r="Y959" s="74"/>
      <c r="Z959" s="145"/>
      <c r="AA959" s="145"/>
      <c r="AB959" s="145"/>
      <c r="AC959" s="146"/>
      <c r="AD959" s="145"/>
      <c r="AE959" s="145"/>
      <c r="AF959" s="145"/>
      <c r="AG959" s="145"/>
      <c r="AH959" s="146"/>
      <c r="AI959" s="145"/>
      <c r="AJ959" s="145"/>
      <c r="AK959" s="145"/>
      <c r="AL959" s="145"/>
      <c r="AM959" s="145"/>
      <c r="AN959" s="145"/>
      <c r="AO959" s="145"/>
      <c r="AP959" s="74"/>
      <c r="AQ959" s="74"/>
      <c r="AR959" s="74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</row>
    <row r="960" spans="1:85" ht="15.75" customHeight="1" x14ac:dyDescent="0.45">
      <c r="A960" s="22"/>
      <c r="B960" s="12"/>
      <c r="C960" s="12"/>
      <c r="D960" s="155"/>
      <c r="E960" s="22"/>
      <c r="F960" s="22"/>
      <c r="G960" s="12"/>
      <c r="H960" s="22"/>
      <c r="I960" s="22"/>
      <c r="J960" s="22"/>
      <c r="K960" s="22"/>
      <c r="L960" s="22"/>
      <c r="M960" s="22"/>
      <c r="N960" s="22"/>
      <c r="O960" s="145"/>
      <c r="P960" s="145"/>
      <c r="Q960" s="145"/>
      <c r="R960" s="145"/>
      <c r="S960" s="22"/>
      <c r="T960" s="145"/>
      <c r="U960" s="145"/>
      <c r="V960" s="145"/>
      <c r="W960" s="145"/>
      <c r="X960" s="53"/>
      <c r="Y960" s="74"/>
      <c r="Z960" s="145"/>
      <c r="AA960" s="145"/>
      <c r="AB960" s="145"/>
      <c r="AC960" s="146"/>
      <c r="AD960" s="145"/>
      <c r="AE960" s="145"/>
      <c r="AF960" s="145"/>
      <c r="AG960" s="145"/>
      <c r="AH960" s="146"/>
      <c r="AI960" s="145"/>
      <c r="AJ960" s="145"/>
      <c r="AK960" s="145"/>
      <c r="AL960" s="145"/>
      <c r="AM960" s="145"/>
      <c r="AN960" s="145"/>
      <c r="AO960" s="145"/>
      <c r="AP960" s="74"/>
      <c r="AQ960" s="74"/>
      <c r="AR960" s="74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</row>
    <row r="961" spans="1:85" ht="15.75" customHeight="1" x14ac:dyDescent="0.45">
      <c r="A961" s="22"/>
      <c r="B961" s="12"/>
      <c r="C961" s="12"/>
      <c r="D961" s="155"/>
      <c r="E961" s="22"/>
      <c r="F961" s="22"/>
      <c r="G961" s="12"/>
      <c r="H961" s="22"/>
      <c r="I961" s="22"/>
      <c r="J961" s="22"/>
      <c r="K961" s="22"/>
      <c r="L961" s="22"/>
      <c r="M961" s="22"/>
      <c r="N961" s="22"/>
      <c r="O961" s="145"/>
      <c r="P961" s="145"/>
      <c r="Q961" s="145"/>
      <c r="R961" s="145"/>
      <c r="S961" s="22"/>
      <c r="T961" s="145"/>
      <c r="U961" s="145"/>
      <c r="V961" s="145"/>
      <c r="W961" s="145"/>
      <c r="X961" s="53"/>
      <c r="Y961" s="74"/>
      <c r="Z961" s="145"/>
      <c r="AA961" s="145"/>
      <c r="AB961" s="145"/>
      <c r="AC961" s="146"/>
      <c r="AD961" s="145"/>
      <c r="AE961" s="145"/>
      <c r="AF961" s="145"/>
      <c r="AG961" s="145"/>
      <c r="AH961" s="146"/>
      <c r="AI961" s="145"/>
      <c r="AJ961" s="145"/>
      <c r="AK961" s="145"/>
      <c r="AL961" s="145"/>
      <c r="AM961" s="145"/>
      <c r="AN961" s="145"/>
      <c r="AO961" s="145"/>
      <c r="AP961" s="74"/>
      <c r="AQ961" s="74"/>
      <c r="AR961" s="74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</row>
    <row r="962" spans="1:85" ht="15.75" customHeight="1" x14ac:dyDescent="0.45">
      <c r="A962" s="22"/>
      <c r="B962" s="12"/>
      <c r="C962" s="12"/>
      <c r="D962" s="155"/>
      <c r="E962" s="22"/>
      <c r="F962" s="22"/>
      <c r="G962" s="12"/>
      <c r="H962" s="22"/>
      <c r="I962" s="22"/>
      <c r="J962" s="22"/>
      <c r="K962" s="22"/>
      <c r="L962" s="22"/>
      <c r="M962" s="22"/>
      <c r="N962" s="22"/>
      <c r="O962" s="145"/>
      <c r="P962" s="145"/>
      <c r="Q962" s="145"/>
      <c r="R962" s="145"/>
      <c r="S962" s="22"/>
      <c r="T962" s="145"/>
      <c r="U962" s="145"/>
      <c r="V962" s="145"/>
      <c r="W962" s="145"/>
      <c r="X962" s="53"/>
      <c r="Y962" s="74"/>
      <c r="Z962" s="145"/>
      <c r="AA962" s="145"/>
      <c r="AB962" s="145"/>
      <c r="AC962" s="146"/>
      <c r="AD962" s="145"/>
      <c r="AE962" s="145"/>
      <c r="AF962" s="145"/>
      <c r="AG962" s="145"/>
      <c r="AH962" s="146"/>
      <c r="AI962" s="145"/>
      <c r="AJ962" s="145"/>
      <c r="AK962" s="145"/>
      <c r="AL962" s="145"/>
      <c r="AM962" s="145"/>
      <c r="AN962" s="145"/>
      <c r="AO962" s="145"/>
      <c r="AP962" s="74"/>
      <c r="AQ962" s="74"/>
      <c r="AR962" s="74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</row>
    <row r="963" spans="1:85" ht="15.75" customHeight="1" x14ac:dyDescent="0.45">
      <c r="A963" s="22"/>
      <c r="B963" s="12"/>
      <c r="C963" s="12"/>
      <c r="D963" s="155"/>
      <c r="E963" s="22"/>
      <c r="F963" s="22"/>
      <c r="G963" s="12"/>
      <c r="H963" s="22"/>
      <c r="I963" s="22"/>
      <c r="J963" s="22"/>
      <c r="K963" s="22"/>
      <c r="L963" s="22"/>
      <c r="M963" s="22"/>
      <c r="N963" s="22"/>
      <c r="O963" s="145"/>
      <c r="P963" s="145"/>
      <c r="Q963" s="145"/>
      <c r="R963" s="145"/>
      <c r="S963" s="22"/>
      <c r="T963" s="145"/>
      <c r="U963" s="145"/>
      <c r="V963" s="145"/>
      <c r="W963" s="145"/>
      <c r="X963" s="53"/>
      <c r="Y963" s="74"/>
      <c r="Z963" s="145"/>
      <c r="AA963" s="145"/>
      <c r="AB963" s="145"/>
      <c r="AC963" s="146"/>
      <c r="AD963" s="145"/>
      <c r="AE963" s="145"/>
      <c r="AF963" s="145"/>
      <c r="AG963" s="145"/>
      <c r="AH963" s="146"/>
      <c r="AI963" s="145"/>
      <c r="AJ963" s="145"/>
      <c r="AK963" s="145"/>
      <c r="AL963" s="145"/>
      <c r="AM963" s="145"/>
      <c r="AN963" s="145"/>
      <c r="AO963" s="145"/>
      <c r="AP963" s="74"/>
      <c r="AQ963" s="74"/>
      <c r="AR963" s="74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</row>
    <row r="964" spans="1:85" ht="15.75" customHeight="1" x14ac:dyDescent="0.45">
      <c r="A964" s="22"/>
      <c r="B964" s="12"/>
      <c r="C964" s="12"/>
      <c r="D964" s="155"/>
      <c r="E964" s="22"/>
      <c r="F964" s="22"/>
      <c r="G964" s="12"/>
      <c r="H964" s="22"/>
      <c r="I964" s="22"/>
      <c r="J964" s="22"/>
      <c r="K964" s="22"/>
      <c r="L964" s="22"/>
      <c r="M964" s="22"/>
      <c r="N964" s="22"/>
      <c r="O964" s="145"/>
      <c r="P964" s="145"/>
      <c r="Q964" s="145"/>
      <c r="R964" s="145"/>
      <c r="S964" s="22"/>
      <c r="T964" s="145"/>
      <c r="U964" s="145"/>
      <c r="V964" s="145"/>
      <c r="W964" s="145"/>
      <c r="X964" s="53"/>
      <c r="Y964" s="74"/>
      <c r="Z964" s="145"/>
      <c r="AA964" s="145"/>
      <c r="AB964" s="145"/>
      <c r="AC964" s="146"/>
      <c r="AD964" s="145"/>
      <c r="AE964" s="145"/>
      <c r="AF964" s="145"/>
      <c r="AG964" s="145"/>
      <c r="AH964" s="146"/>
      <c r="AI964" s="145"/>
      <c r="AJ964" s="145"/>
      <c r="AK964" s="145"/>
      <c r="AL964" s="145"/>
      <c r="AM964" s="145"/>
      <c r="AN964" s="145"/>
      <c r="AO964" s="145"/>
      <c r="AP964" s="74"/>
      <c r="AQ964" s="74"/>
      <c r="AR964" s="74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</row>
    <row r="965" spans="1:85" ht="15.75" customHeight="1" x14ac:dyDescent="0.45">
      <c r="A965" s="22"/>
      <c r="B965" s="12"/>
      <c r="C965" s="12"/>
      <c r="D965" s="155"/>
      <c r="E965" s="22"/>
      <c r="F965" s="22"/>
      <c r="G965" s="12"/>
      <c r="H965" s="22"/>
      <c r="I965" s="22"/>
      <c r="J965" s="22"/>
      <c r="K965" s="22"/>
      <c r="L965" s="22"/>
      <c r="M965" s="22"/>
      <c r="N965" s="22"/>
      <c r="O965" s="145"/>
      <c r="P965" s="145"/>
      <c r="Q965" s="145"/>
      <c r="R965" s="145"/>
      <c r="S965" s="22"/>
      <c r="T965" s="145"/>
      <c r="U965" s="145"/>
      <c r="V965" s="145"/>
      <c r="W965" s="145"/>
      <c r="X965" s="53"/>
      <c r="Y965" s="74"/>
      <c r="Z965" s="145"/>
      <c r="AA965" s="145"/>
      <c r="AB965" s="145"/>
      <c r="AC965" s="146"/>
      <c r="AD965" s="145"/>
      <c r="AE965" s="145"/>
      <c r="AF965" s="145"/>
      <c r="AG965" s="145"/>
      <c r="AH965" s="146"/>
      <c r="AI965" s="145"/>
      <c r="AJ965" s="145"/>
      <c r="AK965" s="145"/>
      <c r="AL965" s="145"/>
      <c r="AM965" s="145"/>
      <c r="AN965" s="145"/>
      <c r="AO965" s="145"/>
      <c r="AP965" s="74"/>
      <c r="AQ965" s="74"/>
      <c r="AR965" s="74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</row>
    <row r="966" spans="1:85" ht="15.75" customHeight="1" x14ac:dyDescent="0.45">
      <c r="A966" s="22"/>
      <c r="B966" s="12"/>
      <c r="C966" s="12"/>
      <c r="D966" s="155"/>
      <c r="E966" s="22"/>
      <c r="F966" s="22"/>
      <c r="G966" s="12"/>
      <c r="H966" s="22"/>
      <c r="I966" s="22"/>
      <c r="J966" s="22"/>
      <c r="K966" s="22"/>
      <c r="L966" s="22"/>
      <c r="M966" s="22"/>
      <c r="N966" s="22"/>
      <c r="O966" s="145"/>
      <c r="P966" s="145"/>
      <c r="Q966" s="145"/>
      <c r="R966" s="145"/>
      <c r="S966" s="22"/>
      <c r="T966" s="145"/>
      <c r="U966" s="145"/>
      <c r="V966" s="145"/>
      <c r="W966" s="145"/>
      <c r="X966" s="53"/>
      <c r="Y966" s="74"/>
      <c r="Z966" s="145"/>
      <c r="AA966" s="145"/>
      <c r="AB966" s="145"/>
      <c r="AC966" s="146"/>
      <c r="AD966" s="145"/>
      <c r="AE966" s="145"/>
      <c r="AF966" s="145"/>
      <c r="AG966" s="145"/>
      <c r="AH966" s="146"/>
      <c r="AI966" s="145"/>
      <c r="AJ966" s="145"/>
      <c r="AK966" s="145"/>
      <c r="AL966" s="145"/>
      <c r="AM966" s="145"/>
      <c r="AN966" s="145"/>
      <c r="AO966" s="145"/>
      <c r="AP966" s="74"/>
      <c r="AQ966" s="74"/>
      <c r="AR966" s="74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</row>
    <row r="967" spans="1:85" ht="15.75" customHeight="1" x14ac:dyDescent="0.45">
      <c r="A967" s="22"/>
      <c r="B967" s="12"/>
      <c r="C967" s="12"/>
      <c r="D967" s="155"/>
      <c r="E967" s="22"/>
      <c r="F967" s="22"/>
      <c r="G967" s="12"/>
      <c r="H967" s="22"/>
      <c r="I967" s="22"/>
      <c r="J967" s="22"/>
      <c r="K967" s="22"/>
      <c r="L967" s="22"/>
      <c r="M967" s="22"/>
      <c r="N967" s="22"/>
      <c r="O967" s="145"/>
      <c r="P967" s="145"/>
      <c r="Q967" s="145"/>
      <c r="R967" s="145"/>
      <c r="S967" s="22"/>
      <c r="T967" s="145"/>
      <c r="U967" s="145"/>
      <c r="V967" s="145"/>
      <c r="W967" s="145"/>
      <c r="X967" s="53"/>
      <c r="Y967" s="74"/>
      <c r="Z967" s="145"/>
      <c r="AA967" s="145"/>
      <c r="AB967" s="145"/>
      <c r="AC967" s="146"/>
      <c r="AD967" s="145"/>
      <c r="AE967" s="145"/>
      <c r="AF967" s="145"/>
      <c r="AG967" s="145"/>
      <c r="AH967" s="146"/>
      <c r="AI967" s="145"/>
      <c r="AJ967" s="145"/>
      <c r="AK967" s="145"/>
      <c r="AL967" s="145"/>
      <c r="AM967" s="145"/>
      <c r="AN967" s="145"/>
      <c r="AO967" s="145"/>
      <c r="AP967" s="74"/>
      <c r="AQ967" s="74"/>
      <c r="AR967" s="74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</row>
    <row r="968" spans="1:85" ht="15.75" customHeight="1" x14ac:dyDescent="0.45">
      <c r="A968" s="22"/>
      <c r="B968" s="12"/>
      <c r="C968" s="12"/>
      <c r="D968" s="155"/>
      <c r="E968" s="22"/>
      <c r="F968" s="22"/>
      <c r="G968" s="12"/>
      <c r="H968" s="22"/>
      <c r="I968" s="22"/>
      <c r="J968" s="22"/>
      <c r="K968" s="22"/>
      <c r="L968" s="22"/>
      <c r="M968" s="22"/>
      <c r="N968" s="22"/>
      <c r="O968" s="145"/>
      <c r="P968" s="145"/>
      <c r="Q968" s="145"/>
      <c r="R968" s="145"/>
      <c r="S968" s="22"/>
      <c r="T968" s="145"/>
      <c r="U968" s="145"/>
      <c r="V968" s="145"/>
      <c r="W968" s="145"/>
      <c r="X968" s="53"/>
      <c r="Y968" s="74"/>
      <c r="Z968" s="145"/>
      <c r="AA968" s="145"/>
      <c r="AB968" s="145"/>
      <c r="AC968" s="146"/>
      <c r="AD968" s="145"/>
      <c r="AE968" s="145"/>
      <c r="AF968" s="145"/>
      <c r="AG968" s="145"/>
      <c r="AH968" s="146"/>
      <c r="AI968" s="145"/>
      <c r="AJ968" s="145"/>
      <c r="AK968" s="145"/>
      <c r="AL968" s="145"/>
      <c r="AM968" s="145"/>
      <c r="AN968" s="145"/>
      <c r="AO968" s="145"/>
      <c r="AP968" s="74"/>
      <c r="AQ968" s="74"/>
      <c r="AR968" s="74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</row>
    <row r="969" spans="1:85" ht="15.75" customHeight="1" x14ac:dyDescent="0.45">
      <c r="A969" s="22"/>
      <c r="B969" s="12"/>
      <c r="C969" s="12"/>
      <c r="D969" s="155"/>
      <c r="E969" s="22"/>
      <c r="F969" s="22"/>
      <c r="G969" s="12"/>
      <c r="H969" s="22"/>
      <c r="I969" s="22"/>
      <c r="J969" s="22"/>
      <c r="K969" s="22"/>
      <c r="L969" s="22"/>
      <c r="M969" s="22"/>
      <c r="N969" s="22"/>
      <c r="O969" s="145"/>
      <c r="P969" s="145"/>
      <c r="Q969" s="145"/>
      <c r="R969" s="145"/>
      <c r="S969" s="22"/>
      <c r="T969" s="145"/>
      <c r="U969" s="145"/>
      <c r="V969" s="145"/>
      <c r="W969" s="145"/>
      <c r="X969" s="53"/>
      <c r="Y969" s="74"/>
      <c r="Z969" s="145"/>
      <c r="AA969" s="145"/>
      <c r="AB969" s="145"/>
      <c r="AC969" s="146"/>
      <c r="AD969" s="145"/>
      <c r="AE969" s="145"/>
      <c r="AF969" s="145"/>
      <c r="AG969" s="145"/>
      <c r="AH969" s="146"/>
      <c r="AI969" s="145"/>
      <c r="AJ969" s="145"/>
      <c r="AK969" s="145"/>
      <c r="AL969" s="145"/>
      <c r="AM969" s="145"/>
      <c r="AN969" s="145"/>
      <c r="AO969" s="145"/>
      <c r="AP969" s="74"/>
      <c r="AQ969" s="74"/>
      <c r="AR969" s="74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</row>
    <row r="970" spans="1:85" ht="15.75" customHeight="1" x14ac:dyDescent="0.45">
      <c r="A970" s="22"/>
      <c r="B970" s="12"/>
      <c r="C970" s="12"/>
      <c r="D970" s="155"/>
      <c r="E970" s="22"/>
      <c r="F970" s="22"/>
      <c r="G970" s="12"/>
      <c r="H970" s="22"/>
      <c r="I970" s="22"/>
      <c r="J970" s="22"/>
      <c r="K970" s="22"/>
      <c r="L970" s="22"/>
      <c r="M970" s="22"/>
      <c r="N970" s="22"/>
      <c r="O970" s="145"/>
      <c r="P970" s="145"/>
      <c r="Q970" s="145"/>
      <c r="R970" s="145"/>
      <c r="S970" s="22"/>
      <c r="T970" s="145"/>
      <c r="U970" s="145"/>
      <c r="V970" s="145"/>
      <c r="W970" s="145"/>
      <c r="X970" s="53"/>
      <c r="Y970" s="74"/>
      <c r="Z970" s="145"/>
      <c r="AA970" s="145"/>
      <c r="AB970" s="145"/>
      <c r="AC970" s="146"/>
      <c r="AD970" s="145"/>
      <c r="AE970" s="145"/>
      <c r="AF970" s="145"/>
      <c r="AG970" s="145"/>
      <c r="AH970" s="146"/>
      <c r="AI970" s="145"/>
      <c r="AJ970" s="145"/>
      <c r="AK970" s="145"/>
      <c r="AL970" s="145"/>
      <c r="AM970" s="145"/>
      <c r="AN970" s="145"/>
      <c r="AO970" s="145"/>
      <c r="AP970" s="74"/>
      <c r="AQ970" s="74"/>
      <c r="AR970" s="74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</row>
    <row r="971" spans="1:85" ht="15.75" customHeight="1" x14ac:dyDescent="0.45">
      <c r="A971" s="22"/>
      <c r="B971" s="12"/>
      <c r="C971" s="12"/>
      <c r="D971" s="155"/>
      <c r="E971" s="22"/>
      <c r="F971" s="22"/>
      <c r="G971" s="12"/>
      <c r="H971" s="22"/>
      <c r="I971" s="22"/>
      <c r="J971" s="22"/>
      <c r="K971" s="22"/>
      <c r="L971" s="22"/>
      <c r="M971" s="22"/>
      <c r="N971" s="22"/>
      <c r="O971" s="145"/>
      <c r="P971" s="145"/>
      <c r="Q971" s="145"/>
      <c r="R971" s="145"/>
      <c r="S971" s="22"/>
      <c r="T971" s="145"/>
      <c r="U971" s="145"/>
      <c r="V971" s="145"/>
      <c r="W971" s="145"/>
      <c r="X971" s="53"/>
      <c r="Y971" s="74"/>
      <c r="Z971" s="145"/>
      <c r="AA971" s="145"/>
      <c r="AB971" s="145"/>
      <c r="AC971" s="146"/>
      <c r="AD971" s="145"/>
      <c r="AE971" s="145"/>
      <c r="AF971" s="145"/>
      <c r="AG971" s="145"/>
      <c r="AH971" s="146"/>
      <c r="AI971" s="145"/>
      <c r="AJ971" s="145"/>
      <c r="AK971" s="145"/>
      <c r="AL971" s="145"/>
      <c r="AM971" s="145"/>
      <c r="AN971" s="145"/>
      <c r="AO971" s="145"/>
      <c r="AP971" s="74"/>
      <c r="AQ971" s="74"/>
      <c r="AR971" s="74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</row>
    <row r="972" spans="1:85" ht="15.75" customHeight="1" x14ac:dyDescent="0.45">
      <c r="A972" s="22"/>
      <c r="B972" s="12"/>
      <c r="C972" s="12"/>
      <c r="D972" s="155"/>
      <c r="E972" s="22"/>
      <c r="F972" s="22"/>
      <c r="G972" s="12"/>
      <c r="H972" s="22"/>
      <c r="I972" s="22"/>
      <c r="J972" s="22"/>
      <c r="K972" s="22"/>
      <c r="L972" s="22"/>
      <c r="M972" s="22"/>
      <c r="N972" s="22"/>
      <c r="O972" s="145"/>
      <c r="P972" s="145"/>
      <c r="Q972" s="145"/>
      <c r="R972" s="145"/>
      <c r="S972" s="22"/>
      <c r="T972" s="145"/>
      <c r="U972" s="145"/>
      <c r="V972" s="145"/>
      <c r="W972" s="145"/>
      <c r="X972" s="53"/>
      <c r="Y972" s="74"/>
      <c r="Z972" s="145"/>
      <c r="AA972" s="145"/>
      <c r="AB972" s="145"/>
      <c r="AC972" s="146"/>
      <c r="AD972" s="145"/>
      <c r="AE972" s="145"/>
      <c r="AF972" s="145"/>
      <c r="AG972" s="145"/>
      <c r="AH972" s="146"/>
      <c r="AI972" s="145"/>
      <c r="AJ972" s="145"/>
      <c r="AK972" s="145"/>
      <c r="AL972" s="145"/>
      <c r="AM972" s="145"/>
      <c r="AN972" s="145"/>
      <c r="AO972" s="145"/>
      <c r="AP972" s="74"/>
      <c r="AQ972" s="74"/>
      <c r="AR972" s="74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</row>
    <row r="973" spans="1:85" ht="15.75" customHeight="1" x14ac:dyDescent="0.45">
      <c r="A973" s="22"/>
      <c r="B973" s="12"/>
      <c r="C973" s="12"/>
      <c r="D973" s="155"/>
      <c r="E973" s="22"/>
      <c r="F973" s="22"/>
      <c r="G973" s="12"/>
      <c r="H973" s="22"/>
      <c r="I973" s="22"/>
      <c r="J973" s="22"/>
      <c r="K973" s="22"/>
      <c r="L973" s="22"/>
      <c r="M973" s="22"/>
      <c r="N973" s="22"/>
      <c r="O973" s="145"/>
      <c r="P973" s="145"/>
      <c r="Q973" s="145"/>
      <c r="R973" s="145"/>
      <c r="S973" s="22"/>
      <c r="T973" s="145"/>
      <c r="U973" s="145"/>
      <c r="V973" s="145"/>
      <c r="W973" s="145"/>
      <c r="X973" s="53"/>
      <c r="Y973" s="74"/>
      <c r="Z973" s="145"/>
      <c r="AA973" s="145"/>
      <c r="AB973" s="145"/>
      <c r="AC973" s="146"/>
      <c r="AD973" s="145"/>
      <c r="AE973" s="145"/>
      <c r="AF973" s="145"/>
      <c r="AG973" s="145"/>
      <c r="AH973" s="146"/>
      <c r="AI973" s="145"/>
      <c r="AJ973" s="145"/>
      <c r="AK973" s="145"/>
      <c r="AL973" s="145"/>
      <c r="AM973" s="145"/>
      <c r="AN973" s="145"/>
      <c r="AO973" s="145"/>
      <c r="AP973" s="74"/>
      <c r="AQ973" s="74"/>
      <c r="AR973" s="74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</row>
    <row r="974" spans="1:85" ht="15.75" customHeight="1" x14ac:dyDescent="0.45">
      <c r="A974" s="22"/>
      <c r="B974" s="12"/>
      <c r="C974" s="12"/>
      <c r="D974" s="155"/>
      <c r="E974" s="22"/>
      <c r="F974" s="22"/>
      <c r="G974" s="12"/>
      <c r="H974" s="22"/>
      <c r="I974" s="22"/>
      <c r="J974" s="22"/>
      <c r="K974" s="22"/>
      <c r="L974" s="22"/>
      <c r="M974" s="22"/>
      <c r="N974" s="22"/>
      <c r="O974" s="145"/>
      <c r="P974" s="145"/>
      <c r="Q974" s="145"/>
      <c r="R974" s="145"/>
      <c r="S974" s="22"/>
      <c r="T974" s="145"/>
      <c r="U974" s="145"/>
      <c r="V974" s="145"/>
      <c r="W974" s="145"/>
      <c r="X974" s="53"/>
      <c r="Y974" s="74"/>
      <c r="Z974" s="145"/>
      <c r="AA974" s="145"/>
      <c r="AB974" s="145"/>
      <c r="AC974" s="146"/>
      <c r="AD974" s="145"/>
      <c r="AE974" s="145"/>
      <c r="AF974" s="145"/>
      <c r="AG974" s="145"/>
      <c r="AH974" s="146"/>
      <c r="AI974" s="145"/>
      <c r="AJ974" s="145"/>
      <c r="AK974" s="145"/>
      <c r="AL974" s="145"/>
      <c r="AM974" s="145"/>
      <c r="AN974" s="145"/>
      <c r="AO974" s="145"/>
      <c r="AP974" s="74"/>
      <c r="AQ974" s="74"/>
      <c r="AR974" s="74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</row>
    <row r="975" spans="1:85" ht="15.75" customHeight="1" x14ac:dyDescent="0.45">
      <c r="A975" s="22"/>
      <c r="B975" s="12"/>
      <c r="C975" s="12"/>
      <c r="D975" s="155"/>
      <c r="E975" s="22"/>
      <c r="F975" s="22"/>
      <c r="G975" s="12"/>
      <c r="H975" s="22"/>
      <c r="I975" s="22"/>
      <c r="J975" s="22"/>
      <c r="K975" s="22"/>
      <c r="L975" s="22"/>
      <c r="M975" s="22"/>
      <c r="N975" s="22"/>
      <c r="O975" s="145"/>
      <c r="P975" s="145"/>
      <c r="Q975" s="145"/>
      <c r="R975" s="145"/>
      <c r="S975" s="22"/>
      <c r="T975" s="145"/>
      <c r="U975" s="145"/>
      <c r="V975" s="145"/>
      <c r="W975" s="145"/>
      <c r="X975" s="53"/>
      <c r="Y975" s="74"/>
      <c r="Z975" s="145"/>
      <c r="AA975" s="145"/>
      <c r="AB975" s="145"/>
      <c r="AC975" s="146"/>
      <c r="AD975" s="145"/>
      <c r="AE975" s="145"/>
      <c r="AF975" s="145"/>
      <c r="AG975" s="145"/>
      <c r="AH975" s="146"/>
      <c r="AI975" s="145"/>
      <c r="AJ975" s="145"/>
      <c r="AK975" s="145"/>
      <c r="AL975" s="145"/>
      <c r="AM975" s="145"/>
      <c r="AN975" s="145"/>
      <c r="AO975" s="145"/>
      <c r="AP975" s="74"/>
      <c r="AQ975" s="74"/>
      <c r="AR975" s="74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</row>
    <row r="976" spans="1:85" ht="15.75" customHeight="1" x14ac:dyDescent="0.45">
      <c r="A976" s="22"/>
      <c r="B976" s="12"/>
      <c r="C976" s="12"/>
      <c r="D976" s="155"/>
      <c r="E976" s="22"/>
      <c r="F976" s="22"/>
      <c r="G976" s="12"/>
      <c r="H976" s="22"/>
      <c r="I976" s="22"/>
      <c r="J976" s="22"/>
      <c r="K976" s="22"/>
      <c r="L976" s="22"/>
      <c r="M976" s="22"/>
      <c r="N976" s="22"/>
      <c r="O976" s="145"/>
      <c r="P976" s="145"/>
      <c r="Q976" s="145"/>
      <c r="R976" s="145"/>
      <c r="S976" s="22"/>
      <c r="T976" s="145"/>
      <c r="U976" s="145"/>
      <c r="V976" s="145"/>
      <c r="W976" s="145"/>
      <c r="X976" s="53"/>
      <c r="Y976" s="74"/>
      <c r="Z976" s="145"/>
      <c r="AA976" s="145"/>
      <c r="AB976" s="145"/>
      <c r="AC976" s="146"/>
      <c r="AD976" s="145"/>
      <c r="AE976" s="145"/>
      <c r="AF976" s="145"/>
      <c r="AG976" s="145"/>
      <c r="AH976" s="146"/>
      <c r="AI976" s="145"/>
      <c r="AJ976" s="145"/>
      <c r="AK976" s="145"/>
      <c r="AL976" s="145"/>
      <c r="AM976" s="145"/>
      <c r="AN976" s="145"/>
      <c r="AO976" s="145"/>
      <c r="AP976" s="74"/>
      <c r="AQ976" s="74"/>
      <c r="AR976" s="74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</row>
    <row r="977" spans="1:85" ht="15.75" customHeight="1" x14ac:dyDescent="0.45">
      <c r="A977" s="22"/>
      <c r="B977" s="12"/>
      <c r="C977" s="12"/>
      <c r="D977" s="155"/>
      <c r="E977" s="22"/>
      <c r="F977" s="22"/>
      <c r="G977" s="12"/>
      <c r="H977" s="22"/>
      <c r="I977" s="22"/>
      <c r="J977" s="22"/>
      <c r="K977" s="22"/>
      <c r="L977" s="22"/>
      <c r="M977" s="22"/>
      <c r="N977" s="22"/>
      <c r="O977" s="145"/>
      <c r="P977" s="145"/>
      <c r="Q977" s="145"/>
      <c r="R977" s="145"/>
      <c r="S977" s="22"/>
      <c r="T977" s="145"/>
      <c r="U977" s="145"/>
      <c r="V977" s="145"/>
      <c r="W977" s="145"/>
      <c r="X977" s="53"/>
      <c r="Y977" s="74"/>
      <c r="Z977" s="145"/>
      <c r="AA977" s="145"/>
      <c r="AB977" s="145"/>
      <c r="AC977" s="146"/>
      <c r="AD977" s="145"/>
      <c r="AE977" s="145"/>
      <c r="AF977" s="145"/>
      <c r="AG977" s="145"/>
      <c r="AH977" s="146"/>
      <c r="AI977" s="145"/>
      <c r="AJ977" s="145"/>
      <c r="AK977" s="145"/>
      <c r="AL977" s="145"/>
      <c r="AM977" s="145"/>
      <c r="AN977" s="145"/>
      <c r="AO977" s="145"/>
      <c r="AP977" s="74"/>
      <c r="AQ977" s="74"/>
      <c r="AR977" s="74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</row>
    <row r="978" spans="1:85" ht="15.75" customHeight="1" x14ac:dyDescent="0.45">
      <c r="A978" s="22"/>
      <c r="B978" s="12"/>
      <c r="C978" s="12"/>
      <c r="D978" s="155"/>
      <c r="E978" s="22"/>
      <c r="F978" s="22"/>
      <c r="G978" s="12"/>
      <c r="H978" s="22"/>
      <c r="I978" s="22"/>
      <c r="J978" s="22"/>
      <c r="K978" s="22"/>
      <c r="L978" s="22"/>
      <c r="M978" s="22"/>
      <c r="N978" s="22"/>
      <c r="O978" s="145"/>
      <c r="P978" s="145"/>
      <c r="Q978" s="145"/>
      <c r="R978" s="145"/>
      <c r="S978" s="22"/>
      <c r="T978" s="145"/>
      <c r="U978" s="145"/>
      <c r="V978" s="145"/>
      <c r="W978" s="145"/>
      <c r="X978" s="53"/>
      <c r="Y978" s="74"/>
      <c r="Z978" s="145"/>
      <c r="AA978" s="145"/>
      <c r="AB978" s="145"/>
      <c r="AC978" s="146"/>
      <c r="AD978" s="145"/>
      <c r="AE978" s="145"/>
      <c r="AF978" s="145"/>
      <c r="AG978" s="145"/>
      <c r="AH978" s="146"/>
      <c r="AI978" s="145"/>
      <c r="AJ978" s="145"/>
      <c r="AK978" s="145"/>
      <c r="AL978" s="145"/>
      <c r="AM978" s="145"/>
      <c r="AN978" s="145"/>
      <c r="AO978" s="145"/>
      <c r="AP978" s="74"/>
      <c r="AQ978" s="74"/>
      <c r="AR978" s="74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</row>
    <row r="979" spans="1:85" ht="15.75" customHeight="1" x14ac:dyDescent="0.45">
      <c r="A979" s="22"/>
      <c r="B979" s="12"/>
      <c r="C979" s="12"/>
      <c r="D979" s="155"/>
      <c r="E979" s="22"/>
      <c r="F979" s="22"/>
      <c r="G979" s="12"/>
      <c r="H979" s="22"/>
      <c r="I979" s="22"/>
      <c r="J979" s="22"/>
      <c r="K979" s="22"/>
      <c r="L979" s="22"/>
      <c r="M979" s="22"/>
      <c r="N979" s="22"/>
      <c r="O979" s="145"/>
      <c r="P979" s="145"/>
      <c r="Q979" s="145"/>
      <c r="R979" s="145"/>
      <c r="S979" s="22"/>
      <c r="T979" s="145"/>
      <c r="U979" s="145"/>
      <c r="V979" s="145"/>
      <c r="W979" s="145"/>
      <c r="X979" s="53"/>
      <c r="Y979" s="74"/>
      <c r="Z979" s="145"/>
      <c r="AA979" s="145"/>
      <c r="AB979" s="145"/>
      <c r="AC979" s="146"/>
      <c r="AD979" s="145"/>
      <c r="AE979" s="145"/>
      <c r="AF979" s="145"/>
      <c r="AG979" s="145"/>
      <c r="AH979" s="146"/>
      <c r="AI979" s="145"/>
      <c r="AJ979" s="145"/>
      <c r="AK979" s="145"/>
      <c r="AL979" s="145"/>
      <c r="AM979" s="145"/>
      <c r="AN979" s="145"/>
      <c r="AO979" s="145"/>
      <c r="AP979" s="74"/>
      <c r="AQ979" s="74"/>
      <c r="AR979" s="74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</row>
    <row r="980" spans="1:85" ht="15.75" customHeight="1" x14ac:dyDescent="0.45">
      <c r="A980" s="22"/>
      <c r="B980" s="12"/>
      <c r="C980" s="12"/>
      <c r="D980" s="155"/>
      <c r="E980" s="22"/>
      <c r="F980" s="22"/>
      <c r="G980" s="12"/>
      <c r="H980" s="22"/>
      <c r="I980" s="22"/>
      <c r="J980" s="22"/>
      <c r="K980" s="22"/>
      <c r="L980" s="22"/>
      <c r="M980" s="22"/>
      <c r="N980" s="22"/>
      <c r="O980" s="145"/>
      <c r="P980" s="145"/>
      <c r="Q980" s="145"/>
      <c r="R980" s="145"/>
      <c r="S980" s="22"/>
      <c r="T980" s="145"/>
      <c r="U980" s="145"/>
      <c r="V980" s="145"/>
      <c r="W980" s="145"/>
      <c r="X980" s="53"/>
      <c r="Y980" s="74"/>
      <c r="Z980" s="145"/>
      <c r="AA980" s="145"/>
      <c r="AB980" s="145"/>
      <c r="AC980" s="146"/>
      <c r="AD980" s="145"/>
      <c r="AE980" s="145"/>
      <c r="AF980" s="145"/>
      <c r="AG980" s="145"/>
      <c r="AH980" s="146"/>
      <c r="AI980" s="145"/>
      <c r="AJ980" s="145"/>
      <c r="AK980" s="145"/>
      <c r="AL980" s="145"/>
      <c r="AM980" s="145"/>
      <c r="AN980" s="145"/>
      <c r="AO980" s="145"/>
      <c r="AP980" s="74"/>
      <c r="AQ980" s="74"/>
      <c r="AR980" s="74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</row>
    <row r="981" spans="1:85" ht="15.75" customHeight="1" x14ac:dyDescent="0.45">
      <c r="A981" s="22"/>
      <c r="B981" s="12"/>
      <c r="C981" s="12"/>
      <c r="D981" s="155"/>
      <c r="E981" s="22"/>
      <c r="F981" s="22"/>
      <c r="G981" s="12"/>
      <c r="H981" s="22"/>
      <c r="I981" s="22"/>
      <c r="J981" s="22"/>
      <c r="K981" s="22"/>
      <c r="L981" s="22"/>
      <c r="M981" s="22"/>
      <c r="N981" s="22"/>
      <c r="O981" s="145"/>
      <c r="P981" s="145"/>
      <c r="Q981" s="145"/>
      <c r="R981" s="145"/>
      <c r="S981" s="22"/>
      <c r="T981" s="145"/>
      <c r="U981" s="145"/>
      <c r="V981" s="145"/>
      <c r="W981" s="145"/>
      <c r="X981" s="53"/>
      <c r="Y981" s="74"/>
      <c r="Z981" s="145"/>
      <c r="AA981" s="145"/>
      <c r="AB981" s="145"/>
      <c r="AC981" s="146"/>
      <c r="AD981" s="145"/>
      <c r="AE981" s="145"/>
      <c r="AF981" s="145"/>
      <c r="AG981" s="145"/>
      <c r="AH981" s="146"/>
      <c r="AI981" s="145"/>
      <c r="AJ981" s="145"/>
      <c r="AK981" s="145"/>
      <c r="AL981" s="145"/>
      <c r="AM981" s="145"/>
      <c r="AN981" s="145"/>
      <c r="AO981" s="145"/>
      <c r="AP981" s="74"/>
      <c r="AQ981" s="74"/>
      <c r="AR981" s="74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</row>
    <row r="982" spans="1:85" ht="15.75" customHeight="1" x14ac:dyDescent="0.45">
      <c r="A982" s="22"/>
      <c r="B982" s="12"/>
      <c r="C982" s="12"/>
      <c r="D982" s="155"/>
      <c r="E982" s="22"/>
      <c r="F982" s="22"/>
      <c r="G982" s="12"/>
      <c r="H982" s="22"/>
      <c r="I982" s="22"/>
      <c r="J982" s="22"/>
      <c r="K982" s="22"/>
      <c r="L982" s="22"/>
      <c r="M982" s="22"/>
      <c r="N982" s="22"/>
      <c r="O982" s="145"/>
      <c r="P982" s="145"/>
      <c r="Q982" s="145"/>
      <c r="R982" s="145"/>
      <c r="S982" s="22"/>
      <c r="T982" s="145"/>
      <c r="U982" s="145"/>
      <c r="V982" s="145"/>
      <c r="W982" s="145"/>
      <c r="X982" s="53"/>
      <c r="Y982" s="74"/>
      <c r="Z982" s="145"/>
      <c r="AA982" s="145"/>
      <c r="AB982" s="145"/>
      <c r="AC982" s="146"/>
      <c r="AD982" s="145"/>
      <c r="AE982" s="145"/>
      <c r="AF982" s="145"/>
      <c r="AG982" s="145"/>
      <c r="AH982" s="146"/>
      <c r="AI982" s="145"/>
      <c r="AJ982" s="145"/>
      <c r="AK982" s="145"/>
      <c r="AL982" s="145"/>
      <c r="AM982" s="145"/>
      <c r="AN982" s="145"/>
      <c r="AO982" s="145"/>
      <c r="AP982" s="74"/>
      <c r="AQ982" s="74"/>
      <c r="AR982" s="74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</row>
    <row r="983" spans="1:85" ht="15.75" customHeight="1" x14ac:dyDescent="0.45">
      <c r="A983" s="22"/>
      <c r="B983" s="12"/>
      <c r="C983" s="12"/>
      <c r="D983" s="155"/>
      <c r="E983" s="22"/>
      <c r="F983" s="22"/>
      <c r="G983" s="12"/>
      <c r="H983" s="22"/>
      <c r="I983" s="22"/>
      <c r="J983" s="22"/>
      <c r="K983" s="22"/>
      <c r="L983" s="22"/>
      <c r="M983" s="22"/>
      <c r="N983" s="22"/>
      <c r="O983" s="145"/>
      <c r="P983" s="145"/>
      <c r="Q983" s="145"/>
      <c r="R983" s="145"/>
      <c r="S983" s="22"/>
      <c r="T983" s="145"/>
      <c r="U983" s="145"/>
      <c r="V983" s="145"/>
      <c r="W983" s="145"/>
      <c r="X983" s="53"/>
      <c r="Y983" s="74"/>
      <c r="Z983" s="145"/>
      <c r="AA983" s="145"/>
      <c r="AB983" s="145"/>
      <c r="AC983" s="146"/>
      <c r="AD983" s="145"/>
      <c r="AE983" s="145"/>
      <c r="AF983" s="145"/>
      <c r="AG983" s="145"/>
      <c r="AH983" s="146"/>
      <c r="AI983" s="145"/>
      <c r="AJ983" s="145"/>
      <c r="AK983" s="145"/>
      <c r="AL983" s="145"/>
      <c r="AM983" s="145"/>
      <c r="AN983" s="145"/>
      <c r="AO983" s="145"/>
      <c r="AP983" s="74"/>
      <c r="AQ983" s="74"/>
      <c r="AR983" s="74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</row>
    <row r="984" spans="1:85" ht="15.75" customHeight="1" x14ac:dyDescent="0.45">
      <c r="A984" s="22"/>
      <c r="B984" s="12"/>
      <c r="C984" s="12"/>
      <c r="D984" s="155"/>
      <c r="E984" s="22"/>
      <c r="F984" s="22"/>
      <c r="G984" s="12"/>
      <c r="H984" s="22"/>
      <c r="I984" s="22"/>
      <c r="J984" s="22"/>
      <c r="K984" s="22"/>
      <c r="L984" s="22"/>
      <c r="M984" s="22"/>
      <c r="N984" s="22"/>
      <c r="O984" s="145"/>
      <c r="P984" s="145"/>
      <c r="Q984" s="145"/>
      <c r="R984" s="145"/>
      <c r="S984" s="22"/>
      <c r="T984" s="145"/>
      <c r="U984" s="145"/>
      <c r="V984" s="145"/>
      <c r="W984" s="145"/>
      <c r="X984" s="53"/>
      <c r="Y984" s="74"/>
      <c r="Z984" s="145"/>
      <c r="AA984" s="145"/>
      <c r="AB984" s="145"/>
      <c r="AC984" s="146"/>
      <c r="AD984" s="145"/>
      <c r="AE984" s="145"/>
      <c r="AF984" s="145"/>
      <c r="AG984" s="145"/>
      <c r="AH984" s="146"/>
      <c r="AI984" s="145"/>
      <c r="AJ984" s="145"/>
      <c r="AK984" s="145"/>
      <c r="AL984" s="145"/>
      <c r="AM984" s="145"/>
      <c r="AN984" s="145"/>
      <c r="AO984" s="145"/>
      <c r="AP984" s="74"/>
      <c r="AQ984" s="74"/>
      <c r="AR984" s="74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</row>
    <row r="985" spans="1:85" ht="15.75" customHeight="1" x14ac:dyDescent="0.45">
      <c r="A985" s="22"/>
      <c r="B985" s="12"/>
      <c r="C985" s="12"/>
      <c r="D985" s="155"/>
      <c r="E985" s="22"/>
      <c r="F985" s="22"/>
      <c r="G985" s="12"/>
      <c r="H985" s="22"/>
      <c r="I985" s="22"/>
      <c r="J985" s="22"/>
      <c r="K985" s="22"/>
      <c r="L985" s="22"/>
      <c r="M985" s="22"/>
      <c r="N985" s="22"/>
      <c r="O985" s="145"/>
      <c r="P985" s="145"/>
      <c r="Q985" s="145"/>
      <c r="R985" s="145"/>
      <c r="S985" s="22"/>
      <c r="T985" s="145"/>
      <c r="U985" s="145"/>
      <c r="V985" s="145"/>
      <c r="W985" s="145"/>
      <c r="X985" s="53"/>
      <c r="Y985" s="74"/>
      <c r="Z985" s="145"/>
      <c r="AA985" s="145"/>
      <c r="AB985" s="145"/>
      <c r="AC985" s="146"/>
      <c r="AD985" s="145"/>
      <c r="AE985" s="145"/>
      <c r="AF985" s="145"/>
      <c r="AG985" s="145"/>
      <c r="AH985" s="146"/>
      <c r="AI985" s="145"/>
      <c r="AJ985" s="145"/>
      <c r="AK985" s="145"/>
      <c r="AL985" s="145"/>
      <c r="AM985" s="145"/>
      <c r="AN985" s="145"/>
      <c r="AO985" s="145"/>
      <c r="AP985" s="74"/>
      <c r="AQ985" s="74"/>
      <c r="AR985" s="74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</row>
    <row r="986" spans="1:85" ht="15.75" customHeight="1" x14ac:dyDescent="0.45">
      <c r="A986" s="22"/>
      <c r="B986" s="12"/>
      <c r="C986" s="12"/>
      <c r="D986" s="155"/>
      <c r="E986" s="22"/>
      <c r="F986" s="22"/>
      <c r="G986" s="12"/>
      <c r="H986" s="22"/>
      <c r="I986" s="22"/>
      <c r="J986" s="22"/>
      <c r="K986" s="22"/>
      <c r="L986" s="22"/>
      <c r="M986" s="22"/>
      <c r="N986" s="22"/>
      <c r="O986" s="145"/>
      <c r="P986" s="145"/>
      <c r="Q986" s="145"/>
      <c r="R986" s="145"/>
      <c r="S986" s="22"/>
      <c r="T986" s="145"/>
      <c r="U986" s="145"/>
      <c r="V986" s="145"/>
      <c r="W986" s="145"/>
      <c r="X986" s="53"/>
      <c r="Y986" s="74"/>
      <c r="Z986" s="145"/>
      <c r="AA986" s="145"/>
      <c r="AB986" s="145"/>
      <c r="AC986" s="146"/>
      <c r="AD986" s="145"/>
      <c r="AE986" s="145"/>
      <c r="AF986" s="145"/>
      <c r="AG986" s="145"/>
      <c r="AH986" s="146"/>
      <c r="AI986" s="145"/>
      <c r="AJ986" s="145"/>
      <c r="AK986" s="145"/>
      <c r="AL986" s="145"/>
      <c r="AM986" s="145"/>
      <c r="AN986" s="145"/>
      <c r="AO986" s="145"/>
      <c r="AP986" s="74"/>
      <c r="AQ986" s="74"/>
      <c r="AR986" s="74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</row>
    <row r="987" spans="1:85" ht="15.75" customHeight="1" x14ac:dyDescent="0.45">
      <c r="A987" s="22"/>
      <c r="B987" s="12"/>
      <c r="C987" s="12"/>
      <c r="D987" s="155"/>
      <c r="E987" s="22"/>
      <c r="F987" s="22"/>
      <c r="G987" s="12"/>
      <c r="H987" s="22"/>
      <c r="I987" s="22"/>
      <c r="J987" s="22"/>
      <c r="K987" s="22"/>
      <c r="L987" s="22"/>
      <c r="M987" s="22"/>
      <c r="N987" s="22"/>
      <c r="O987" s="145"/>
      <c r="P987" s="145"/>
      <c r="Q987" s="145"/>
      <c r="R987" s="145"/>
      <c r="S987" s="22"/>
      <c r="T987" s="145"/>
      <c r="U987" s="145"/>
      <c r="V987" s="145"/>
      <c r="W987" s="145"/>
      <c r="X987" s="53"/>
      <c r="Y987" s="74"/>
      <c r="Z987" s="145"/>
      <c r="AA987" s="145"/>
      <c r="AB987" s="145"/>
      <c r="AC987" s="146"/>
      <c r="AD987" s="145"/>
      <c r="AE987" s="145"/>
      <c r="AF987" s="145"/>
      <c r="AG987" s="145"/>
      <c r="AH987" s="146"/>
      <c r="AI987" s="145"/>
      <c r="AJ987" s="145"/>
      <c r="AK987" s="145"/>
      <c r="AL987" s="145"/>
      <c r="AM987" s="145"/>
      <c r="AN987" s="145"/>
      <c r="AO987" s="145"/>
      <c r="AP987" s="74"/>
      <c r="AQ987" s="74"/>
      <c r="AR987" s="74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</row>
    <row r="988" spans="1:85" ht="15.75" customHeight="1" x14ac:dyDescent="0.45">
      <c r="A988" s="22"/>
      <c r="B988" s="12"/>
      <c r="C988" s="12"/>
      <c r="D988" s="155"/>
      <c r="E988" s="22"/>
      <c r="F988" s="22"/>
      <c r="G988" s="12"/>
      <c r="H988" s="22"/>
      <c r="I988" s="22"/>
      <c r="J988" s="22"/>
      <c r="K988" s="22"/>
      <c r="L988" s="22"/>
      <c r="M988" s="22"/>
      <c r="N988" s="22"/>
      <c r="O988" s="145"/>
      <c r="P988" s="145"/>
      <c r="Q988" s="145"/>
      <c r="R988" s="145"/>
      <c r="S988" s="22"/>
      <c r="T988" s="145"/>
      <c r="U988" s="145"/>
      <c r="V988" s="145"/>
      <c r="W988" s="145"/>
      <c r="X988" s="53"/>
      <c r="Y988" s="74"/>
      <c r="Z988" s="145"/>
      <c r="AA988" s="145"/>
      <c r="AB988" s="145"/>
      <c r="AC988" s="146"/>
      <c r="AD988" s="145"/>
      <c r="AE988" s="145"/>
      <c r="AF988" s="145"/>
      <c r="AG988" s="145"/>
      <c r="AH988" s="146"/>
      <c r="AI988" s="145"/>
      <c r="AJ988" s="145"/>
      <c r="AK988" s="145"/>
      <c r="AL988" s="145"/>
      <c r="AM988" s="145"/>
      <c r="AN988" s="145"/>
      <c r="AO988" s="145"/>
      <c r="AP988" s="74"/>
      <c r="AQ988" s="74"/>
      <c r="AR988" s="74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</row>
    <row r="989" spans="1:85" ht="15.75" customHeight="1" x14ac:dyDescent="0.45">
      <c r="A989" s="22"/>
      <c r="B989" s="12"/>
      <c r="C989" s="12"/>
      <c r="D989" s="155"/>
      <c r="E989" s="22"/>
      <c r="F989" s="22"/>
      <c r="G989" s="12"/>
      <c r="H989" s="22"/>
      <c r="I989" s="22"/>
      <c r="J989" s="22"/>
      <c r="K989" s="22"/>
      <c r="L989" s="22"/>
      <c r="M989" s="22"/>
      <c r="N989" s="22"/>
      <c r="O989" s="145"/>
      <c r="P989" s="145"/>
      <c r="Q989" s="145"/>
      <c r="R989" s="145"/>
      <c r="S989" s="22"/>
      <c r="T989" s="145"/>
      <c r="U989" s="145"/>
      <c r="V989" s="145"/>
      <c r="W989" s="145"/>
      <c r="X989" s="53"/>
      <c r="Y989" s="74"/>
      <c r="Z989" s="145"/>
      <c r="AA989" s="145"/>
      <c r="AB989" s="145"/>
      <c r="AC989" s="146"/>
      <c r="AD989" s="145"/>
      <c r="AE989" s="145"/>
      <c r="AF989" s="145"/>
      <c r="AG989" s="145"/>
      <c r="AH989" s="146"/>
      <c r="AI989" s="145"/>
      <c r="AJ989" s="145"/>
      <c r="AK989" s="145"/>
      <c r="AL989" s="145"/>
      <c r="AM989" s="145"/>
      <c r="AN989" s="145"/>
      <c r="AO989" s="145"/>
      <c r="AP989" s="74"/>
      <c r="AQ989" s="74"/>
      <c r="AR989" s="74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</row>
    <row r="990" spans="1:85" ht="15.75" customHeight="1" x14ac:dyDescent="0.45">
      <c r="A990" s="22"/>
      <c r="B990" s="12"/>
      <c r="C990" s="12"/>
      <c r="D990" s="155"/>
      <c r="E990" s="22"/>
      <c r="F990" s="22"/>
      <c r="G990" s="12"/>
      <c r="H990" s="22"/>
      <c r="I990" s="22"/>
      <c r="J990" s="22"/>
      <c r="K990" s="22"/>
      <c r="L990" s="22"/>
      <c r="M990" s="22"/>
      <c r="N990" s="22"/>
      <c r="O990" s="145"/>
      <c r="P990" s="145"/>
      <c r="Q990" s="145"/>
      <c r="R990" s="145"/>
      <c r="S990" s="22"/>
      <c r="T990" s="145"/>
      <c r="U990" s="145"/>
      <c r="V990" s="145"/>
      <c r="W990" s="145"/>
      <c r="X990" s="53"/>
      <c r="Y990" s="74"/>
      <c r="Z990" s="145"/>
      <c r="AA990" s="145"/>
      <c r="AB990" s="145"/>
      <c r="AC990" s="146"/>
      <c r="AD990" s="145"/>
      <c r="AE990" s="145"/>
      <c r="AF990" s="145"/>
      <c r="AG990" s="145"/>
      <c r="AH990" s="146"/>
      <c r="AI990" s="145"/>
      <c r="AJ990" s="145"/>
      <c r="AK990" s="145"/>
      <c r="AL990" s="145"/>
      <c r="AM990" s="145"/>
      <c r="AN990" s="145"/>
      <c r="AO990" s="145"/>
      <c r="AP990" s="74"/>
      <c r="AQ990" s="74"/>
      <c r="AR990" s="74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</row>
    <row r="991" spans="1:85" ht="15.75" customHeight="1" x14ac:dyDescent="0.45">
      <c r="A991" s="22"/>
      <c r="B991" s="12"/>
      <c r="C991" s="12"/>
      <c r="D991" s="155"/>
      <c r="E991" s="22"/>
      <c r="F991" s="22"/>
      <c r="G991" s="12"/>
      <c r="H991" s="22"/>
      <c r="I991" s="22"/>
      <c r="J991" s="22"/>
      <c r="K991" s="22"/>
      <c r="L991" s="22"/>
      <c r="M991" s="22"/>
      <c r="N991" s="22"/>
      <c r="O991" s="145"/>
      <c r="P991" s="145"/>
      <c r="Q991" s="145"/>
      <c r="R991" s="145"/>
      <c r="S991" s="22"/>
      <c r="T991" s="145"/>
      <c r="U991" s="145"/>
      <c r="V991" s="145"/>
      <c r="W991" s="145"/>
      <c r="X991" s="53"/>
      <c r="Y991" s="74"/>
      <c r="Z991" s="145"/>
      <c r="AA991" s="145"/>
      <c r="AB991" s="145"/>
      <c r="AC991" s="146"/>
      <c r="AD991" s="145"/>
      <c r="AE991" s="145"/>
      <c r="AF991" s="145"/>
      <c r="AG991" s="145"/>
      <c r="AH991" s="146"/>
      <c r="AI991" s="145"/>
      <c r="AJ991" s="145"/>
      <c r="AK991" s="145"/>
      <c r="AL991" s="145"/>
      <c r="AM991" s="145"/>
      <c r="AN991" s="145"/>
      <c r="AO991" s="145"/>
      <c r="AP991" s="74"/>
      <c r="AQ991" s="74"/>
      <c r="AR991" s="74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</row>
    <row r="992" spans="1:85" ht="15.75" customHeight="1" x14ac:dyDescent="0.45">
      <c r="A992" s="22"/>
      <c r="B992" s="12"/>
      <c r="C992" s="12"/>
      <c r="D992" s="155"/>
      <c r="E992" s="22"/>
      <c r="F992" s="22"/>
      <c r="G992" s="12"/>
      <c r="H992" s="22"/>
      <c r="I992" s="22"/>
      <c r="J992" s="22"/>
      <c r="K992" s="22"/>
      <c r="L992" s="22"/>
      <c r="M992" s="22"/>
      <c r="N992" s="22"/>
      <c r="O992" s="145"/>
      <c r="P992" s="145"/>
      <c r="Q992" s="145"/>
      <c r="R992" s="145"/>
      <c r="S992" s="22"/>
      <c r="T992" s="145"/>
      <c r="U992" s="145"/>
      <c r="V992" s="145"/>
      <c r="W992" s="145"/>
      <c r="X992" s="53"/>
      <c r="Y992" s="74"/>
      <c r="Z992" s="145"/>
      <c r="AA992" s="145"/>
      <c r="AB992" s="145"/>
      <c r="AC992" s="146"/>
      <c r="AD992" s="145"/>
      <c r="AE992" s="145"/>
      <c r="AF992" s="145"/>
      <c r="AG992" s="145"/>
      <c r="AH992" s="146"/>
      <c r="AI992" s="145"/>
      <c r="AJ992" s="145"/>
      <c r="AK992" s="145"/>
      <c r="AL992" s="145"/>
      <c r="AM992" s="145"/>
      <c r="AN992" s="145"/>
      <c r="AO992" s="145"/>
      <c r="AP992" s="74"/>
      <c r="AQ992" s="74"/>
      <c r="AR992" s="74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</row>
    <row r="993" spans="1:85" ht="15.75" customHeight="1" x14ac:dyDescent="0.45">
      <c r="A993" s="22"/>
      <c r="B993" s="12"/>
      <c r="C993" s="12"/>
      <c r="D993" s="155"/>
      <c r="E993" s="22"/>
      <c r="F993" s="22"/>
      <c r="G993" s="12"/>
      <c r="H993" s="22"/>
      <c r="I993" s="22"/>
      <c r="J993" s="22"/>
      <c r="K993" s="22"/>
      <c r="L993" s="22"/>
      <c r="M993" s="22"/>
      <c r="N993" s="22"/>
      <c r="O993" s="145"/>
      <c r="P993" s="145"/>
      <c r="Q993" s="145"/>
      <c r="R993" s="145"/>
      <c r="S993" s="22"/>
      <c r="T993" s="145"/>
      <c r="U993" s="145"/>
      <c r="V993" s="145"/>
      <c r="W993" s="145"/>
      <c r="X993" s="53"/>
      <c r="Y993" s="74"/>
      <c r="Z993" s="145"/>
      <c r="AA993" s="145"/>
      <c r="AB993" s="145"/>
      <c r="AC993" s="146"/>
      <c r="AD993" s="145"/>
      <c r="AE993" s="145"/>
      <c r="AF993" s="145"/>
      <c r="AG993" s="145"/>
      <c r="AH993" s="146"/>
      <c r="AI993" s="145"/>
      <c r="AJ993" s="145"/>
      <c r="AK993" s="145"/>
      <c r="AL993" s="145"/>
      <c r="AM993" s="145"/>
      <c r="AN993" s="145"/>
      <c r="AO993" s="145"/>
      <c r="AP993" s="74"/>
      <c r="AQ993" s="74"/>
      <c r="AR993" s="74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</row>
    <row r="994" spans="1:85" ht="15.75" customHeight="1" x14ac:dyDescent="0.45">
      <c r="A994" s="22"/>
      <c r="B994" s="12"/>
      <c r="C994" s="12"/>
      <c r="D994" s="155"/>
      <c r="E994" s="22"/>
      <c r="F994" s="22"/>
      <c r="G994" s="12"/>
      <c r="H994" s="22"/>
      <c r="I994" s="22"/>
      <c r="J994" s="22"/>
      <c r="K994" s="22"/>
      <c r="L994" s="22"/>
      <c r="M994" s="22"/>
      <c r="N994" s="22"/>
      <c r="O994" s="145"/>
      <c r="P994" s="145"/>
      <c r="Q994" s="145"/>
      <c r="R994" s="145"/>
      <c r="S994" s="22"/>
      <c r="T994" s="145"/>
      <c r="U994" s="145"/>
      <c r="V994" s="145"/>
      <c r="W994" s="145"/>
      <c r="X994" s="53"/>
      <c r="Y994" s="74"/>
      <c r="Z994" s="145"/>
      <c r="AA994" s="145"/>
      <c r="AB994" s="145"/>
      <c r="AC994" s="146"/>
      <c r="AD994" s="145"/>
      <c r="AE994" s="145"/>
      <c r="AF994" s="145"/>
      <c r="AG994" s="145"/>
      <c r="AH994" s="146"/>
      <c r="AI994" s="145"/>
      <c r="AJ994" s="145"/>
      <c r="AK994" s="145"/>
      <c r="AL994" s="145"/>
      <c r="AM994" s="145"/>
      <c r="AN994" s="145"/>
      <c r="AO994" s="145"/>
      <c r="AP994" s="74"/>
      <c r="AQ994" s="74"/>
      <c r="AR994" s="74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</row>
    <row r="995" spans="1:85" ht="15.75" customHeight="1" x14ac:dyDescent="0.45">
      <c r="A995" s="22"/>
      <c r="B995" s="12"/>
      <c r="C995" s="12"/>
      <c r="D995" s="155"/>
      <c r="E995" s="22"/>
      <c r="F995" s="22"/>
      <c r="G995" s="12"/>
      <c r="H995" s="22"/>
      <c r="I995" s="22"/>
      <c r="J995" s="22"/>
      <c r="K995" s="22"/>
      <c r="L995" s="22"/>
      <c r="M995" s="22"/>
      <c r="N995" s="22"/>
      <c r="O995" s="145"/>
      <c r="P995" s="145"/>
      <c r="Q995" s="145"/>
      <c r="R995" s="145"/>
      <c r="S995" s="22"/>
      <c r="T995" s="145"/>
      <c r="U995" s="145"/>
      <c r="V995" s="145"/>
      <c r="W995" s="145"/>
      <c r="X995" s="53"/>
      <c r="Y995" s="74"/>
      <c r="Z995" s="145"/>
      <c r="AA995" s="145"/>
      <c r="AB995" s="145"/>
      <c r="AC995" s="146"/>
      <c r="AD995" s="145"/>
      <c r="AE995" s="145"/>
      <c r="AF995" s="145"/>
      <c r="AG995" s="145"/>
      <c r="AH995" s="146"/>
      <c r="AI995" s="145"/>
      <c r="AJ995" s="145"/>
      <c r="AK995" s="145"/>
      <c r="AL995" s="145"/>
      <c r="AM995" s="145"/>
      <c r="AN995" s="145"/>
      <c r="AO995" s="145"/>
      <c r="AP995" s="74"/>
      <c r="AQ995" s="74"/>
      <c r="AR995" s="74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</row>
    <row r="996" spans="1:85" ht="15.75" customHeight="1" x14ac:dyDescent="0.45">
      <c r="A996" s="22"/>
      <c r="B996" s="12"/>
      <c r="C996" s="12"/>
      <c r="D996" s="155"/>
      <c r="E996" s="22"/>
      <c r="F996" s="22"/>
      <c r="G996" s="12"/>
      <c r="H996" s="22"/>
      <c r="I996" s="22"/>
      <c r="J996" s="22"/>
      <c r="K996" s="22"/>
      <c r="L996" s="22"/>
      <c r="M996" s="22"/>
      <c r="N996" s="22"/>
      <c r="O996" s="145"/>
      <c r="P996" s="145"/>
      <c r="Q996" s="145"/>
      <c r="R996" s="145"/>
      <c r="S996" s="22"/>
      <c r="T996" s="145"/>
      <c r="U996" s="145"/>
      <c r="V996" s="145"/>
      <c r="W996" s="145"/>
      <c r="X996" s="53"/>
      <c r="Y996" s="74"/>
      <c r="Z996" s="145"/>
      <c r="AA996" s="145"/>
      <c r="AB996" s="145"/>
      <c r="AC996" s="146"/>
      <c r="AD996" s="145"/>
      <c r="AE996" s="145"/>
      <c r="AF996" s="145"/>
      <c r="AG996" s="145"/>
      <c r="AH996" s="146"/>
      <c r="AI996" s="145"/>
      <c r="AJ996" s="145"/>
      <c r="AK996" s="145"/>
      <c r="AL996" s="145"/>
      <c r="AM996" s="145"/>
      <c r="AN996" s="145"/>
      <c r="AO996" s="145"/>
      <c r="AP996" s="74"/>
      <c r="AQ996" s="74"/>
      <c r="AR996" s="74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</row>
    <row r="997" spans="1:85" ht="15.75" customHeight="1" x14ac:dyDescent="0.45">
      <c r="A997" s="22"/>
      <c r="B997" s="12"/>
      <c r="C997" s="12"/>
      <c r="D997" s="155"/>
      <c r="E997" s="22"/>
      <c r="F997" s="22"/>
      <c r="G997" s="12"/>
      <c r="H997" s="22"/>
      <c r="I997" s="22"/>
      <c r="J997" s="22"/>
      <c r="K997" s="22"/>
      <c r="L997" s="22"/>
      <c r="M997" s="22"/>
      <c r="N997" s="22"/>
      <c r="O997" s="145"/>
      <c r="P997" s="145"/>
      <c r="Q997" s="145"/>
      <c r="R997" s="145"/>
      <c r="S997" s="22"/>
      <c r="T997" s="145"/>
      <c r="U997" s="145"/>
      <c r="V997" s="145"/>
      <c r="W997" s="145"/>
      <c r="X997" s="53"/>
      <c r="Y997" s="74"/>
      <c r="Z997" s="145"/>
      <c r="AA997" s="145"/>
      <c r="AB997" s="145"/>
      <c r="AC997" s="146"/>
      <c r="AD997" s="145"/>
      <c r="AE997" s="145"/>
      <c r="AF997" s="145"/>
      <c r="AG997" s="145"/>
      <c r="AH997" s="146"/>
      <c r="AI997" s="145"/>
      <c r="AJ997" s="145"/>
      <c r="AK997" s="145"/>
      <c r="AL997" s="145"/>
      <c r="AM997" s="145"/>
      <c r="AN997" s="145"/>
      <c r="AO997" s="145"/>
      <c r="AP997" s="74"/>
      <c r="AQ997" s="74"/>
      <c r="AR997" s="74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</row>
    <row r="998" spans="1:85" ht="15.75" customHeight="1" x14ac:dyDescent="0.45">
      <c r="A998" s="22"/>
      <c r="B998" s="12"/>
      <c r="C998" s="12"/>
      <c r="D998" s="155"/>
      <c r="E998" s="22"/>
      <c r="F998" s="22"/>
      <c r="G998" s="12"/>
      <c r="H998" s="22"/>
      <c r="I998" s="22"/>
      <c r="J998" s="22"/>
      <c r="K998" s="22"/>
      <c r="L998" s="22"/>
      <c r="M998" s="22"/>
      <c r="N998" s="22"/>
      <c r="O998" s="145"/>
      <c r="P998" s="145"/>
      <c r="Q998" s="145"/>
      <c r="R998" s="145"/>
      <c r="S998" s="22"/>
      <c r="T998" s="145"/>
      <c r="U998" s="145"/>
      <c r="V998" s="145"/>
      <c r="W998" s="145"/>
      <c r="X998" s="53"/>
      <c r="Y998" s="74"/>
      <c r="Z998" s="145"/>
      <c r="AA998" s="145"/>
      <c r="AB998" s="145"/>
      <c r="AC998" s="146"/>
      <c r="AD998" s="145"/>
      <c r="AE998" s="145"/>
      <c r="AF998" s="145"/>
      <c r="AG998" s="145"/>
      <c r="AH998" s="146"/>
      <c r="AI998" s="145"/>
      <c r="AJ998" s="145"/>
      <c r="AK998" s="145"/>
      <c r="AL998" s="145"/>
      <c r="AM998" s="145"/>
      <c r="AN998" s="145"/>
      <c r="AO998" s="145"/>
      <c r="AP998" s="74"/>
      <c r="AQ998" s="74"/>
      <c r="AR998" s="74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</row>
    <row r="999" spans="1:85" ht="15.75" customHeight="1" x14ac:dyDescent="0.45">
      <c r="A999" s="22"/>
      <c r="B999" s="12"/>
      <c r="C999" s="12"/>
      <c r="D999" s="155"/>
      <c r="E999" s="22"/>
      <c r="F999" s="22"/>
      <c r="G999" s="12"/>
      <c r="H999" s="22"/>
      <c r="I999" s="22"/>
      <c r="J999" s="22"/>
      <c r="K999" s="22"/>
      <c r="L999" s="22"/>
      <c r="M999" s="22"/>
      <c r="N999" s="22"/>
      <c r="O999" s="145"/>
      <c r="P999" s="145"/>
      <c r="Q999" s="145"/>
      <c r="R999" s="145"/>
      <c r="S999" s="22"/>
      <c r="T999" s="145"/>
      <c r="U999" s="145"/>
      <c r="V999" s="145"/>
      <c r="W999" s="145"/>
      <c r="X999" s="53"/>
      <c r="Y999" s="74"/>
      <c r="Z999" s="145"/>
      <c r="AA999" s="145"/>
      <c r="AB999" s="145"/>
      <c r="AC999" s="146"/>
      <c r="AD999" s="145"/>
      <c r="AE999" s="145"/>
      <c r="AF999" s="145"/>
      <c r="AG999" s="145"/>
      <c r="AH999" s="146"/>
      <c r="AI999" s="145"/>
      <c r="AJ999" s="145"/>
      <c r="AK999" s="145"/>
      <c r="AL999" s="145"/>
      <c r="AM999" s="145"/>
      <c r="AN999" s="145"/>
      <c r="AO999" s="145"/>
      <c r="AP999" s="74"/>
      <c r="AQ999" s="74"/>
      <c r="AR999" s="74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</row>
    <row r="1000" spans="1:85" ht="15.75" customHeight="1" x14ac:dyDescent="0.45">
      <c r="A1000" s="22"/>
      <c r="B1000" s="12"/>
      <c r="C1000" s="12"/>
      <c r="D1000" s="155"/>
      <c r="E1000" s="22"/>
      <c r="F1000" s="22"/>
      <c r="G1000" s="12"/>
      <c r="H1000" s="22"/>
      <c r="I1000" s="22"/>
      <c r="J1000" s="22"/>
      <c r="K1000" s="22"/>
      <c r="L1000" s="22"/>
      <c r="M1000" s="22"/>
      <c r="N1000" s="22"/>
      <c r="O1000" s="145"/>
      <c r="P1000" s="145"/>
      <c r="Q1000" s="145"/>
      <c r="R1000" s="145"/>
      <c r="S1000" s="22"/>
      <c r="T1000" s="145"/>
      <c r="U1000" s="145"/>
      <c r="V1000" s="145"/>
      <c r="W1000" s="145"/>
      <c r="X1000" s="53"/>
      <c r="Y1000" s="74"/>
      <c r="Z1000" s="145"/>
      <c r="AA1000" s="145"/>
      <c r="AB1000" s="145"/>
      <c r="AC1000" s="146"/>
      <c r="AD1000" s="145"/>
      <c r="AE1000" s="145"/>
      <c r="AF1000" s="145"/>
      <c r="AG1000" s="145"/>
      <c r="AH1000" s="146"/>
      <c r="AI1000" s="145"/>
      <c r="AJ1000" s="145"/>
      <c r="AK1000" s="145"/>
      <c r="AL1000" s="145"/>
      <c r="AM1000" s="145"/>
      <c r="AN1000" s="145"/>
      <c r="AO1000" s="145"/>
      <c r="AP1000" s="74"/>
      <c r="AQ1000" s="74"/>
      <c r="AR1000" s="74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</row>
  </sheetData>
  <conditionalFormatting sqref="BW1:BX4 BW7:BX9 BW17:BX19 BW24:BX26 BW29:BX30 BW36:BX39 BW61:BX68 BW70:BX1000 BW49:BX53 BW11:BX11 BP1:BP34 BY1:BY34 BG1:BG34 BP36:BP45 BY36:BY45 BG36:BG45 BW56:BX59 BP47:BP1000 BY47:BY1000 BG47:BG1000">
    <cfRule type="cellIs" dxfId="86" priority="1" operator="greaterThan">
      <formula>0.05</formula>
    </cfRule>
  </conditionalFormatting>
  <conditionalFormatting sqref="BZ5:CD6 BQ48:BT48 BH47:BL48 BI44:BI45 BQ58:BT58">
    <cfRule type="notContainsBlanks" dxfId="85" priority="2">
      <formula>LEN(TRIM(BZ5))&gt;0</formula>
    </cfRule>
  </conditionalFormatting>
  <conditionalFormatting sqref="BZ20:CA23 CB23 BH41 BZ41 BZ54:CD55 BZ47:CD48 BZ10:CD10 BZ43:CD43 BH43:BH45 BZ45:CD45">
    <cfRule type="notContainsBlanks" dxfId="84" priority="3">
      <formula>LEN(TRIM(BZ20))&gt;0</formula>
    </cfRule>
  </conditionalFormatting>
  <conditionalFormatting sqref="BZ32:CC34 BZ40 BZ16 BZ12:CD15 BQ40:BR43 BH43:BH45 BZ58">
    <cfRule type="notContainsBlanks" dxfId="83" priority="4">
      <formula>LEN(TRIM(BZ32))&gt;0</formula>
    </cfRule>
  </conditionalFormatting>
  <conditionalFormatting sqref="BZ27:CA28">
    <cfRule type="notContainsBlanks" dxfId="82" priority="5">
      <formula>LEN(TRIM(BZ27))&gt;0</formula>
    </cfRule>
  </conditionalFormatting>
  <conditionalFormatting sqref="BH5:BI6 BQ5:BR6">
    <cfRule type="notContainsBlanks" dxfId="81" priority="6">
      <formula>LEN(TRIM(BH5))&gt;0</formula>
    </cfRule>
  </conditionalFormatting>
  <conditionalFormatting sqref="BJ5:BL6 BH10:BL10 BQ10:BR10">
    <cfRule type="notContainsBlanks" dxfId="80" priority="7">
      <formula>LEN(TRIM(BJ5))&gt;0</formula>
    </cfRule>
  </conditionalFormatting>
  <conditionalFormatting sqref="BI27:BI28">
    <cfRule type="notContainsBlanks" dxfId="79" priority="8">
      <formula>LEN(TRIM(BI27))&gt;0</formula>
    </cfRule>
  </conditionalFormatting>
  <conditionalFormatting sqref="BH12:BL15 BQ12:BS15">
    <cfRule type="notContainsBlanks" dxfId="78" priority="9">
      <formula>LEN(TRIM(BH12))&gt;0</formula>
    </cfRule>
  </conditionalFormatting>
  <conditionalFormatting sqref="BH20:BI23 BJ20:BJ21 BQ20:BR23 BS20:BS21">
    <cfRule type="notContainsBlanks" dxfId="77" priority="10">
      <formula>LEN(TRIM(BH20))&gt;0</formula>
    </cfRule>
  </conditionalFormatting>
  <conditionalFormatting sqref="BH27:BH28 BQ27:BQ28">
    <cfRule type="notContainsBlanks" dxfId="76" priority="11">
      <formula>LEN(TRIM(BH27))&gt;0</formula>
    </cfRule>
  </conditionalFormatting>
  <conditionalFormatting sqref="BH32:BJ34 BK32:BK33 BQ32:BU34 BL33 BH40:BH41 BS40:BU40 BS42:BU42">
    <cfRule type="notContainsBlanks" dxfId="75" priority="12">
      <formula>LEN(TRIM(BH32))&gt;0</formula>
    </cfRule>
  </conditionalFormatting>
  <conditionalFormatting sqref="BQ45:BS45">
    <cfRule type="notContainsBlanks" dxfId="74" priority="13">
      <formula>LEN(TRIM(BQ45))&gt;0</formula>
    </cfRule>
  </conditionalFormatting>
  <conditionalFormatting sqref="BQ47:BS47">
    <cfRule type="notContainsBlanks" dxfId="73" priority="14">
      <formula>LEN(TRIM(BQ47))&gt;0</formula>
    </cfRule>
  </conditionalFormatting>
  <conditionalFormatting sqref="BQ54">
    <cfRule type="notContainsBlanks" dxfId="72" priority="15">
      <formula>LEN(TRIM(BQ54))&gt;0</formula>
    </cfRule>
  </conditionalFormatting>
  <conditionalFormatting sqref="BI41:BK41 BJ45:BL45">
    <cfRule type="notContainsBlanks" dxfId="71" priority="16">
      <formula>LEN(TRIM(BI41))&gt;0</formula>
    </cfRule>
  </conditionalFormatting>
  <conditionalFormatting sqref="BH54:BL55">
    <cfRule type="notContainsBlanks" dxfId="70" priority="17">
      <formula>LEN(TRIM(BH54))&gt;0</formula>
    </cfRule>
  </conditionalFormatting>
  <conditionalFormatting sqref="BQ55:BR55">
    <cfRule type="notContainsBlanks" dxfId="69" priority="18">
      <formula>LEN(TRIM(BQ55))&gt;0</formula>
    </cfRule>
  </conditionalFormatting>
  <printOptions gridLines="1"/>
  <pageMargins left="0.7" right="0.7" top="0.75" bottom="0.75" header="0" footer="0"/>
  <pageSetup orientation="landscape"/>
  <headerFooter>
    <oddHeader>&amp;LSAGE LIBRARY SYSTEM Membership fee schedule</oddHeader>
  </headerFooter>
  <colBreaks count="1" manualBreakCount="1">
    <brk id="51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 (2)</vt:lpstr>
      <vt:lpstr>Summary</vt:lpstr>
      <vt:lpstr>FY20-21 budget</vt:lpstr>
      <vt:lpstr>Avg master</vt:lpstr>
      <vt:lpstr>Survey results</vt:lpstr>
      <vt:lpstr>Options 1-3</vt:lpstr>
      <vt:lpstr>Op4</vt:lpstr>
      <vt:lpstr>Op5</vt:lpstr>
      <vt:lpstr>Op6</vt:lpstr>
      <vt:lpstr>Op7</vt:lpstr>
      <vt:lpstr>Op8</vt:lpstr>
      <vt:lpstr>Op9</vt:lpstr>
      <vt:lpstr>5 yr plan</vt:lpstr>
      <vt:lpstr>5 yr plan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 Ross</dc:creator>
  <cp:lastModifiedBy>Beth Ross</cp:lastModifiedBy>
  <dcterms:created xsi:type="dcterms:W3CDTF">2021-07-20T19:36:52Z</dcterms:created>
  <dcterms:modified xsi:type="dcterms:W3CDTF">2021-07-20T19:36:53Z</dcterms:modified>
</cp:coreProperties>
</file>