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Y23-24 fees" sheetId="1" r:id="rId4"/>
    <sheet state="visible" name="Avg master" sheetId="2" r:id="rId5"/>
    <sheet state="hidden" name="Copy of Avg master" sheetId="3" r:id="rId6"/>
    <sheet state="hidden" name="FY21-22 fees" sheetId="4" r:id="rId7"/>
  </sheets>
  <definedNames/>
  <calcPr/>
  <extLst>
    <ext uri="GoogleSheetsCustomDataVersion2">
      <go:sheetsCustomData xmlns:go="http://customooxmlschemas.google.com/" r:id="rId8" roundtripDataChecksum="pkTiOGtXjhUZavewpU4zMsBzlH8PUrwkiuDlDgty25Q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F7">
      <text>
        <t xml:space="preserve">$41.92/MO
======</t>
      </text>
    </comment>
    <comment authorId="0" ref="F24">
      <text>
        <t xml:space="preserve">Group change to Public (2K - 4K)
======</t>
      </text>
    </comment>
    <comment authorId="0" ref="W7">
      <text>
        <t xml:space="preserve">======
ID#AAAAVlQXcv8
    (2022-02-16 17:38:06)
$33.33 per mo</t>
      </text>
    </comment>
    <comment authorId="0" ref="P7">
      <text>
        <t xml:space="preserve">======
ID#AAAAVlQXcwA
    (2022-02-16 17:38:06)
$30.67 per mo</t>
      </text>
    </comment>
    <comment authorId="0" ref="A39">
      <text>
        <t xml:space="preserve">======
ID#AAAAVlQXcvU
    (2022-02-16 17:38:06)
Moved up from lower tier</t>
      </text>
    </comment>
    <comment authorId="0" ref="R7">
      <text>
        <t xml:space="preserve">======
ID#AAAAVlQXcvA
    (2022-02-16 17:38:06)
$32.67 per mo</t>
      </text>
    </comment>
    <comment authorId="0" ref="A24">
      <text>
        <t xml:space="preserve">======
ID#AAAAVlQXcvM
    (2022-02-16 17:38:06)
Moved down</t>
      </text>
    </comment>
    <comment authorId="0" ref="A60">
      <text>
        <t xml:space="preserve">======
ID#AAAAVlQXcvI
    (2022-02-16 17:38:06)
Includes So Wasco &amp; Dufur</t>
      </text>
    </comment>
    <comment authorId="0" ref="AI7">
      <text>
        <t xml:space="preserve">======
ID#AAAAVlQXcuo
    (2022-02-16 17:38:06)
PERS rate increase average = 6%</t>
      </text>
    </comment>
    <comment authorId="0" ref="R3">
      <text>
        <t xml:space="preserve">======
ID#AAAAVlQXcuY
    (2022-02-16 17:38:06)
PERS &amp; courier costs
----
1. Moved Ione &amp; Vale libraries to correct tier per current service population. 
2. Rate increase corrected from 5.5% to 7% to cover operating costs. Not sure why I missed that in presentation. Maybe I was looking at line 85.
	-Baker Librarian</t>
      </text>
    </comment>
    <comment authorId="0" ref="T7">
      <text>
        <t xml:space="preserve">======
ID#AAAAVlQXcuU
    (2022-02-16 17:38:06)
$33.33 per mo</t>
      </text>
    </comment>
  </commentList>
  <extLst>
    <ext uri="GoogleSheetsCustomDataVersion2">
      <go:sheetsCustomData xmlns:go="http://customooxmlschemas.google.com/" r:id="rId1" roundtripDataSignature="AMtx7mgI58FJCa3k9Kud4BW6pswkoWWgv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1">
      <text>
        <t xml:space="preserve">SLO report 6.18 Total Phys Item Circ
======</t>
      </text>
    </comment>
    <comment authorId="0" ref="Q1">
      <text>
        <t xml:space="preserve">SLO Report 627 Total Circ of Physical Items
======</t>
      </text>
    </comment>
    <comment authorId="0" ref="R1">
      <text>
        <t xml:space="preserve">SLO report - 627 Total Circ of Physical Items
======</t>
      </text>
    </comment>
    <comment authorId="0" ref="AD32">
      <text>
        <t xml:space="preserve">======
ID#AAAAq-z8z8c
Baker Librarian    (2023-03-10 00:31:00)
Discrepancy with Sage report
7547</t>
      </text>
    </comment>
    <comment authorId="0" ref="AD22">
      <text>
        <t xml:space="preserve">======
ID#AAAAq-z8z8Y
Baker Librarian    (2023-03-10 00:28:54)
Discrepancy with Sage report
3022</t>
      </text>
    </comment>
    <comment authorId="0" ref="AC22">
      <text>
        <t xml:space="preserve">======
ID#AAAAq-z8z8U
Baker Librarian    (2023-03-10 00:28:35)
Discrepancy with Sage report
2458</t>
      </text>
    </comment>
    <comment authorId="0" ref="AC13">
      <text>
        <t xml:space="preserve">======
ID#AAAAq-z8z8Q
Baker Librarian    (2023-03-10 00:27:14)
Discrepancy with Sage report
806</t>
      </text>
    </comment>
    <comment authorId="0" ref="D42">
      <text>
        <t xml:space="preserve">======
ID#AAAAVlQXcv4
    (2022-02-16 17:38:06)
State Library Report error ? (2,148)</t>
      </text>
    </comment>
    <comment authorId="0" ref="A48">
      <text>
        <t xml:space="preserve">======
ID#AAAAVlQXcwE
Baker County Library District    (2022-02-16 17:38:06)
The Dalles, WCLSD, So Wasco, Dufur</t>
      </text>
    </comment>
    <comment authorId="0" ref="D20">
      <text>
        <t xml:space="preserve">======
ID#AAAAVlQXcvw
    (2022-02-16 17:38:06)
State Library Report error ? (259)</t>
      </text>
    </comment>
    <comment authorId="0" ref="D27">
      <text>
        <t xml:space="preserve">======
ID#AAAAVlQXcv0
    (2022-02-16 17:38:06)
State Library Report error ? (989)</t>
      </text>
    </comment>
    <comment authorId="0" ref="D34">
      <text>
        <t xml:space="preserve">======
ID#AAAAVlQXcvg
    (2022-02-16 17:38:06)
State Library Report error ? (9,872)</t>
      </text>
    </comment>
    <comment authorId="0" ref="D50">
      <text>
        <t xml:space="preserve">======
ID#AAAAVlQXcvo
    (2022-02-16 17:38:06)
State Library Report error ? (432)</t>
      </text>
    </comment>
    <comment authorId="0" ref="D41">
      <text>
        <t xml:space="preserve">======
ID#AAAAVlQXcvk
    (2022-02-16 17:38:06)
State Library Report error ? (23,266)</t>
      </text>
    </comment>
    <comment authorId="0" ref="A1">
      <text>
        <t xml:space="preserve">======
ID#AAAAVlQXcvc
director@bakerlib.org    (2022-02-16 17:38:06)
https://www.oregon.gov/ode/reports-and-data/students/Pages/Student-Enrollment-Reports.aspx</t>
      </text>
    </comment>
    <comment authorId="0" ref="D11">
      <text>
        <t xml:space="preserve">======
ID#AAAAVlQXcvQ
    (2022-02-16 17:38:06)
State Library Report error ? (981)</t>
      </text>
    </comment>
    <comment authorId="0" ref="D45">
      <text>
        <t xml:space="preserve">======
ID#AAAAVlQXcvY
    (2022-02-16 17:38:06)
State Library Report error ? (2,866)</t>
      </text>
    </comment>
    <comment authorId="0" ref="F48">
      <text>
        <t xml:space="preserve">======
ID#AAAAVlQXcvE
    (2022-02-16 17:38:06)
The Dalles, WCLSD, So Wasco, Dufur</t>
      </text>
    </comment>
    <comment authorId="0" ref="D55">
      <text>
        <t xml:space="preserve">======
ID#AAAAVlQXcu4
    (2022-02-16 17:38:06)
Corrected for assumed State Library Report error  (1,352)</t>
      </text>
    </comment>
    <comment authorId="0" ref="D51">
      <text>
        <t xml:space="preserve">======
ID#AAAAVlQXcu8
    (2022-02-16 17:38:06)
State Library Report error ? (9,676)</t>
      </text>
    </comment>
    <comment authorId="0" ref="D2">
      <text>
        <t xml:space="preserve">======
ID#AAAAVlQXcus
    (2022-02-16 17:38:06)
State Library Report error? (490)</t>
      </text>
    </comment>
    <comment authorId="0" ref="D16">
      <text>
        <t xml:space="preserve">======
ID#AAAAVlQXcuw
    (2022-02-16 17:38:06)
State Library Report error? (1,009)</t>
      </text>
    </comment>
    <comment authorId="0" ref="D40">
      <text>
        <t xml:space="preserve">======
ID#AAAAVlQXcuc
    (2022-02-16 17:38:06)
State Library Report error ? (9,294)</t>
      </text>
    </comment>
    <comment authorId="0" ref="D29">
      <text>
        <t xml:space="preserve">======
ID#AAAAVlQXcuk
    (2022-02-16 17:38:06)
State Library Report error ? (1,811)</t>
      </text>
    </comment>
    <comment authorId="0" ref="D14">
      <text>
        <t xml:space="preserve">======
ID#AAAAVlQXcuM
    (2022-02-16 17:38:06)
State report error?
3,239</t>
      </text>
    </comment>
    <comment authorId="0" ref="D22">
      <text>
        <t xml:space="preserve">======
ID#AAAAVlQXcuA
    (2022-02-16 17:38:06)
State Library Report error ? (25,003)</t>
      </text>
    </comment>
    <comment authorId="0" ref="D3">
      <text>
        <t xml:space="preserve">======
ID#AAAAVlQXcuI
    (2022-02-16 17:38:06)
State Library Report error? (861)</t>
      </text>
    </comment>
    <comment authorId="0" ref="D56">
      <text>
        <t xml:space="preserve">======
ID#AAAAVlQXct8
    (2022-02-16 17:38:06)
State Library Report error ? (978)</t>
      </text>
    </comment>
  </commentList>
  <extLst>
    <ext uri="GoogleSheetsCustomDataVersion2">
      <go:sheetsCustomData xmlns:go="http://customooxmlschemas.google.com/" r:id="rId1" roundtripDataSignature="AMtx7miRRdqoAZ9jDwPc9Xij8DDU1lA2X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3">
      <text>
        <t xml:space="preserve">======
ID#AAAAVlQXcvs
    (2022-02-16 17:38:06)
PERS &amp; courier costs
----
1. Moved Ione &amp; Vale libraries to correct tier per current service population. 
2. Rate increase corrected from 5.5% to 7% to cover operating costs. Not sure why I missed that in presentation. Maybe I was looking at line 85.
	-Baker Librarian</t>
      </text>
    </comment>
    <comment authorId="0" ref="A37">
      <text>
        <t xml:space="preserve">======
ID#AAAAVlQXcu0
    (2022-02-16 17:38:06)
Moved up from lower tier</t>
      </text>
    </comment>
    <comment authorId="0" ref="A24">
      <text>
        <t xml:space="preserve">======
ID#AAAAVlQXcuQ
    (2022-02-16 17:38:06)
Moved down</t>
      </text>
    </comment>
    <comment authorId="0" ref="A58">
      <text>
        <t xml:space="preserve">======
ID#AAAAVlQXcuE
    (2022-02-16 17:38:06)
Includes So Wasco &amp; Dufur</t>
      </text>
    </comment>
  </commentList>
  <extLst>
    <ext uri="GoogleSheetsCustomDataVersion2">
      <go:sheetsCustomData xmlns:go="http://customooxmlschemas.google.com/" r:id="rId1" roundtripDataSignature="AMtx7mii3CraPop/8HSPwLY4lxdLur1NUQ=="/>
    </ext>
  </extLst>
</comments>
</file>

<file path=xl/sharedStrings.xml><?xml version="1.0" encoding="utf-8"?>
<sst xmlns="http://schemas.openxmlformats.org/spreadsheetml/2006/main" count="670" uniqueCount="286">
  <si>
    <t xml:space="preserve">Library </t>
  </si>
  <si>
    <t>Email</t>
  </si>
  <si>
    <t>Current Group</t>
  </si>
  <si>
    <t>Prior Yr Population Avg 3 Years</t>
  </si>
  <si>
    <t>Service Population
Avg
3 years</t>
  </si>
  <si>
    <t>Prior Year Pop %</t>
  </si>
  <si>
    <t>Pop %</t>
  </si>
  <si>
    <t>Chg</t>
  </si>
  <si>
    <t>Patron Count with Expiration date &gt; 2010-12-01</t>
  </si>
  <si>
    <t>Patron Count with Expiration date &gt; 2017-01-01</t>
  </si>
  <si>
    <t>Patron Count with Expiration date &gt; 2019-01-01</t>
  </si>
  <si>
    <t>Active accounts Avg
3 years</t>
  </si>
  <si>
    <t>Accounts  %</t>
  </si>
  <si>
    <t>2018/19  
Fee schedule</t>
  </si>
  <si>
    <t>2019/20  
Fee schedule</t>
  </si>
  <si>
    <t>2020/21
Fee schedule</t>
  </si>
  <si>
    <t>Cost per capita</t>
  </si>
  <si>
    <t>2021/22
Fee schedule</t>
  </si>
  <si>
    <t>$chg</t>
  </si>
  <si>
    <t>%chg</t>
  </si>
  <si>
    <t xml:space="preserve">
2022/23
Fee schedule</t>
  </si>
  <si>
    <t>2023/24
Fee schedule</t>
  </si>
  <si>
    <t>% chg / base rate</t>
  </si>
  <si>
    <t>Variable</t>
  </si>
  <si>
    <t>Variable Base %  +/- pop % chg</t>
  </si>
  <si>
    <t>SERVICE POP %</t>
  </si>
  <si>
    <t>ACCOUNTS %</t>
  </si>
  <si>
    <t>ITEMS %</t>
  </si>
  <si>
    <t>BASE FEE %</t>
  </si>
  <si>
    <t>CIRC %</t>
  </si>
  <si>
    <t>Sage COURIER cost recovery</t>
  </si>
  <si>
    <t xml:space="preserve">COURIER net loan/borrow proration rate </t>
  </si>
  <si>
    <t>Adams Public Library (UCSLD)</t>
  </si>
  <si>
    <t xml:space="preserve">library@cityofadamsoregon.com </t>
  </si>
  <si>
    <t>Public (&lt; 750)</t>
  </si>
  <si>
    <t>Arlington Public Library</t>
  </si>
  <si>
    <t xml:space="preserve">arlingtonpubliclibraryor97812@gmail.com </t>
  </si>
  <si>
    <t>Athena Public (UCSLD)</t>
  </si>
  <si>
    <t xml:space="preserve">athenalibrary@cityofathena.com </t>
  </si>
  <si>
    <t>Public  (750-2K)</t>
  </si>
  <si>
    <t>Baker County Library District</t>
  </si>
  <si>
    <t xml:space="preserve">info@bakerlib.org </t>
  </si>
  <si>
    <t>Public (15K - 30K)</t>
  </si>
  <si>
    <t>BMCC</t>
  </si>
  <si>
    <t xml:space="preserve">onlinelibrary@bluecc.edu </t>
  </si>
  <si>
    <t>Academic - Community College (moderate)</t>
  </si>
  <si>
    <t>CGCC</t>
  </si>
  <si>
    <t>DMcManus@cgcc.edu</t>
  </si>
  <si>
    <t>Academic - Community College (small)</t>
  </si>
  <si>
    <t>Cove School Library</t>
  </si>
  <si>
    <t xml:space="preserve">tallyk@cove.k12.or.us </t>
  </si>
  <si>
    <t>Schools (&lt; 500)</t>
  </si>
  <si>
    <t>Crane Union High School</t>
  </si>
  <si>
    <t xml:space="preserve">starbuck@harneyesd.k12.or.us </t>
  </si>
  <si>
    <t>Schools (&lt;100)</t>
  </si>
  <si>
    <t>Echo Public Library (UCSLD)</t>
  </si>
  <si>
    <t xml:space="preserve">echolib@centurytel.net </t>
  </si>
  <si>
    <t>Elgin High School</t>
  </si>
  <si>
    <t xml:space="preserve">cchandler@mail.elgin.k12.or.us </t>
  </si>
  <si>
    <t>ILL only (incl museum)</t>
  </si>
  <si>
    <t>Elgin Public Library</t>
  </si>
  <si>
    <t xml:space="preserve">Publiclibrary@cityofelginor.org </t>
  </si>
  <si>
    <t>Public (2K - 4K)</t>
  </si>
  <si>
    <t>Enterprise Public Library</t>
  </si>
  <si>
    <t xml:space="preserve">enterpl@eoni.com </t>
  </si>
  <si>
    <t>Fossil Library</t>
  </si>
  <si>
    <t xml:space="preserve">libraryfossil46@gmail.com </t>
  </si>
  <si>
    <t>Gilliam County Library</t>
  </si>
  <si>
    <t xml:space="preserve">gclibrary@co.gilliam.or.us </t>
  </si>
  <si>
    <t>Grant County Library</t>
  </si>
  <si>
    <t xml:space="preserve">grant047@ortelco.net </t>
  </si>
  <si>
    <t>Public (4K - 7500)</t>
  </si>
  <si>
    <t>Harney County ESD</t>
  </si>
  <si>
    <t>criss.s@harneyesd.k12.or.us</t>
  </si>
  <si>
    <t>Harney  High School</t>
  </si>
  <si>
    <t>Harney County Library</t>
  </si>
  <si>
    <t>cheryl@harneycountylibrary.org</t>
  </si>
  <si>
    <t>Helix Public Library (UCLSD)</t>
  </si>
  <si>
    <t xml:space="preserve">helixlibrary@helixtel.com </t>
  </si>
  <si>
    <t>Hermiston High School</t>
  </si>
  <si>
    <t xml:space="preserve">delia.fields@hermistonsd.org </t>
  </si>
  <si>
    <t>Hermiston Public Library</t>
  </si>
  <si>
    <t xml:space="preserve">mrose@hermiston.or.us </t>
  </si>
  <si>
    <t>Hermiston rural (UCSLD)</t>
  </si>
  <si>
    <t>Hines Middle School</t>
  </si>
  <si>
    <t xml:space="preserve">debbiepfeiffer@hcsd3.k12.or.us </t>
  </si>
  <si>
    <t>Hood River County Library District</t>
  </si>
  <si>
    <t xml:space="preserve">info@hoodriverlibrary.org </t>
  </si>
  <si>
    <t>Hood River High School</t>
  </si>
  <si>
    <t xml:space="preserve">ann.zuehlke@hoodriver.k12.or.us </t>
  </si>
  <si>
    <t>Schools (&gt; 500)</t>
  </si>
  <si>
    <t>Huntington School</t>
  </si>
  <si>
    <t>Harmonie.Hicks@huntington.k12.or.us</t>
  </si>
  <si>
    <t>Ione Library District</t>
  </si>
  <si>
    <t xml:space="preserve">ionelibrary@gmail.com </t>
  </si>
  <si>
    <t>Ione School Library</t>
  </si>
  <si>
    <t xml:space="preserve">Cathy.Halvorsen@ione.k12.or.us </t>
  </si>
  <si>
    <t>Joseph</t>
  </si>
  <si>
    <t xml:space="preserve">joseph97846@hotmail.com </t>
  </si>
  <si>
    <t>Josephy Library at Fishtrap</t>
  </si>
  <si>
    <t xml:space="preserve">rich@fishtrap.org </t>
  </si>
  <si>
    <t>KCC</t>
  </si>
  <si>
    <t xml:space="preserve">kcclrc@klamathcc.edu </t>
  </si>
  <si>
    <t>La Grande Cook Memorial Public Library</t>
  </si>
  <si>
    <t xml:space="preserve">KRoberson@cookmemoriallibrary.org </t>
  </si>
  <si>
    <t>Lake County Library District</t>
  </si>
  <si>
    <t xml:space="preserve">info@lakecountylibrary.org </t>
  </si>
  <si>
    <t>Public (7.5K - 15K)</t>
  </si>
  <si>
    <t>Milton-Freewater Public (UCSLD)</t>
  </si>
  <si>
    <t>Lili.Schmidt@milton-freewater-or.gov</t>
  </si>
  <si>
    <t>North Powder Public</t>
  </si>
  <si>
    <t>npcitylibrary1@gmail.com</t>
  </si>
  <si>
    <t>Nyssa Public Library</t>
  </si>
  <si>
    <t xml:space="preserve">nyssalibrary@nyssacity.org </t>
  </si>
  <si>
    <t>Ontario Community Library</t>
  </si>
  <si>
    <t xml:space="preserve">ontariolibrarydistrict@yahoo.com </t>
  </si>
  <si>
    <t>Ontario High School</t>
  </si>
  <si>
    <t xml:space="preserve">kpena@ontario.k12.or.us </t>
  </si>
  <si>
    <t>Ontario Middle School</t>
  </si>
  <si>
    <t xml:space="preserve">mfife@ontario.k12.or.us </t>
  </si>
  <si>
    <t>Oregon Trail Library District</t>
  </si>
  <si>
    <t xml:space="preserve">boardman@otld.org </t>
  </si>
  <si>
    <t>Pendleton Public Library (UCSLD)</t>
  </si>
  <si>
    <t xml:space="preserve">Jennifer.Costley@ci.pendleton.or.us </t>
  </si>
  <si>
    <t>Pilot Rock Public (UCSLD)</t>
  </si>
  <si>
    <t xml:space="preserve">pilotrockpl@centurytel.net </t>
  </si>
  <si>
    <t>Sherman County Public/Sch</t>
  </si>
  <si>
    <t xml:space="preserve">mmartin2@sherman.k12.or.us </t>
  </si>
  <si>
    <t>Slater Elementary School</t>
  </si>
  <si>
    <t>Stanfield Public Library (UCSLD)</t>
  </si>
  <si>
    <t xml:space="preserve">librarydirector@cityofstanfield.com </t>
  </si>
  <si>
    <t>Stanfield Secondary School Library</t>
  </si>
  <si>
    <t xml:space="preserve">penny.anderson@stanfieldsd.org </t>
  </si>
  <si>
    <t>Tamastslikt Institute</t>
  </si>
  <si>
    <t xml:space="preserve">malissa.minthorn@tamastslikt.org </t>
  </si>
  <si>
    <t>The Dalles/Wasco District</t>
  </si>
  <si>
    <t>jwavrunek@ci.the-dalles.or.us</t>
  </si>
  <si>
    <t>TVCC</t>
  </si>
  <si>
    <t xml:space="preserve">library@tvcc.cc </t>
  </si>
  <si>
    <t>Ukiah Public/School Library (UCSLD)</t>
  </si>
  <si>
    <t xml:space="preserve">Audrey.Durfey@ukiah.k12.or.us </t>
  </si>
  <si>
    <t>Umatilla Public Library (UCSLD)</t>
  </si>
  <si>
    <t xml:space="preserve">library@umatilla-city.org </t>
  </si>
  <si>
    <t>Union Public Library</t>
  </si>
  <si>
    <t xml:space="preserve">library@cityofunion.com </t>
  </si>
  <si>
    <t>Vale (Emma H) Public Library</t>
  </si>
  <si>
    <t xml:space="preserve">pshevham@cityofvale.com </t>
  </si>
  <si>
    <t>Vale High School</t>
  </si>
  <si>
    <t xml:space="preserve">jkoda@vale.k12.or.us </t>
  </si>
  <si>
    <t>Wallowa Public Library</t>
  </si>
  <si>
    <t xml:space="preserve">wallowapubliclibrary@gmail.com </t>
  </si>
  <si>
    <t>Weston Public Library (UCSLD)</t>
  </si>
  <si>
    <t xml:space="preserve">wcolibrary@cityofwestonoregon.com </t>
  </si>
  <si>
    <t>Grand Total</t>
  </si>
  <si>
    <t># MEMBERS</t>
  </si>
  <si>
    <t>Most at risk?/Smallest collection $ budget</t>
  </si>
  <si>
    <t>Operating budget less grants</t>
  </si>
  <si>
    <t>% increase</t>
  </si>
  <si>
    <t>median</t>
  </si>
  <si>
    <t>MIN</t>
  </si>
  <si>
    <t>MAX</t>
  </si>
  <si>
    <t># increase</t>
  </si>
  <si>
    <t># decrease</t>
  </si>
  <si>
    <t>UCSLD</t>
  </si>
  <si>
    <t>director@ucsld.org</t>
  </si>
  <si>
    <t>Fiscal agent (1)</t>
  </si>
  <si>
    <t>Circulating Schools (2)</t>
  </si>
  <si>
    <t>Public Libraries under 5,000 (3)</t>
  </si>
  <si>
    <t>Public Libraries 5-15,000 (2)</t>
  </si>
  <si>
    <t>Public Libraries over 15,000 (3)</t>
  </si>
  <si>
    <t>Academic Libraries (1)</t>
  </si>
  <si>
    <t>Resource-sharing Partners / Special Libraries (1)</t>
  </si>
  <si>
    <t>Oregon Public Library data</t>
  </si>
  <si>
    <t>Service Pop
2015-2016</t>
  </si>
  <si>
    <t>Service Pop
2016-2017</t>
  </si>
  <si>
    <t>Service Pop
2017-2018</t>
  </si>
  <si>
    <t>Service Pop
2018-2019</t>
  </si>
  <si>
    <t>Service Pop
2019-2020</t>
  </si>
  <si>
    <t>Service Pop
2020-2021</t>
  </si>
  <si>
    <t>Service Pop
2021-2022</t>
  </si>
  <si>
    <t>Average</t>
  </si>
  <si>
    <t>Total circulation
2015-2016</t>
  </si>
  <si>
    <t>Total circulation
2016-2017</t>
  </si>
  <si>
    <t>Total circulation
2017-2018</t>
  </si>
  <si>
    <t>Total circulation
2018-2019</t>
  </si>
  <si>
    <t>Total circulation
2019-2020</t>
  </si>
  <si>
    <t>Total circulation
2020-2021</t>
  </si>
  <si>
    <t>Total circulation
2021-2022</t>
  </si>
  <si>
    <t>5 YR Average</t>
  </si>
  <si>
    <t>Sage ILL loaned
FY17-18</t>
  </si>
  <si>
    <t>Sage ILL borrowed
FY17-18</t>
  </si>
  <si>
    <t>Sage ILL loaned
FY18-19</t>
  </si>
  <si>
    <t>Sage ILL borrowed
FY18-19</t>
  </si>
  <si>
    <t>Sage ILL loaned
FY19-20</t>
  </si>
  <si>
    <t>Sage ILL borrowed
FY19-20</t>
  </si>
  <si>
    <t>Sage ILL loaned
FY20-21</t>
  </si>
  <si>
    <t>Sage ILL borrowed
FY20-21</t>
  </si>
  <si>
    <t>Sage ILL loaned
FY21-22</t>
  </si>
  <si>
    <t>Sage ILL borrowed
FY21-22</t>
  </si>
  <si>
    <t>Average
Loaned</t>
  </si>
  <si>
    <t>Average
Borrowed</t>
  </si>
  <si>
    <t>NET LENDER QTY</t>
  </si>
  <si>
    <t>NET LENDER RATIO</t>
  </si>
  <si>
    <t>% LEND</t>
  </si>
  <si>
    <t>% BRW</t>
  </si>
  <si>
    <t>Adams Public Library</t>
  </si>
  <si>
    <t>Athena Public Library</t>
  </si>
  <si>
    <t>Baker County Public Library</t>
  </si>
  <si>
    <t>Blue Mountain Community College</t>
  </si>
  <si>
    <t>Burns HS</t>
  </si>
  <si>
    <t xml:space="preserve">CGCC </t>
  </si>
  <si>
    <t>Crane Union High School (Harney Co)</t>
  </si>
  <si>
    <t>Echo Public Library</t>
  </si>
  <si>
    <t>Enterprise City Library</t>
  </si>
  <si>
    <t>Fossil Public Library</t>
  </si>
  <si>
    <t>Helix Public Library</t>
  </si>
  <si>
    <t>Hermiston High School Library</t>
  </si>
  <si>
    <t>Hines Middle School (Harney Co)</t>
  </si>
  <si>
    <t>Hood River Valley High School</t>
  </si>
  <si>
    <t>Huntington School Library</t>
  </si>
  <si>
    <t>Joseph City Library</t>
  </si>
  <si>
    <t xml:space="preserve">Klamath Community College </t>
  </si>
  <si>
    <t>La Grande Public Library</t>
  </si>
  <si>
    <t>Milton-Freewater Public Library</t>
  </si>
  <si>
    <t>North Powder Public Library</t>
  </si>
  <si>
    <t>Ontario Library District</t>
  </si>
  <si>
    <t>Ontario High School Library</t>
  </si>
  <si>
    <t>Ontario Middle School Library</t>
  </si>
  <si>
    <t>Pendleton Public Library</t>
  </si>
  <si>
    <t>Pilot Rock Public Library</t>
  </si>
  <si>
    <t>Sherman County Public/School Library</t>
  </si>
  <si>
    <t>Slater Elementary (Harney Co)</t>
  </si>
  <si>
    <t>Stanfield Public Library</t>
  </si>
  <si>
    <t>Tamastslikt Cultural Institute</t>
  </si>
  <si>
    <t>The Dalles-Wasco County Library District</t>
  </si>
  <si>
    <t>Treasure Valley Community College Library (TVCC)</t>
  </si>
  <si>
    <t>Ukiah Public Library</t>
  </si>
  <si>
    <t>Umatilla Public Library</t>
  </si>
  <si>
    <t>Union Carnegie Public Library</t>
  </si>
  <si>
    <t>Vale Emma Humphrey Library</t>
  </si>
  <si>
    <t>Vale High School Library</t>
  </si>
  <si>
    <t>Weston Public Library</t>
  </si>
  <si>
    <t>TOTAL 5 YR AVG</t>
  </si>
  <si>
    <t>UCSLD TOTAL</t>
  </si>
  <si>
    <t xml:space="preserve">NOTES: </t>
  </si>
  <si>
    <t>School Enrollment Reports</t>
  </si>
  <si>
    <t xml:space="preserve">https://www.oregon.gov/ode/reports-and-data/students/Pages/Student-Enrollment-Reports.aspx </t>
  </si>
  <si>
    <t>https://www.oregon.gov/highered/research/Pages/student-data-cc.aspx</t>
  </si>
  <si>
    <t>Lake County Library</t>
  </si>
  <si>
    <t>TOTAL AVG</t>
  </si>
  <si>
    <t>DEFAULT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</si>
  <si>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</si>
  <si>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</si>
  <si>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</si>
  <si>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</si>
  <si>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</si>
  <si>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</si>
  <si>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</si>
  <si>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8.0
*MASTER*</t>
  </si>
  <si>
    <t>OPTION 8.1</t>
  </si>
  <si>
    <t>OPTION 8.2</t>
  </si>
  <si>
    <t>OPTION 8.3</t>
  </si>
  <si>
    <t>OPTION 8.4</t>
  </si>
  <si>
    <t>OPTION 8.5</t>
  </si>
  <si>
    <t>OPTION 8.6</t>
  </si>
  <si>
    <t>OPTION 9.0
*MASTER*</t>
  </si>
  <si>
    <t>OPTION 9.1</t>
  </si>
  <si>
    <t>OPTION 9.2</t>
  </si>
  <si>
    <t>OPTION 9.3</t>
  </si>
  <si>
    <t>OPTION 9.4</t>
  </si>
  <si>
    <t>OPTION 9.5</t>
  </si>
  <si>
    <t>OPTION 9.6</t>
  </si>
  <si>
    <t>STANDARD
2021/22
Fee schedule</t>
  </si>
  <si>
    <t>Service Pop
(3 yr Avg)
fee</t>
  </si>
  <si>
    <t>Active Accounts 
(3 yr Avg)
fee
ONLY</t>
  </si>
  <si>
    <t>Cost per capita
(Service Pop)</t>
  </si>
  <si>
    <t>Cost per capita
(Accounts)</t>
  </si>
  <si>
    <t>Item fee
ONLY</t>
  </si>
  <si>
    <t>Accounts + base fee + courier fee</t>
  </si>
  <si>
    <t>Accounts + base fee + courier fee 
(net ILL +/-)</t>
  </si>
  <si>
    <t>Items + base fee  + courier fee 
(net ILL +/-)</t>
  </si>
  <si>
    <t>Circ + base fee  + courier fee 
(net ILL +/-)</t>
  </si>
  <si>
    <t>Accounts + item + base+ circ + courier fee 
(net ILL +/-)</t>
  </si>
  <si>
    <t>Pop + item + base+ circ + courier fee 
(net ILL +/-)</t>
  </si>
  <si>
    <t>Baker County District</t>
  </si>
  <si>
    <t>Hood River Cnty District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</si>
</sst>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%"/>
    <numFmt numFmtId="165" formatCode="0.0000000000"/>
    <numFmt numFmtId="166" formatCode="&quot;$&quot;#,##0"/>
    <numFmt numFmtId="167" formatCode="_(* #,##0_);_(* \(#,##0\);_(* &quot;-&quot;??_);_(@_)"/>
    <numFmt numFmtId="168" formatCode="0.0"/>
    <numFmt numFmtId="169" formatCode="&quot;$&quot;#,##0.00"/>
  </numFmts>
  <fonts count="41">
    <font>
      <sz val="11.0"/>
      <color rgb="FF000000"/>
      <name val="Calibri"/>
      <scheme val="minor"/>
    </font>
    <font>
      <b/>
      <sz val="11.0"/>
      <color rgb="FF000000"/>
      <name val="Calibri"/>
    </font>
    <font>
      <sz val="10.0"/>
      <color rgb="FFFF0000"/>
      <name val="Calibri"/>
    </font>
    <font>
      <sz val="10.0"/>
      <color rgb="FF000000"/>
      <name val="Calibri"/>
    </font>
    <font>
      <b/>
      <sz val="11.0"/>
      <color theme="1"/>
      <name val="Calibri"/>
    </font>
    <font>
      <b/>
      <sz val="18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0.0"/>
      <color rgb="FF000000"/>
      <name val="Calibri"/>
    </font>
    <font>
      <sz val="10.0"/>
      <color theme="1"/>
      <name val="Calibri"/>
    </font>
    <font>
      <b/>
      <sz val="11.0"/>
      <color rgb="FFFF0000"/>
      <name val="Calibri"/>
    </font>
    <font>
      <sz val="11.0"/>
      <color rgb="FF0070C0"/>
      <name val="Calibri"/>
    </font>
    <font>
      <u/>
      <sz val="11.0"/>
      <color theme="10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2.0"/>
      <color rgb="FFFF0000"/>
      <name val="Calibri"/>
    </font>
    <font>
      <sz val="11.0"/>
      <color theme="10"/>
      <name val="Calibri"/>
    </font>
    <font>
      <u/>
      <sz val="11.0"/>
      <color theme="10"/>
      <name val="Calibri"/>
    </font>
    <font>
      <sz val="11.0"/>
      <color rgb="FF4A86E8"/>
      <name val="Calibri"/>
    </font>
    <font>
      <sz val="12.0"/>
      <color theme="1"/>
      <name val="Calibri"/>
    </font>
    <font>
      <b/>
      <sz val="11.0"/>
      <color rgb="FF0070C0"/>
      <name val="Calibri"/>
    </font>
    <font>
      <sz val="11.0"/>
      <color rgb="FFDBD8D2"/>
      <name val="Open Sans"/>
    </font>
    <font>
      <b/>
      <color theme="1"/>
      <name val="Calibri"/>
    </font>
    <font>
      <b/>
      <color rgb="FF000000"/>
      <name val="Arial"/>
    </font>
    <font>
      <color theme="1"/>
      <name val="Calibri"/>
    </font>
    <font>
      <color rgb="FFFF0000"/>
      <name val="Calibri"/>
    </font>
    <font>
      <color theme="1"/>
      <name val="Calibri"/>
      <scheme val="minor"/>
    </font>
    <font>
      <b/>
      <sz val="11.0"/>
      <color rgb="FF57BB8A"/>
      <name val="Calibri"/>
    </font>
    <font>
      <sz val="10.0"/>
      <color theme="1"/>
      <name val="Arial"/>
    </font>
    <font>
      <color rgb="FFFF0000"/>
      <name val="Calibri"/>
      <scheme val="minor"/>
    </font>
    <font>
      <u/>
      <sz val="11.0"/>
      <color theme="10"/>
      <name val="Calibri"/>
    </font>
    <font>
      <u/>
      <sz val="11.0"/>
      <color theme="1"/>
      <name val="Calibri"/>
    </font>
    <font>
      <b/>
      <sz val="11.0"/>
      <color rgb="FF006100"/>
      <name val="Calibri"/>
    </font>
    <font>
      <sz val="11.0"/>
      <color rgb="FF006100"/>
      <name val="Calibri"/>
    </font>
    <font>
      <b/>
      <sz val="11.0"/>
      <color rgb="FF7F7F7F"/>
      <name val="Calibri"/>
    </font>
    <font>
      <sz val="11.0"/>
      <color rgb="FF7F7F7F"/>
      <name val="Calibri"/>
    </font>
  </fonts>
  <fills count="3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9E2F3"/>
        <bgColor rgb="FFD9E2F3"/>
      </patternFill>
    </fill>
    <fill>
      <patternFill patternType="solid">
        <fgColor rgb="FFF4CCCC"/>
        <bgColor rgb="FFF4CCCC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1F2122"/>
        <bgColor rgb="FF1F2122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F4C7C3"/>
        <bgColor rgb="FFF4C7C3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B7E1CD"/>
        <bgColor rgb="FFB7E1C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FFF2CC"/>
        <bgColor rgb="FFFFF2CC"/>
      </patternFill>
    </fill>
    <fill>
      <patternFill patternType="solid">
        <fgColor rgb="FFC6D9F0"/>
        <bgColor rgb="FFC6D9F0"/>
      </patternFill>
    </fill>
    <fill>
      <patternFill patternType="solid">
        <fgColor rgb="FFE7E6E6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FFE598"/>
        <bgColor rgb="FFFFE598"/>
      </patternFill>
    </fill>
    <fill>
      <patternFill patternType="solid">
        <fgColor rgb="FFFFFF99"/>
        <bgColor rgb="FFFFFF99"/>
      </patternFill>
    </fill>
    <fill>
      <patternFill patternType="solid">
        <fgColor rgb="FFC6EFCE"/>
        <bgColor rgb="FFC6EFCE"/>
      </patternFill>
    </fill>
  </fills>
  <borders count="7">
    <border/>
    <border>
      <left/>
      <right/>
      <top/>
      <bottom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414141"/>
      </left>
      <right style="medium">
        <color rgb="FF414141"/>
      </right>
      <top style="medium">
        <color rgb="FF414141"/>
      </top>
      <bottom style="medium">
        <color rgb="FF41414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2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horizontal="center" shrinkToFit="0" wrapText="1"/>
    </xf>
    <xf borderId="0" fillId="0" fontId="1" numFmtId="3" xfId="0" applyAlignment="1" applyFont="1" applyNumberFormat="1">
      <alignment horizontal="center"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1" numFmtId="165" xfId="0" applyAlignment="1" applyFont="1" applyNumberFormat="1">
      <alignment horizontal="center"/>
    </xf>
    <xf borderId="0" fillId="0" fontId="2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1" numFmtId="49" xfId="0" applyFont="1" applyNumberFormat="1"/>
    <xf borderId="0" fillId="0" fontId="1" numFmtId="49" xfId="0" applyAlignment="1" applyFont="1" applyNumberFormat="1">
      <alignment shrinkToFit="0" wrapText="1"/>
    </xf>
    <xf borderId="0" fillId="0" fontId="1" numFmtId="49" xfId="0" applyAlignment="1" applyFont="1" applyNumberFormat="1">
      <alignment horizontal="center" shrinkToFit="0" vertical="bottom" wrapText="1"/>
    </xf>
    <xf borderId="0" fillId="0" fontId="4" numFmtId="0" xfId="0" applyAlignment="1" applyFont="1">
      <alignment shrinkToFit="0" wrapText="1"/>
    </xf>
    <xf borderId="1" fillId="2" fontId="5" numFmtId="49" xfId="0" applyAlignment="1" applyBorder="1" applyFill="1" applyFont="1" applyNumberFormat="1">
      <alignment horizontal="center" shrinkToFit="0" wrapText="1"/>
    </xf>
    <xf borderId="0" fillId="0" fontId="6" numFmtId="49" xfId="0" applyFont="1" applyNumberFormat="1"/>
    <xf borderId="0" fillId="0" fontId="6" numFmtId="49" xfId="0" applyAlignment="1" applyFont="1" applyNumberFormat="1">
      <alignment shrinkToFit="0" wrapText="1"/>
    </xf>
    <xf borderId="0" fillId="0" fontId="7" numFmtId="49" xfId="0" applyAlignment="1" applyFont="1" applyNumberFormat="1">
      <alignment horizontal="center" shrinkToFit="0" wrapText="1"/>
    </xf>
    <xf borderId="1" fillId="3" fontId="5" numFmtId="49" xfId="0" applyAlignment="1" applyBorder="1" applyFill="1" applyFont="1" applyNumberFormat="1">
      <alignment horizontal="center" readingOrder="0" shrinkToFit="0" wrapText="1"/>
    </xf>
    <xf borderId="0" fillId="0" fontId="3" numFmtId="165" xfId="0" applyAlignment="1" applyFont="1" applyNumberFormat="1">
      <alignment horizontal="center" shrinkToFit="0" wrapText="1"/>
    </xf>
    <xf borderId="0" fillId="0" fontId="5" numFmtId="49" xfId="0" applyAlignment="1" applyFont="1" applyNumberFormat="1">
      <alignment horizontal="center" shrinkToFit="0" wrapText="1"/>
    </xf>
    <xf borderId="1" fillId="4" fontId="5" numFmtId="49" xfId="0" applyAlignment="1" applyBorder="1" applyFill="1" applyFont="1" applyNumberFormat="1">
      <alignment horizontal="center" readingOrder="0" shrinkToFit="0" wrapText="1"/>
    </xf>
    <xf borderId="0" fillId="0" fontId="8" numFmtId="49" xfId="0" applyAlignment="1" applyFont="1" applyNumberForma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3" numFmtId="0" xfId="0" applyAlignment="1" applyFont="1">
      <alignment horizontal="right" shrinkToFit="0" wrapText="1"/>
    </xf>
    <xf borderId="0" fillId="0" fontId="3" numFmtId="49" xfId="0" applyAlignment="1" applyFont="1" applyNumberFormat="1">
      <alignment horizontal="right" shrinkToFit="0" wrapText="1"/>
    </xf>
    <xf borderId="0" fillId="0" fontId="3" numFmtId="3" xfId="0" applyAlignment="1" applyFont="1" applyNumberFormat="1">
      <alignment horizontal="right" shrinkToFit="0" wrapText="1"/>
    </xf>
    <xf borderId="0" fillId="0" fontId="3" numFmtId="2" xfId="0" applyAlignment="1" applyFont="1" applyNumberFormat="1">
      <alignment horizontal="center" shrinkToFit="0" wrapText="1"/>
    </xf>
    <xf borderId="0" fillId="0" fontId="3" numFmtId="3" xfId="0" applyAlignment="1" applyFont="1" applyNumberFormat="1">
      <alignment horizontal="center" shrinkToFit="0" wrapText="1"/>
    </xf>
    <xf borderId="0" fillId="0" fontId="9" numFmtId="164" xfId="0" applyAlignment="1" applyFont="1" applyNumberFormat="1">
      <alignment horizontal="center" shrinkToFit="0" wrapText="1"/>
    </xf>
    <xf borderId="0" fillId="0" fontId="3" numFmtId="164" xfId="0" applyFont="1" applyNumberFormat="1"/>
    <xf borderId="0" fillId="0" fontId="3" numFmtId="4" xfId="0" applyFont="1" applyNumberFormat="1"/>
    <xf borderId="0" fillId="0" fontId="2" numFmtId="0" xfId="0" applyAlignment="1" applyFont="1">
      <alignment horizontal="center" readingOrder="0" shrinkToFit="0" wrapText="1"/>
    </xf>
    <xf borderId="0" fillId="0" fontId="3" numFmtId="165" xfId="0" applyFont="1" applyNumberFormat="1"/>
    <xf borderId="0" fillId="0" fontId="3" numFmtId="0" xfId="0" applyFont="1"/>
    <xf borderId="0" fillId="0" fontId="1" numFmtId="0" xfId="0" applyAlignment="1" applyFont="1">
      <alignment horizontal="right" shrinkToFit="0" wrapText="1"/>
    </xf>
    <xf borderId="0" fillId="0" fontId="1" numFmtId="49" xfId="0" applyAlignment="1" applyFont="1" applyNumberFormat="1">
      <alignment horizontal="right" shrinkToFit="0" wrapText="1"/>
    </xf>
    <xf borderId="0" fillId="0" fontId="1" numFmtId="3" xfId="0" applyAlignment="1" applyFont="1" applyNumberFormat="1">
      <alignment horizontal="right" shrinkToFit="0" wrapText="1"/>
    </xf>
    <xf borderId="0" fillId="0" fontId="1" numFmtId="2" xfId="0" applyAlignment="1" applyFont="1" applyNumberFormat="1">
      <alignment horizontal="center" shrinkToFit="0" wrapText="1"/>
    </xf>
    <xf borderId="0" fillId="0" fontId="4" numFmtId="164" xfId="0" applyAlignment="1" applyFont="1" applyNumberFormat="1">
      <alignment horizontal="center" shrinkToFit="0" wrapText="1"/>
    </xf>
    <xf borderId="0" fillId="0" fontId="6" numFmtId="164" xfId="0" applyFont="1" applyNumberFormat="1"/>
    <xf borderId="0" fillId="0" fontId="6" numFmtId="4" xfId="0" applyFont="1" applyNumberFormat="1"/>
    <xf borderId="0" fillId="0" fontId="10" numFmtId="164" xfId="0" applyAlignment="1" applyFont="1" applyNumberFormat="1">
      <alignment horizontal="center" shrinkToFit="0" wrapText="1"/>
    </xf>
    <xf borderId="0" fillId="0" fontId="6" numFmtId="165" xfId="0" applyFont="1" applyNumberFormat="1"/>
    <xf borderId="0" fillId="0" fontId="6" numFmtId="0" xfId="0" applyFont="1"/>
    <xf borderId="0" fillId="0" fontId="6" numFmtId="166" xfId="0" applyFont="1" applyNumberFormat="1"/>
    <xf borderId="0" fillId="0" fontId="6" numFmtId="166" xfId="0" applyAlignment="1" applyFont="1" applyNumberFormat="1">
      <alignment readingOrder="0"/>
    </xf>
    <xf borderId="0" fillId="0" fontId="3" numFmtId="9" xfId="0" applyFont="1" applyNumberFormat="1"/>
    <xf borderId="1" fillId="5" fontId="11" numFmtId="0" xfId="0" applyAlignment="1" applyBorder="1" applyFill="1" applyFont="1">
      <alignment horizontal="right"/>
    </xf>
    <xf borderId="0" fillId="0" fontId="12" numFmtId="0" xfId="0" applyAlignment="1" applyFont="1">
      <alignment horizontal="right"/>
    </xf>
    <xf borderId="1" fillId="6" fontId="13" numFmtId="49" xfId="0" applyAlignment="1" applyBorder="1" applyFill="1" applyFont="1" applyNumberFormat="1">
      <alignment horizontal="right" shrinkToFit="0" wrapText="1"/>
    </xf>
    <xf borderId="0" fillId="0" fontId="14" numFmtId="49" xfId="0" applyAlignment="1" applyFont="1" applyNumberFormat="1">
      <alignment horizontal="right" shrinkToFit="0" wrapText="1"/>
    </xf>
    <xf borderId="0" fillId="0" fontId="13" numFmtId="3" xfId="0" applyAlignment="1" applyFont="1" applyNumberFormat="1">
      <alignment horizontal="right" shrinkToFit="0" wrapText="1"/>
    </xf>
    <xf borderId="0" fillId="0" fontId="6" numFmtId="10" xfId="0" applyAlignment="1" applyFont="1" applyNumberFormat="1">
      <alignment horizontal="right"/>
    </xf>
    <xf borderId="0" fillId="0" fontId="13" numFmtId="0" xfId="0" applyFont="1"/>
    <xf borderId="0" fillId="0" fontId="6" numFmtId="3" xfId="0" applyAlignment="1" applyFont="1" applyNumberFormat="1">
      <alignment horizontal="right"/>
    </xf>
    <xf borderId="0" fillId="0" fontId="6" numFmtId="164" xfId="0" applyAlignment="1" applyFont="1" applyNumberFormat="1">
      <alignment horizontal="right"/>
    </xf>
    <xf borderId="0" fillId="0" fontId="15" numFmtId="3" xfId="0" applyFont="1" applyNumberFormat="1"/>
    <xf borderId="0" fillId="0" fontId="16" numFmtId="3" xfId="0" applyFont="1" applyNumberFormat="1"/>
    <xf borderId="0" fillId="0" fontId="13" numFmtId="4" xfId="0" applyFont="1" applyNumberFormat="1"/>
    <xf borderId="0" fillId="0" fontId="7" numFmtId="164" xfId="0" applyFont="1" applyNumberFormat="1"/>
    <xf borderId="0" fillId="0" fontId="16" numFmtId="167" xfId="0" applyFont="1" applyNumberFormat="1"/>
    <xf borderId="0" fillId="0" fontId="6" numFmtId="3" xfId="0" applyFont="1" applyNumberFormat="1"/>
    <xf borderId="0" fillId="0" fontId="16" numFmtId="9" xfId="0" applyFont="1" applyNumberFormat="1"/>
    <xf borderId="0" fillId="0" fontId="3" numFmtId="3" xfId="0" applyFont="1" applyNumberFormat="1"/>
    <xf borderId="1" fillId="5" fontId="13" numFmtId="0" xfId="0" applyAlignment="1" applyBorder="1" applyFont="1">
      <alignment horizontal="right"/>
    </xf>
    <xf borderId="1" fillId="7" fontId="16" numFmtId="3" xfId="0" applyBorder="1" applyFill="1" applyFont="1" applyNumberFormat="1"/>
    <xf borderId="0" fillId="0" fontId="11" numFmtId="0" xfId="0" applyAlignment="1" applyFont="1">
      <alignment horizontal="right"/>
    </xf>
    <xf borderId="1" fillId="8" fontId="13" numFmtId="49" xfId="0" applyAlignment="1" applyBorder="1" applyFill="1" applyFont="1" applyNumberFormat="1">
      <alignment horizontal="right" shrinkToFit="0" wrapText="1"/>
    </xf>
    <xf borderId="0" fillId="0" fontId="11" numFmtId="49" xfId="0" applyAlignment="1" applyFont="1" applyNumberFormat="1">
      <alignment horizontal="right" shrinkToFit="0" wrapText="1"/>
    </xf>
    <xf borderId="0" fillId="0" fontId="6" numFmtId="0" xfId="0" applyAlignment="1" applyFont="1">
      <alignment horizontal="right"/>
    </xf>
    <xf borderId="0" fillId="0" fontId="13" numFmtId="49" xfId="0" applyAlignment="1" applyFont="1" applyNumberFormat="1">
      <alignment horizontal="right" shrinkToFit="0" wrapText="1"/>
    </xf>
    <xf borderId="0" fillId="0" fontId="6" numFmtId="49" xfId="0" applyAlignment="1" applyFont="1" applyNumberFormat="1">
      <alignment horizontal="right" shrinkToFit="0" wrapText="1"/>
    </xf>
    <xf borderId="0" fillId="0" fontId="6" numFmtId="49" xfId="0" applyAlignment="1" applyFont="1" applyNumberFormat="1">
      <alignment horizontal="right"/>
    </xf>
    <xf borderId="1" fillId="9" fontId="17" numFmtId="49" xfId="0" applyAlignment="1" applyBorder="1" applyFill="1" applyFont="1" applyNumberFormat="1">
      <alignment horizontal="right"/>
    </xf>
    <xf borderId="0" fillId="0" fontId="6" numFmtId="49" xfId="0" applyAlignment="1" applyFont="1" applyNumberFormat="1">
      <alignment horizontal="left" shrinkToFit="0" wrapText="1"/>
    </xf>
    <xf borderId="0" fillId="0" fontId="18" numFmtId="49" xfId="0" applyAlignment="1" applyFont="1" applyNumberFormat="1">
      <alignment horizontal="right"/>
    </xf>
    <xf borderId="1" fillId="9" fontId="19" numFmtId="0" xfId="0" applyAlignment="1" applyBorder="1" applyFont="1">
      <alignment horizontal="right"/>
    </xf>
    <xf borderId="1" fillId="10" fontId="13" numFmtId="49" xfId="0" applyAlignment="1" applyBorder="1" applyFill="1" applyFont="1" applyNumberFormat="1">
      <alignment horizontal="right" shrinkToFit="0" wrapText="1"/>
    </xf>
    <xf borderId="0" fillId="0" fontId="20" numFmtId="167" xfId="0" applyFont="1" applyNumberFormat="1"/>
    <xf borderId="1" fillId="11" fontId="6" numFmtId="49" xfId="0" applyAlignment="1" applyBorder="1" applyFill="1" applyFont="1" applyNumberFormat="1">
      <alignment horizontal="right" shrinkToFit="0" wrapText="1"/>
    </xf>
    <xf borderId="0" fillId="0" fontId="14" numFmtId="0" xfId="0" applyAlignment="1" applyFont="1">
      <alignment horizontal="right"/>
    </xf>
    <xf borderId="1" fillId="11" fontId="13" numFmtId="49" xfId="0" applyAlignment="1" applyBorder="1" applyFont="1" applyNumberFormat="1">
      <alignment horizontal="right" shrinkToFit="0" wrapText="1"/>
    </xf>
    <xf borderId="0" fillId="0" fontId="14" numFmtId="3" xfId="0" applyAlignment="1" applyFont="1" applyNumberFormat="1">
      <alignment horizontal="right" shrinkToFit="0" wrapText="1"/>
    </xf>
    <xf borderId="1" fillId="5" fontId="6" numFmtId="0" xfId="0" applyAlignment="1" applyBorder="1" applyFont="1">
      <alignment horizontal="right"/>
    </xf>
    <xf borderId="1" fillId="2" fontId="13" numFmtId="49" xfId="0" applyAlignment="1" applyBorder="1" applyFont="1" applyNumberFormat="1">
      <alignment horizontal="right" shrinkToFit="0" wrapText="1"/>
    </xf>
    <xf borderId="1" fillId="9" fontId="15" numFmtId="3" xfId="0" applyBorder="1" applyFont="1" applyNumberFormat="1"/>
    <xf borderId="1" fillId="9" fontId="1" numFmtId="0" xfId="0" applyBorder="1" applyFont="1"/>
    <xf borderId="1" fillId="9" fontId="16" numFmtId="3" xfId="0" applyBorder="1" applyFont="1" applyNumberFormat="1"/>
    <xf borderId="0" fillId="0" fontId="1" numFmtId="3" xfId="0" applyFont="1" applyNumberFormat="1"/>
    <xf borderId="1" fillId="10" fontId="6" numFmtId="49" xfId="0" applyAlignment="1" applyBorder="1" applyFont="1" applyNumberFormat="1">
      <alignment horizontal="right" shrinkToFit="0" wrapText="1"/>
    </xf>
    <xf borderId="0" fillId="0" fontId="21" numFmtId="0" xfId="0" applyAlignment="1" applyFont="1">
      <alignment horizontal="right"/>
    </xf>
    <xf borderId="0" fillId="9" fontId="15" numFmtId="3" xfId="0" applyFont="1" applyNumberFormat="1"/>
    <xf borderId="0" fillId="9" fontId="6" numFmtId="0" xfId="0" applyFont="1"/>
    <xf borderId="0" fillId="9" fontId="16" numFmtId="3" xfId="0" applyFont="1" applyNumberFormat="1"/>
    <xf borderId="1" fillId="9" fontId="6" numFmtId="0" xfId="0" applyBorder="1" applyFont="1"/>
    <xf borderId="0" fillId="0" fontId="6" numFmtId="0" xfId="0" applyAlignment="1" applyFont="1">
      <alignment horizontal="right" readingOrder="0"/>
    </xf>
    <xf borderId="0" fillId="0" fontId="13" numFmtId="0" xfId="0" applyAlignment="1" applyFont="1">
      <alignment horizontal="right"/>
    </xf>
    <xf borderId="2" fillId="0" fontId="6" numFmtId="0" xfId="0" applyAlignment="1" applyBorder="1" applyFont="1">
      <alignment horizontal="right"/>
    </xf>
    <xf borderId="2" fillId="0" fontId="22" numFmtId="0" xfId="0" applyAlignment="1" applyBorder="1" applyFont="1">
      <alignment horizontal="right"/>
    </xf>
    <xf borderId="2" fillId="10" fontId="6" numFmtId="49" xfId="0" applyAlignment="1" applyBorder="1" applyFont="1" applyNumberFormat="1">
      <alignment horizontal="right" shrinkToFit="0" wrapText="1"/>
    </xf>
    <xf borderId="2" fillId="5" fontId="13" numFmtId="0" xfId="0" applyAlignment="1" applyBorder="1" applyFont="1">
      <alignment horizontal="right"/>
    </xf>
    <xf borderId="2" fillId="8" fontId="13" numFmtId="49" xfId="0" applyAlignment="1" applyBorder="1" applyFont="1" applyNumberFormat="1">
      <alignment horizontal="right" shrinkToFit="0" wrapText="1"/>
    </xf>
    <xf borderId="1" fillId="12" fontId="15" numFmtId="3" xfId="0" applyBorder="1" applyFill="1" applyFont="1" applyNumberFormat="1"/>
    <xf borderId="1" fillId="13" fontId="16" numFmtId="3" xfId="0" applyBorder="1" applyFill="1" applyFont="1" applyNumberFormat="1"/>
    <xf borderId="1" fillId="8" fontId="6" numFmtId="49" xfId="0" applyAlignment="1" applyBorder="1" applyFont="1" applyNumberFormat="1">
      <alignment horizontal="right" shrinkToFit="0" wrapText="1"/>
    </xf>
    <xf borderId="1" fillId="12" fontId="6" numFmtId="49" xfId="0" applyAlignment="1" applyBorder="1" applyFont="1" applyNumberFormat="1">
      <alignment horizontal="right" shrinkToFit="0" wrapText="1"/>
    </xf>
    <xf borderId="1" fillId="12" fontId="6" numFmtId="49" xfId="0" applyAlignment="1" applyBorder="1" applyFont="1" applyNumberFormat="1">
      <alignment horizontal="left" shrinkToFit="0" wrapText="1"/>
    </xf>
    <xf borderId="1" fillId="14" fontId="6" numFmtId="49" xfId="0" applyAlignment="1" applyBorder="1" applyFill="1" applyFont="1" applyNumberFormat="1">
      <alignment horizontal="right" shrinkToFit="0" wrapText="1"/>
    </xf>
    <xf borderId="1" fillId="14" fontId="13" numFmtId="49" xfId="0" applyAlignment="1" applyBorder="1" applyFont="1" applyNumberFormat="1">
      <alignment horizontal="right" shrinkToFit="0" wrapText="1"/>
    </xf>
    <xf borderId="1" fillId="5" fontId="23" numFmtId="0" xfId="0" applyAlignment="1" applyBorder="1" applyFont="1">
      <alignment horizontal="right"/>
    </xf>
    <xf borderId="0" fillId="0" fontId="23" numFmtId="49" xfId="0" applyAlignment="1" applyFont="1" applyNumberFormat="1">
      <alignment horizontal="right" shrinkToFit="0" wrapText="1"/>
    </xf>
    <xf borderId="0" fillId="0" fontId="1" numFmtId="0" xfId="0" applyFont="1"/>
    <xf borderId="0" fillId="0" fontId="1" numFmtId="3" xfId="0" applyAlignment="1" applyFont="1" applyNumberFormat="1">
      <alignment shrinkToFit="0" wrapText="1"/>
    </xf>
    <xf borderId="0" fillId="0" fontId="1" numFmtId="164" xfId="0" applyAlignment="1" applyFont="1" applyNumberFormat="1">
      <alignment horizontal="right"/>
    </xf>
    <xf borderId="0" fillId="0" fontId="24" numFmtId="3" xfId="0" applyFont="1" applyNumberFormat="1"/>
    <xf borderId="0" fillId="0" fontId="7" numFmtId="3" xfId="0" applyFont="1" applyNumberFormat="1"/>
    <xf borderId="0" fillId="0" fontId="6" numFmtId="1" xfId="0" applyFont="1" applyNumberFormat="1"/>
    <xf borderId="0" fillId="0" fontId="16" numFmtId="0" xfId="0" applyAlignment="1" applyFont="1">
      <alignment horizontal="right"/>
    </xf>
    <xf borderId="0" fillId="0" fontId="16" numFmtId="49" xfId="0" applyAlignment="1" applyFont="1" applyNumberFormat="1">
      <alignment horizontal="right" shrinkToFit="0" wrapText="1"/>
    </xf>
    <xf borderId="0" fillId="0" fontId="16" numFmtId="3" xfId="0" applyAlignment="1" applyFont="1" applyNumberFormat="1">
      <alignment horizontal="right" shrinkToFit="0" wrapText="1"/>
    </xf>
    <xf borderId="0" fillId="0" fontId="16" numFmtId="164" xfId="0" applyAlignment="1" applyFont="1" applyNumberFormat="1">
      <alignment horizontal="right"/>
    </xf>
    <xf borderId="0" fillId="0" fontId="16" numFmtId="3" xfId="0" applyAlignment="1" applyFont="1" applyNumberFormat="1">
      <alignment horizontal="right"/>
    </xf>
    <xf borderId="0" fillId="0" fontId="7" numFmtId="0" xfId="0" applyFont="1"/>
    <xf borderId="0" fillId="0" fontId="7" numFmtId="4" xfId="0" applyFont="1" applyNumberFormat="1"/>
    <xf borderId="0" fillId="0" fontId="7" numFmtId="165" xfId="0" applyFont="1" applyNumberFormat="1"/>
    <xf borderId="1" fillId="15" fontId="16" numFmtId="0" xfId="0" applyAlignment="1" applyBorder="1" applyFill="1" applyFont="1">
      <alignment horizontal="right"/>
    </xf>
    <xf borderId="1" fillId="15" fontId="16" numFmtId="49" xfId="0" applyAlignment="1" applyBorder="1" applyFont="1" applyNumberFormat="1">
      <alignment horizontal="right" shrinkToFit="0" wrapText="1"/>
    </xf>
    <xf borderId="1" fillId="15" fontId="1" numFmtId="3" xfId="0" applyBorder="1" applyFont="1" applyNumberFormat="1"/>
    <xf borderId="1" fillId="15" fontId="6" numFmtId="164" xfId="0" applyAlignment="1" applyBorder="1" applyFont="1" applyNumberFormat="1">
      <alignment horizontal="right"/>
    </xf>
    <xf borderId="1" fillId="15" fontId="6" numFmtId="9" xfId="0" applyAlignment="1" applyBorder="1" applyFont="1" applyNumberFormat="1">
      <alignment horizontal="right"/>
    </xf>
    <xf borderId="1" fillId="16" fontId="16" numFmtId="3" xfId="0" applyBorder="1" applyFill="1" applyFont="1" applyNumberFormat="1"/>
    <xf borderId="1" fillId="16" fontId="7" numFmtId="0" xfId="0" applyBorder="1" applyFont="1"/>
    <xf borderId="1" fillId="15" fontId="16" numFmtId="3" xfId="0" applyBorder="1" applyFont="1" applyNumberFormat="1"/>
    <xf borderId="1" fillId="15" fontId="7" numFmtId="4" xfId="0" applyBorder="1" applyFont="1" applyNumberFormat="1"/>
    <xf borderId="1" fillId="15" fontId="7" numFmtId="164" xfId="0" applyBorder="1" applyFont="1" applyNumberFormat="1"/>
    <xf borderId="1" fillId="0" fontId="7" numFmtId="165" xfId="0" applyBorder="1" applyFont="1" applyNumberFormat="1"/>
    <xf borderId="1" fillId="15" fontId="3" numFmtId="3" xfId="0" applyBorder="1" applyFont="1" applyNumberFormat="1"/>
    <xf borderId="1" fillId="15" fontId="3" numFmtId="164" xfId="0" applyBorder="1" applyFont="1" applyNumberFormat="1"/>
    <xf borderId="1" fillId="15" fontId="7" numFmtId="0" xfId="0" applyBorder="1" applyFont="1"/>
    <xf borderId="0" fillId="0" fontId="6" numFmtId="2" xfId="0" applyFont="1" applyNumberFormat="1"/>
    <xf borderId="0" fillId="0" fontId="3" numFmtId="0" xfId="0" applyAlignment="1" applyFont="1">
      <alignment horizontal="right"/>
    </xf>
    <xf borderId="0" fillId="0" fontId="3" numFmtId="164" xfId="0" applyAlignment="1" applyFont="1" applyNumberFormat="1">
      <alignment horizontal="right"/>
    </xf>
    <xf borderId="0" fillId="0" fontId="6" numFmtId="3" xfId="0" applyAlignment="1" applyFont="1" applyNumberFormat="1">
      <alignment horizontal="right" shrinkToFit="0" wrapText="1"/>
    </xf>
    <xf borderId="0" fillId="0" fontId="6" numFmtId="164" xfId="0" applyAlignment="1" applyFont="1" applyNumberFormat="1">
      <alignment horizontal="right" shrinkToFit="0" wrapText="1"/>
    </xf>
    <xf borderId="0" fillId="0" fontId="13" numFmtId="3" xfId="0" applyFont="1" applyNumberFormat="1"/>
    <xf borderId="0" fillId="0" fontId="4" numFmtId="3" xfId="0" applyFont="1" applyNumberFormat="1"/>
    <xf borderId="0" fillId="0" fontId="6" numFmtId="3" xfId="0" applyAlignment="1" applyFont="1" applyNumberFormat="1">
      <alignment shrinkToFit="0" wrapText="1"/>
    </xf>
    <xf borderId="0" fillId="0" fontId="6" numFmtId="0" xfId="0" applyAlignment="1" applyFont="1">
      <alignment horizontal="right" shrinkToFit="0" wrapText="1"/>
    </xf>
    <xf borderId="3" fillId="0" fontId="6" numFmtId="0" xfId="0" applyAlignment="1" applyBorder="1" applyFont="1">
      <alignment horizontal="right" shrinkToFit="0" wrapText="1"/>
    </xf>
    <xf borderId="0" fillId="0" fontId="25" numFmtId="0" xfId="0" applyAlignment="1" applyFont="1">
      <alignment horizontal="right"/>
    </xf>
    <xf borderId="4" fillId="17" fontId="26" numFmtId="0" xfId="0" applyAlignment="1" applyBorder="1" applyFill="1" applyFont="1">
      <alignment shrinkToFit="0" vertical="center" wrapText="1"/>
    </xf>
    <xf borderId="0" fillId="0" fontId="25" numFmtId="49" xfId="0" applyAlignment="1" applyFont="1" applyNumberFormat="1">
      <alignment horizontal="right" shrinkToFit="0" wrapText="1"/>
    </xf>
    <xf borderId="0" fillId="0" fontId="6" numFmtId="9" xfId="0" applyAlignment="1" applyFont="1" applyNumberFormat="1">
      <alignment shrinkToFit="0" wrapText="1"/>
    </xf>
    <xf borderId="0" fillId="0" fontId="27" numFmtId="0" xfId="0" applyFont="1"/>
    <xf borderId="0" fillId="18" fontId="28" numFmtId="0" xfId="0" applyAlignment="1" applyFill="1" applyFont="1">
      <alignment vertical="top"/>
    </xf>
    <xf borderId="0" fillId="0" fontId="29" numFmtId="0" xfId="0" applyFont="1"/>
    <xf borderId="5" fillId="19" fontId="28" numFmtId="0" xfId="0" applyAlignment="1" applyBorder="1" applyFill="1" applyFont="1">
      <alignment vertical="top"/>
    </xf>
    <xf borderId="0" fillId="20" fontId="6" numFmtId="9" xfId="0" applyAlignment="1" applyFill="1" applyFont="1" applyNumberFormat="1">
      <alignment shrinkToFit="0" wrapText="1"/>
    </xf>
    <xf borderId="0" fillId="0" fontId="30" numFmtId="0" xfId="0" applyFont="1"/>
    <xf borderId="0" fillId="0" fontId="14" numFmtId="9" xfId="0" applyAlignment="1" applyFont="1" applyNumberFormat="1">
      <alignment shrinkToFit="0" wrapText="1"/>
    </xf>
    <xf borderId="5" fillId="21" fontId="28" numFmtId="0" xfId="0" applyAlignment="1" applyBorder="1" applyFill="1" applyFont="1">
      <alignment vertical="top"/>
    </xf>
    <xf borderId="0" fillId="20" fontId="14" numFmtId="9" xfId="0" applyAlignment="1" applyFont="1" applyNumberFormat="1">
      <alignment shrinkToFit="0" wrapText="1"/>
    </xf>
    <xf borderId="0" fillId="0" fontId="13" numFmtId="9" xfId="0" applyAlignment="1" applyFont="1" applyNumberFormat="1">
      <alignment shrinkToFit="0" wrapText="1"/>
    </xf>
    <xf borderId="5" fillId="22" fontId="28" numFmtId="0" xfId="0" applyAlignment="1" applyBorder="1" applyFill="1" applyFont="1">
      <alignment vertical="top"/>
    </xf>
    <xf borderId="0" fillId="23" fontId="6" numFmtId="9" xfId="0" applyAlignment="1" applyFill="1" applyFont="1" applyNumberFormat="1">
      <alignment shrinkToFit="0" wrapText="1"/>
    </xf>
    <xf borderId="5" fillId="24" fontId="28" numFmtId="0" xfId="0" applyAlignment="1" applyBorder="1" applyFill="1" applyFont="1">
      <alignment vertical="top"/>
    </xf>
    <xf borderId="0" fillId="23" fontId="14" numFmtId="9" xfId="0" applyAlignment="1" applyFont="1" applyNumberFormat="1">
      <alignment shrinkToFit="0" wrapText="1"/>
    </xf>
    <xf borderId="5" fillId="25" fontId="28" numFmtId="0" xfId="0" applyAlignment="1" applyBorder="1" applyFill="1" applyFont="1">
      <alignment vertical="top"/>
    </xf>
    <xf borderId="0" fillId="26" fontId="6" numFmtId="9" xfId="0" applyAlignment="1" applyFill="1" applyFont="1" applyNumberFormat="1">
      <alignment shrinkToFit="0" wrapText="1"/>
    </xf>
    <xf borderId="5" fillId="27" fontId="28" numFmtId="0" xfId="0" applyAlignment="1" applyBorder="1" applyFill="1" applyFont="1">
      <alignment vertical="top"/>
    </xf>
    <xf borderId="0" fillId="26" fontId="6" numFmtId="164" xfId="0" applyFont="1" applyNumberFormat="1"/>
    <xf borderId="0" fillId="0" fontId="31" numFmtId="165" xfId="0" applyFont="1" applyNumberFormat="1"/>
    <xf borderId="5" fillId="11" fontId="4" numFmtId="0" xfId="0" applyAlignment="1" applyBorder="1" applyFont="1">
      <alignment horizontal="left" shrinkToFit="0" wrapText="1"/>
    </xf>
    <xf borderId="5" fillId="0" fontId="4" numFmtId="0" xfId="0" applyAlignment="1" applyBorder="1" applyFont="1">
      <alignment horizontal="left" shrinkToFit="0" wrapText="1"/>
    </xf>
    <xf borderId="5" fillId="10" fontId="4" numFmtId="0" xfId="0" applyAlignment="1" applyBorder="1" applyFont="1">
      <alignment horizontal="center" shrinkToFit="0" wrapText="1"/>
    </xf>
    <xf borderId="5" fillId="10" fontId="4" numFmtId="0" xfId="0" applyAlignment="1" applyBorder="1" applyFont="1">
      <alignment horizontal="center" readingOrder="0" shrinkToFit="0" wrapText="1"/>
    </xf>
    <xf borderId="5" fillId="8" fontId="4" numFmtId="0" xfId="0" applyAlignment="1" applyBorder="1" applyFont="1">
      <alignment horizontal="center" shrinkToFit="0" wrapText="1"/>
    </xf>
    <xf borderId="5" fillId="8" fontId="4" numFmtId="0" xfId="0" applyAlignment="1" applyBorder="1" applyFont="1">
      <alignment horizontal="center" readingOrder="0" shrinkToFit="0" wrapText="1"/>
    </xf>
    <xf borderId="1" fillId="22" fontId="1" numFmtId="3" xfId="0" applyAlignment="1" applyBorder="1" applyFont="1" applyNumberFormat="1">
      <alignment horizontal="center" shrinkToFit="0" wrapText="1"/>
    </xf>
    <xf borderId="1" fillId="24" fontId="1" numFmtId="3" xfId="0" applyAlignment="1" applyBorder="1" applyFont="1" applyNumberFormat="1">
      <alignment horizontal="center" shrinkToFit="0" wrapText="1"/>
    </xf>
    <xf borderId="1" fillId="22" fontId="1" numFmtId="3" xfId="0" applyAlignment="1" applyBorder="1" applyFont="1" applyNumberFormat="1">
      <alignment horizontal="center" readingOrder="0" shrinkToFit="0" wrapText="1"/>
    </xf>
    <xf borderId="1" fillId="24" fontId="1" numFmtId="3" xfId="0" applyAlignment="1" applyBorder="1" applyFont="1" applyNumberFormat="1">
      <alignment horizontal="center" readingOrder="0" shrinkToFit="0" wrapText="1"/>
    </xf>
    <xf borderId="0" fillId="0" fontId="6" numFmtId="0" xfId="0" applyAlignment="1" applyFont="1">
      <alignment readingOrder="0"/>
    </xf>
    <xf borderId="0" fillId="0" fontId="13" numFmtId="3" xfId="0" applyAlignment="1" applyFont="1" applyNumberFormat="1">
      <alignment horizontal="right"/>
    </xf>
    <xf borderId="0" fillId="0" fontId="13" numFmtId="3" xfId="0" applyAlignment="1" applyFont="1" applyNumberFormat="1">
      <alignment readingOrder="0"/>
    </xf>
    <xf borderId="0" fillId="0" fontId="6" numFmtId="3" xfId="0" applyAlignment="1" applyFont="1" applyNumberFormat="1">
      <alignment readingOrder="0"/>
    </xf>
    <xf borderId="0" fillId="22" fontId="6" numFmtId="3" xfId="0" applyFont="1" applyNumberFormat="1"/>
    <xf borderId="0" fillId="24" fontId="6" numFmtId="3" xfId="0" applyFont="1" applyNumberFormat="1"/>
    <xf borderId="0" fillId="22" fontId="6" numFmtId="3" xfId="0" applyAlignment="1" applyFont="1" applyNumberFormat="1">
      <alignment readingOrder="0"/>
    </xf>
    <xf borderId="0" fillId="24" fontId="6" numFmtId="3" xfId="0" applyAlignment="1" applyFont="1" applyNumberFormat="1">
      <alignment readingOrder="0"/>
    </xf>
    <xf borderId="0" fillId="22" fontId="31" numFmtId="3" xfId="0" applyAlignment="1" applyFont="1" applyNumberFormat="1">
      <alignment readingOrder="0"/>
    </xf>
    <xf borderId="0" fillId="0" fontId="6" numFmtId="10" xfId="0" applyFont="1" applyNumberFormat="1"/>
    <xf borderId="0" fillId="0" fontId="14" numFmtId="3" xfId="0" applyFont="1" applyNumberFormat="1"/>
    <xf borderId="5" fillId="0" fontId="6" numFmtId="0" xfId="0" applyAlignment="1" applyBorder="1" applyFont="1">
      <alignment shrinkToFit="0" wrapText="1"/>
    </xf>
    <xf borderId="0" fillId="0" fontId="6" numFmtId="0" xfId="0" applyAlignment="1" applyFont="1">
      <alignment shrinkToFit="0" wrapText="1"/>
    </xf>
    <xf borderId="1" fillId="28" fontId="6" numFmtId="0" xfId="0" applyBorder="1" applyFill="1" applyFont="1"/>
    <xf borderId="1" fillId="28" fontId="6" numFmtId="3" xfId="0" applyBorder="1" applyFont="1" applyNumberFormat="1"/>
    <xf borderId="1" fillId="28" fontId="13" numFmtId="3" xfId="0" applyBorder="1" applyFont="1" applyNumberFormat="1"/>
    <xf borderId="1" fillId="28" fontId="13" numFmtId="3" xfId="0" applyAlignment="1" applyBorder="1" applyFont="1" applyNumberFormat="1">
      <alignment readingOrder="0"/>
    </xf>
    <xf borderId="0" fillId="22" fontId="6" numFmtId="3" xfId="0" applyAlignment="1" applyFont="1" applyNumberFormat="1">
      <alignment horizontal="right"/>
    </xf>
    <xf borderId="0" fillId="24" fontId="6" numFmtId="3" xfId="0" applyAlignment="1" applyFont="1" applyNumberFormat="1">
      <alignment horizontal="right"/>
    </xf>
    <xf borderId="0" fillId="22" fontId="32" numFmtId="3" xfId="0" applyFont="1" applyNumberFormat="1"/>
    <xf borderId="0" fillId="24" fontId="32" numFmtId="3" xfId="0" applyFont="1" applyNumberFormat="1"/>
    <xf borderId="5" fillId="0" fontId="33" numFmtId="0" xfId="0" applyAlignment="1" applyBorder="1" applyFont="1">
      <alignment readingOrder="0" shrinkToFit="0" wrapText="1"/>
    </xf>
    <xf borderId="0" fillId="0" fontId="33" numFmtId="0" xfId="0" applyAlignment="1" applyFont="1">
      <alignment shrinkToFit="0" wrapText="1"/>
    </xf>
    <xf borderId="1" fillId="28" fontId="14" numFmtId="3" xfId="0" applyBorder="1" applyFont="1" applyNumberFormat="1"/>
    <xf borderId="5" fillId="0" fontId="33" numFmtId="0" xfId="0" applyAlignment="1" applyBorder="1" applyFont="1">
      <alignment shrinkToFit="0" wrapText="1"/>
    </xf>
    <xf borderId="0" fillId="22" fontId="34" numFmtId="3" xfId="0" applyAlignment="1" applyFont="1" applyNumberFormat="1">
      <alignment readingOrder="0"/>
    </xf>
    <xf borderId="0" fillId="24" fontId="14" numFmtId="3" xfId="0" applyAlignment="1" applyFont="1" applyNumberFormat="1">
      <alignment readingOrder="0"/>
    </xf>
    <xf borderId="0" fillId="9" fontId="13" numFmtId="3" xfId="0" applyAlignment="1" applyFont="1" applyNumberFormat="1">
      <alignment readingOrder="0"/>
    </xf>
    <xf borderId="0" fillId="24" fontId="13" numFmtId="3" xfId="0" applyAlignment="1" applyFont="1" applyNumberFormat="1">
      <alignment readingOrder="0"/>
    </xf>
    <xf borderId="0" fillId="22" fontId="10" numFmtId="3" xfId="0" applyFont="1" applyNumberFormat="1"/>
    <xf borderId="0" fillId="24" fontId="10" numFmtId="3" xfId="0" applyFont="1" applyNumberFormat="1"/>
    <xf borderId="0" fillId="22" fontId="14" numFmtId="3" xfId="0" applyFont="1" applyNumberFormat="1"/>
    <xf borderId="0" fillId="24" fontId="14" numFmtId="3" xfId="0" applyFont="1" applyNumberFormat="1"/>
    <xf borderId="0" fillId="0" fontId="14" numFmtId="3" xfId="0" applyAlignment="1" applyFont="1" applyNumberFormat="1">
      <alignment horizontal="right"/>
    </xf>
    <xf borderId="5" fillId="0" fontId="13" numFmtId="0" xfId="0" applyBorder="1" applyFont="1"/>
    <xf borderId="0" fillId="0" fontId="13" numFmtId="0" xfId="0" applyAlignment="1" applyFont="1">
      <alignment readingOrder="0"/>
    </xf>
    <xf borderId="5" fillId="0" fontId="6" numFmtId="0" xfId="0" applyAlignment="1" applyBorder="1" applyFont="1">
      <alignment horizontal="left" shrinkToFit="0" wrapText="1"/>
    </xf>
    <xf borderId="0" fillId="0" fontId="4" numFmtId="0" xfId="0" applyFont="1"/>
    <xf borderId="0" fillId="22" fontId="1" numFmtId="3" xfId="0" applyFont="1" applyNumberFormat="1"/>
    <xf borderId="0" fillId="24" fontId="1" numFmtId="3" xfId="0" applyFont="1" applyNumberFormat="1"/>
    <xf borderId="0" fillId="0" fontId="13" numFmtId="3" xfId="0" applyAlignment="1" applyFont="1" applyNumberFormat="1">
      <alignment horizontal="right" readingOrder="0"/>
    </xf>
    <xf borderId="0" fillId="0" fontId="6" numFmtId="168" xfId="0" applyFont="1" applyNumberFormat="1"/>
    <xf borderId="0" fillId="0" fontId="35" numFmtId="0" xfId="0" applyFont="1"/>
    <xf borderId="0" fillId="0" fontId="36" numFmtId="0" xfId="0" applyFont="1"/>
    <xf borderId="1" fillId="11" fontId="1" numFmtId="3" xfId="0" applyAlignment="1" applyBorder="1" applyFont="1" applyNumberFormat="1">
      <alignment horizontal="center" shrinkToFit="0" wrapText="1"/>
    </xf>
    <xf borderId="1" fillId="6" fontId="1" numFmtId="3" xfId="0" applyAlignment="1" applyBorder="1" applyFont="1" applyNumberFormat="1">
      <alignment horizontal="center" shrinkToFit="0" wrapText="1"/>
    </xf>
    <xf borderId="0" fillId="0" fontId="14" numFmtId="1" xfId="0" applyFont="1" applyNumberFormat="1"/>
    <xf borderId="1" fillId="29" fontId="1" numFmtId="0" xfId="0" applyAlignment="1" applyBorder="1" applyFill="1" applyFont="1">
      <alignment horizontal="center" shrinkToFit="0" wrapText="1"/>
    </xf>
    <xf borderId="1" fillId="16" fontId="6" numFmtId="49" xfId="0" applyBorder="1" applyFont="1" applyNumberFormat="1"/>
    <xf borderId="1" fillId="4" fontId="5" numFmtId="49" xfId="0" applyAlignment="1" applyBorder="1" applyFont="1" applyNumberFormat="1">
      <alignment horizontal="center" shrinkToFit="0" wrapText="1"/>
    </xf>
    <xf borderId="1" fillId="9" fontId="1" numFmtId="3" xfId="0" applyAlignment="1" applyBorder="1" applyFont="1" applyNumberFormat="1">
      <alignment horizontal="center" shrinkToFit="0" wrapText="1"/>
    </xf>
    <xf borderId="0" fillId="0" fontId="6" numFmtId="49" xfId="0" applyAlignment="1" applyFont="1" applyNumberFormat="1">
      <alignment horizontal="center" shrinkToFit="0" wrapText="1"/>
    </xf>
    <xf borderId="1" fillId="8" fontId="1" numFmtId="3" xfId="0" applyAlignment="1" applyBorder="1" applyFont="1" applyNumberFormat="1">
      <alignment horizontal="center" shrinkToFit="0" wrapText="1"/>
    </xf>
    <xf borderId="1" fillId="8" fontId="1" numFmtId="2" xfId="0" applyAlignment="1" applyBorder="1" applyFont="1" applyNumberFormat="1">
      <alignment horizontal="center" shrinkToFit="0" wrapText="1"/>
    </xf>
    <xf borderId="1" fillId="30" fontId="1" numFmtId="3" xfId="0" applyAlignment="1" applyBorder="1" applyFill="1" applyFont="1" applyNumberFormat="1">
      <alignment horizontal="center" shrinkToFit="0" wrapText="1"/>
    </xf>
    <xf borderId="1" fillId="31" fontId="1" numFmtId="3" xfId="0" applyAlignment="1" applyBorder="1" applyFill="1" applyFont="1" applyNumberFormat="1">
      <alignment horizontal="center" shrinkToFit="0" wrapText="1"/>
    </xf>
    <xf borderId="1" fillId="16" fontId="3" numFmtId="0" xfId="0" applyBorder="1" applyFont="1"/>
    <xf borderId="0" fillId="0" fontId="3" numFmtId="169" xfId="0" applyAlignment="1" applyFont="1" applyNumberFormat="1">
      <alignment horizontal="center" shrinkToFit="0" wrapText="1"/>
    </xf>
    <xf borderId="0" fillId="0" fontId="3" numFmtId="166" xfId="0" applyFont="1" applyNumberFormat="1"/>
    <xf borderId="1" fillId="16" fontId="6" numFmtId="0" xfId="0" applyBorder="1" applyFont="1"/>
    <xf borderId="0" fillId="0" fontId="4" numFmtId="9" xfId="0" applyAlignment="1" applyFont="1" applyNumberFormat="1">
      <alignment horizontal="center" shrinkToFit="0" wrapText="1"/>
    </xf>
    <xf borderId="0" fillId="0" fontId="1" numFmtId="9" xfId="0" applyAlignment="1" applyFont="1" applyNumberFormat="1">
      <alignment horizontal="center" shrinkToFit="0" wrapText="1"/>
    </xf>
    <xf borderId="0" fillId="0" fontId="1" numFmtId="9" xfId="0" applyFont="1" applyNumberFormat="1"/>
    <xf borderId="1" fillId="32" fontId="37" numFmtId="9" xfId="0" applyAlignment="1" applyBorder="1" applyFill="1" applyFont="1" applyNumberFormat="1">
      <alignment horizontal="center" shrinkToFit="0" wrapText="1"/>
    </xf>
    <xf borderId="6" fillId="0" fontId="1" numFmtId="9" xfId="0" applyAlignment="1" applyBorder="1" applyFont="1" applyNumberFormat="1">
      <alignment horizontal="center" shrinkToFit="0" wrapText="1"/>
    </xf>
    <xf borderId="0" fillId="0" fontId="1" numFmtId="2" xfId="0" applyFont="1" applyNumberFormat="1"/>
    <xf borderId="1" fillId="32" fontId="38" numFmtId="2" xfId="0" applyBorder="1" applyFont="1" applyNumberFormat="1"/>
    <xf borderId="0" fillId="0" fontId="6" numFmtId="166" xfId="0" applyAlignment="1" applyFont="1" applyNumberFormat="1">
      <alignment horizontal="right"/>
    </xf>
    <xf borderId="0" fillId="0" fontId="1" numFmtId="3" xfId="0" applyAlignment="1" applyFont="1" applyNumberFormat="1">
      <alignment horizontal="right"/>
    </xf>
    <xf borderId="0" fillId="0" fontId="1" numFmtId="166" xfId="0" applyAlignment="1" applyFont="1" applyNumberFormat="1">
      <alignment horizontal="right"/>
    </xf>
    <xf borderId="0" fillId="0" fontId="10" numFmtId="3" xfId="0" applyFont="1" applyNumberFormat="1"/>
    <xf borderId="1" fillId="16" fontId="1" numFmtId="3" xfId="0" applyBorder="1" applyFont="1" applyNumberFormat="1"/>
    <xf borderId="1" fillId="16" fontId="16" numFmtId="166" xfId="0" applyBorder="1" applyFont="1" applyNumberFormat="1"/>
    <xf borderId="1" fillId="15" fontId="6" numFmtId="0" xfId="0" applyBorder="1" applyFont="1"/>
    <xf borderId="0" fillId="0" fontId="1" numFmtId="166" xfId="0" applyFont="1" applyNumberFormat="1"/>
    <xf borderId="0" fillId="0" fontId="39" numFmtId="9" xfId="0" applyFont="1" applyNumberFormat="1"/>
    <xf borderId="0" fillId="0" fontId="40" numFmtId="0" xfId="0" applyFont="1"/>
    <xf borderId="1" fillId="16" fontId="6" numFmtId="164" xfId="0" applyBorder="1" applyFont="1" applyNumberFormat="1"/>
    <xf borderId="1" fillId="16" fontId="6" numFmtId="4" xfId="0" applyBorder="1" applyFont="1" applyNumberForma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pilotrockpl@centurytel.net" TargetMode="External"/><Relationship Id="rId42" Type="http://schemas.openxmlformats.org/officeDocument/2006/relationships/hyperlink" Target="mailto:debbiepfeiffer@hcsd3.k12.or.us" TargetMode="External"/><Relationship Id="rId41" Type="http://schemas.openxmlformats.org/officeDocument/2006/relationships/hyperlink" Target="mailto:mmartin2@sherman.k12.or.us" TargetMode="External"/><Relationship Id="rId44" Type="http://schemas.openxmlformats.org/officeDocument/2006/relationships/hyperlink" Target="mailto:penny.anderson@stanfieldsd.org" TargetMode="External"/><Relationship Id="rId43" Type="http://schemas.openxmlformats.org/officeDocument/2006/relationships/hyperlink" Target="mailto:librarydirector@cityofstanfield.com" TargetMode="External"/><Relationship Id="rId46" Type="http://schemas.openxmlformats.org/officeDocument/2006/relationships/hyperlink" Target="mailto:jwavrunek@ci.the-dalles.or.us" TargetMode="External"/><Relationship Id="rId45" Type="http://schemas.openxmlformats.org/officeDocument/2006/relationships/hyperlink" Target="mailto:malissa.minthorn@tamastslikt.org" TargetMode="External"/><Relationship Id="rId1" Type="http://schemas.openxmlformats.org/officeDocument/2006/relationships/comments" Target="../comments1.xml"/><Relationship Id="rId2" Type="http://schemas.openxmlformats.org/officeDocument/2006/relationships/hyperlink" Target="mailto:library@cityofadamsoregon.com" TargetMode="External"/><Relationship Id="rId3" Type="http://schemas.openxmlformats.org/officeDocument/2006/relationships/hyperlink" Target="mailto:arlingtonpubliclibraryor97812@gmail.com" TargetMode="External"/><Relationship Id="rId4" Type="http://schemas.openxmlformats.org/officeDocument/2006/relationships/hyperlink" Target="mailto:athenalibrary@cityofathena.com" TargetMode="External"/><Relationship Id="rId9" Type="http://schemas.openxmlformats.org/officeDocument/2006/relationships/hyperlink" Target="mailto:starbuck@harneyesd.k12.or.us" TargetMode="External"/><Relationship Id="rId48" Type="http://schemas.openxmlformats.org/officeDocument/2006/relationships/hyperlink" Target="mailto:Audrey.Durfey@ukiah.k12.or.us" TargetMode="External"/><Relationship Id="rId47" Type="http://schemas.openxmlformats.org/officeDocument/2006/relationships/hyperlink" Target="mailto:library@tvcc.cc" TargetMode="External"/><Relationship Id="rId49" Type="http://schemas.openxmlformats.org/officeDocument/2006/relationships/hyperlink" Target="mailto:library@umatilla-city.org" TargetMode="External"/><Relationship Id="rId5" Type="http://schemas.openxmlformats.org/officeDocument/2006/relationships/hyperlink" Target="mailto:info@bakerlib.org" TargetMode="External"/><Relationship Id="rId6" Type="http://schemas.openxmlformats.org/officeDocument/2006/relationships/hyperlink" Target="mailto:onlinelibrary@bluecc.edu" TargetMode="External"/><Relationship Id="rId7" Type="http://schemas.openxmlformats.org/officeDocument/2006/relationships/hyperlink" Target="mailto:DMcManus@cgcc.edu" TargetMode="External"/><Relationship Id="rId8" Type="http://schemas.openxmlformats.org/officeDocument/2006/relationships/hyperlink" Target="mailto:tallyk@cove.k12.or.us" TargetMode="External"/><Relationship Id="rId31" Type="http://schemas.openxmlformats.org/officeDocument/2006/relationships/hyperlink" Target="mailto:info@lakecountylibrary.org" TargetMode="External"/><Relationship Id="rId30" Type="http://schemas.openxmlformats.org/officeDocument/2006/relationships/hyperlink" Target="mailto:KRoberson@cookmemoriallibrary.org" TargetMode="External"/><Relationship Id="rId33" Type="http://schemas.openxmlformats.org/officeDocument/2006/relationships/hyperlink" Target="mailto:npcitylibrary1@gmail.com" TargetMode="External"/><Relationship Id="rId32" Type="http://schemas.openxmlformats.org/officeDocument/2006/relationships/hyperlink" Target="mailto:Lili.Schmidt@milton-freewater-or.gov" TargetMode="External"/><Relationship Id="rId35" Type="http://schemas.openxmlformats.org/officeDocument/2006/relationships/hyperlink" Target="mailto:ontariolibrarydistrict@yahoo.com" TargetMode="External"/><Relationship Id="rId34" Type="http://schemas.openxmlformats.org/officeDocument/2006/relationships/hyperlink" Target="mailto:nyssalibrary@nyssacity.org" TargetMode="External"/><Relationship Id="rId37" Type="http://schemas.openxmlformats.org/officeDocument/2006/relationships/hyperlink" Target="mailto:mfife@ontario.k12.or.us" TargetMode="External"/><Relationship Id="rId36" Type="http://schemas.openxmlformats.org/officeDocument/2006/relationships/hyperlink" Target="mailto:kpena@ontario.k12.or.us" TargetMode="External"/><Relationship Id="rId39" Type="http://schemas.openxmlformats.org/officeDocument/2006/relationships/hyperlink" Target="mailto:Jennifer.Costley@ci.pendleton.or.us" TargetMode="External"/><Relationship Id="rId38" Type="http://schemas.openxmlformats.org/officeDocument/2006/relationships/hyperlink" Target="mailto:boardman@otld.org" TargetMode="External"/><Relationship Id="rId20" Type="http://schemas.openxmlformats.org/officeDocument/2006/relationships/hyperlink" Target="mailto:mrose@hermiston.or.us" TargetMode="External"/><Relationship Id="rId22" Type="http://schemas.openxmlformats.org/officeDocument/2006/relationships/hyperlink" Target="mailto:info@hoodriverlibrary.org" TargetMode="External"/><Relationship Id="rId21" Type="http://schemas.openxmlformats.org/officeDocument/2006/relationships/hyperlink" Target="mailto:debbiepfeiffer@hcsd3.k12.or.us" TargetMode="External"/><Relationship Id="rId24" Type="http://schemas.openxmlformats.org/officeDocument/2006/relationships/hyperlink" Target="mailto:Harmonie.Hicks@huntington.k12.or.us" TargetMode="External"/><Relationship Id="rId23" Type="http://schemas.openxmlformats.org/officeDocument/2006/relationships/hyperlink" Target="mailto:ann.zuehlke@hoodriver.k12.or.us" TargetMode="External"/><Relationship Id="rId26" Type="http://schemas.openxmlformats.org/officeDocument/2006/relationships/hyperlink" Target="mailto:Cathy.Halvorsen@ione.k12.or.us" TargetMode="External"/><Relationship Id="rId25" Type="http://schemas.openxmlformats.org/officeDocument/2006/relationships/hyperlink" Target="mailto:ionelibrary@gmail.com" TargetMode="External"/><Relationship Id="rId28" Type="http://schemas.openxmlformats.org/officeDocument/2006/relationships/hyperlink" Target="mailto:rich@fishtrap.org" TargetMode="External"/><Relationship Id="rId27" Type="http://schemas.openxmlformats.org/officeDocument/2006/relationships/hyperlink" Target="mailto:joseph97846@hotmail.com" TargetMode="External"/><Relationship Id="rId29" Type="http://schemas.openxmlformats.org/officeDocument/2006/relationships/hyperlink" Target="mailto:kcclrc@klamathcc.edu" TargetMode="External"/><Relationship Id="rId51" Type="http://schemas.openxmlformats.org/officeDocument/2006/relationships/hyperlink" Target="mailto:pshevham@cityofvale.com" TargetMode="External"/><Relationship Id="rId50" Type="http://schemas.openxmlformats.org/officeDocument/2006/relationships/hyperlink" Target="mailto:library@cityofunion.com" TargetMode="External"/><Relationship Id="rId53" Type="http://schemas.openxmlformats.org/officeDocument/2006/relationships/hyperlink" Target="mailto:wallowapubliclibrary@gmail.com" TargetMode="External"/><Relationship Id="rId52" Type="http://schemas.openxmlformats.org/officeDocument/2006/relationships/hyperlink" Target="mailto:jkoda@vale.k12.or.us" TargetMode="External"/><Relationship Id="rId11" Type="http://schemas.openxmlformats.org/officeDocument/2006/relationships/hyperlink" Target="mailto:cchandler@mail.elgin.k12.or.us" TargetMode="External"/><Relationship Id="rId55" Type="http://schemas.openxmlformats.org/officeDocument/2006/relationships/drawing" Target="../drawings/drawing1.xml"/><Relationship Id="rId10" Type="http://schemas.openxmlformats.org/officeDocument/2006/relationships/hyperlink" Target="mailto:echolib@centurytel.net" TargetMode="External"/><Relationship Id="rId54" Type="http://schemas.openxmlformats.org/officeDocument/2006/relationships/hyperlink" Target="mailto:wcolibrary@cityofwestonoregon.com" TargetMode="External"/><Relationship Id="rId13" Type="http://schemas.openxmlformats.org/officeDocument/2006/relationships/hyperlink" Target="mailto:enterpl@eoni.com" TargetMode="External"/><Relationship Id="rId12" Type="http://schemas.openxmlformats.org/officeDocument/2006/relationships/hyperlink" Target="mailto:Publiclibrary@cityofelginor.org" TargetMode="External"/><Relationship Id="rId56" Type="http://schemas.openxmlformats.org/officeDocument/2006/relationships/vmlDrawing" Target="../drawings/vmlDrawing1.vml"/><Relationship Id="rId15" Type="http://schemas.openxmlformats.org/officeDocument/2006/relationships/hyperlink" Target="mailto:gclibrary@co.gilliam.or.us" TargetMode="External"/><Relationship Id="rId14" Type="http://schemas.openxmlformats.org/officeDocument/2006/relationships/hyperlink" Target="mailto:libraryfossil46@gmail.com" TargetMode="External"/><Relationship Id="rId17" Type="http://schemas.openxmlformats.org/officeDocument/2006/relationships/hyperlink" Target="mailto:cheryl@harneycountylibrary.org" TargetMode="External"/><Relationship Id="rId16" Type="http://schemas.openxmlformats.org/officeDocument/2006/relationships/hyperlink" Target="mailto:criss.s@harneyesd.k12.or.us" TargetMode="External"/><Relationship Id="rId19" Type="http://schemas.openxmlformats.org/officeDocument/2006/relationships/hyperlink" Target="mailto:delia.fields@hermistonsd.org" TargetMode="External"/><Relationship Id="rId18" Type="http://schemas.openxmlformats.org/officeDocument/2006/relationships/hyperlink" Target="mailto:helixlibrary@helixte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www.oregon.gov/ode/reports-and-data/students/Pages/Student-Enrollment-Reports.aspx" TargetMode="External"/><Relationship Id="rId3" Type="http://schemas.openxmlformats.org/officeDocument/2006/relationships/hyperlink" Target="https://www.oregon.gov/highered/research/Pages/student-data-cc.aspx" TargetMode="External"/><Relationship Id="rId4" Type="http://schemas.openxmlformats.org/officeDocument/2006/relationships/drawing" Target="../drawings/drawing2.xml"/><Relationship Id="rId5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egon.gov/ode/reports-and-data/students/Pages/Student-Enrollment-Reports.aspx" TargetMode="External"/><Relationship Id="rId2" Type="http://schemas.openxmlformats.org/officeDocument/2006/relationships/hyperlink" Target="https://www.oregon.gov/highered/research/Pages/student-data-cc.aspx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mailto:pilotrockpl@centurytel.net" TargetMode="External"/><Relationship Id="rId42" Type="http://schemas.openxmlformats.org/officeDocument/2006/relationships/hyperlink" Target="mailto:debbiepfeiffer@hcsd3.k12.or.us" TargetMode="External"/><Relationship Id="rId41" Type="http://schemas.openxmlformats.org/officeDocument/2006/relationships/hyperlink" Target="mailto:mmartin2@sherman.k12.or.us" TargetMode="External"/><Relationship Id="rId44" Type="http://schemas.openxmlformats.org/officeDocument/2006/relationships/hyperlink" Target="mailto:penny.anderson@stanfieldsd.org" TargetMode="External"/><Relationship Id="rId43" Type="http://schemas.openxmlformats.org/officeDocument/2006/relationships/hyperlink" Target="mailto:librarydirector@cityofstanfield.com" TargetMode="External"/><Relationship Id="rId46" Type="http://schemas.openxmlformats.org/officeDocument/2006/relationships/hyperlink" Target="mailto:jwavrunek@ci.the-dalles.or.us" TargetMode="External"/><Relationship Id="rId45" Type="http://schemas.openxmlformats.org/officeDocument/2006/relationships/hyperlink" Target="mailto:malissa.minthorn@tamastslikt.org" TargetMode="External"/><Relationship Id="rId1" Type="http://schemas.openxmlformats.org/officeDocument/2006/relationships/comments" Target="../comments3.xml"/><Relationship Id="rId2" Type="http://schemas.openxmlformats.org/officeDocument/2006/relationships/hyperlink" Target="mailto:library@cityofadamsoregon.com" TargetMode="External"/><Relationship Id="rId3" Type="http://schemas.openxmlformats.org/officeDocument/2006/relationships/hyperlink" Target="mailto:arlingtonpubliclibraryor97812@gmail.com" TargetMode="External"/><Relationship Id="rId4" Type="http://schemas.openxmlformats.org/officeDocument/2006/relationships/hyperlink" Target="mailto:athenalibrary@cityofathena.com" TargetMode="External"/><Relationship Id="rId9" Type="http://schemas.openxmlformats.org/officeDocument/2006/relationships/hyperlink" Target="mailto:starbuck@harneyesd.k12.or.us" TargetMode="External"/><Relationship Id="rId48" Type="http://schemas.openxmlformats.org/officeDocument/2006/relationships/hyperlink" Target="mailto:Audrey.Durfey@ukiah.k12.or.us" TargetMode="External"/><Relationship Id="rId47" Type="http://schemas.openxmlformats.org/officeDocument/2006/relationships/hyperlink" Target="mailto:library@tvcc.cc" TargetMode="External"/><Relationship Id="rId49" Type="http://schemas.openxmlformats.org/officeDocument/2006/relationships/hyperlink" Target="mailto:library@umatilla-city.org" TargetMode="External"/><Relationship Id="rId5" Type="http://schemas.openxmlformats.org/officeDocument/2006/relationships/hyperlink" Target="mailto:info@bakerlib.org" TargetMode="External"/><Relationship Id="rId6" Type="http://schemas.openxmlformats.org/officeDocument/2006/relationships/hyperlink" Target="mailto:onlinelibrary@bluecc.edu" TargetMode="External"/><Relationship Id="rId7" Type="http://schemas.openxmlformats.org/officeDocument/2006/relationships/hyperlink" Target="mailto:DMcManus@cgcc.edu" TargetMode="External"/><Relationship Id="rId8" Type="http://schemas.openxmlformats.org/officeDocument/2006/relationships/hyperlink" Target="mailto:tallyk@cove.k12.or.us" TargetMode="External"/><Relationship Id="rId31" Type="http://schemas.openxmlformats.org/officeDocument/2006/relationships/hyperlink" Target="mailto:info@lakecountylibrary.org" TargetMode="External"/><Relationship Id="rId30" Type="http://schemas.openxmlformats.org/officeDocument/2006/relationships/hyperlink" Target="mailto:KRoberson@cookmemoriallibrary.org" TargetMode="External"/><Relationship Id="rId33" Type="http://schemas.openxmlformats.org/officeDocument/2006/relationships/hyperlink" Target="mailto:npcitylibrary1@gmail.com" TargetMode="External"/><Relationship Id="rId32" Type="http://schemas.openxmlformats.org/officeDocument/2006/relationships/hyperlink" Target="mailto:Lili.Schmidt@milton-freewater-or.gov" TargetMode="External"/><Relationship Id="rId35" Type="http://schemas.openxmlformats.org/officeDocument/2006/relationships/hyperlink" Target="mailto:ontariolibrarydistrict@yahoo.com" TargetMode="External"/><Relationship Id="rId34" Type="http://schemas.openxmlformats.org/officeDocument/2006/relationships/hyperlink" Target="mailto:nyssalibrary@nyssacity.org" TargetMode="External"/><Relationship Id="rId37" Type="http://schemas.openxmlformats.org/officeDocument/2006/relationships/hyperlink" Target="mailto:mfife@ontario.k12.or.us" TargetMode="External"/><Relationship Id="rId36" Type="http://schemas.openxmlformats.org/officeDocument/2006/relationships/hyperlink" Target="mailto:kpena@ontario.k12.or.us" TargetMode="External"/><Relationship Id="rId39" Type="http://schemas.openxmlformats.org/officeDocument/2006/relationships/hyperlink" Target="mailto:Jennifer.Costley@ci.pendleton.or.us" TargetMode="External"/><Relationship Id="rId38" Type="http://schemas.openxmlformats.org/officeDocument/2006/relationships/hyperlink" Target="mailto:boardman@otld.org" TargetMode="External"/><Relationship Id="rId20" Type="http://schemas.openxmlformats.org/officeDocument/2006/relationships/hyperlink" Target="mailto:mrose@hermiston.or.us" TargetMode="External"/><Relationship Id="rId22" Type="http://schemas.openxmlformats.org/officeDocument/2006/relationships/hyperlink" Target="mailto:info@hoodriverlibrary.org" TargetMode="External"/><Relationship Id="rId21" Type="http://schemas.openxmlformats.org/officeDocument/2006/relationships/hyperlink" Target="mailto:debbiepfeiffer@hcsd3.k12.or.us" TargetMode="External"/><Relationship Id="rId24" Type="http://schemas.openxmlformats.org/officeDocument/2006/relationships/hyperlink" Target="mailto:Harmonie.Hicks@huntington.k12.or.us" TargetMode="External"/><Relationship Id="rId23" Type="http://schemas.openxmlformats.org/officeDocument/2006/relationships/hyperlink" Target="mailto:ann.zuehlke@hoodriver.k12.or.us" TargetMode="External"/><Relationship Id="rId26" Type="http://schemas.openxmlformats.org/officeDocument/2006/relationships/hyperlink" Target="mailto:Cathy.Halvorsen@ione.k12.or.us" TargetMode="External"/><Relationship Id="rId25" Type="http://schemas.openxmlformats.org/officeDocument/2006/relationships/hyperlink" Target="mailto:ionelibrary@gmail.com" TargetMode="External"/><Relationship Id="rId28" Type="http://schemas.openxmlformats.org/officeDocument/2006/relationships/hyperlink" Target="mailto:rich@fishtrap.org" TargetMode="External"/><Relationship Id="rId27" Type="http://schemas.openxmlformats.org/officeDocument/2006/relationships/hyperlink" Target="mailto:joseph97846@hotmail.com" TargetMode="External"/><Relationship Id="rId29" Type="http://schemas.openxmlformats.org/officeDocument/2006/relationships/hyperlink" Target="mailto:kcclrc@klamathcc.edu" TargetMode="External"/><Relationship Id="rId51" Type="http://schemas.openxmlformats.org/officeDocument/2006/relationships/hyperlink" Target="mailto:pshevham@cityofvale.com" TargetMode="External"/><Relationship Id="rId50" Type="http://schemas.openxmlformats.org/officeDocument/2006/relationships/hyperlink" Target="mailto:library@cityofunion.com" TargetMode="External"/><Relationship Id="rId53" Type="http://schemas.openxmlformats.org/officeDocument/2006/relationships/hyperlink" Target="mailto:wallowapubliclibrary@gmail.com" TargetMode="External"/><Relationship Id="rId52" Type="http://schemas.openxmlformats.org/officeDocument/2006/relationships/hyperlink" Target="mailto:jkoda@vale.k12.or.us" TargetMode="External"/><Relationship Id="rId11" Type="http://schemas.openxmlformats.org/officeDocument/2006/relationships/hyperlink" Target="mailto:cchandler@mail.elgin.k12.or.us" TargetMode="External"/><Relationship Id="rId55" Type="http://schemas.openxmlformats.org/officeDocument/2006/relationships/drawing" Target="../drawings/drawing4.xml"/><Relationship Id="rId10" Type="http://schemas.openxmlformats.org/officeDocument/2006/relationships/hyperlink" Target="mailto:echolib@centurytel.net" TargetMode="External"/><Relationship Id="rId54" Type="http://schemas.openxmlformats.org/officeDocument/2006/relationships/hyperlink" Target="mailto:wcolibrary@cityofwestonoregon.com" TargetMode="External"/><Relationship Id="rId13" Type="http://schemas.openxmlformats.org/officeDocument/2006/relationships/hyperlink" Target="mailto:enterpl@eoni.com" TargetMode="External"/><Relationship Id="rId12" Type="http://schemas.openxmlformats.org/officeDocument/2006/relationships/hyperlink" Target="mailto:Publiclibrary@cityofelginor.org" TargetMode="External"/><Relationship Id="rId56" Type="http://schemas.openxmlformats.org/officeDocument/2006/relationships/vmlDrawing" Target="../drawings/vmlDrawing3.vml"/><Relationship Id="rId15" Type="http://schemas.openxmlformats.org/officeDocument/2006/relationships/hyperlink" Target="mailto:gclibrary@co.gilliam.or.us" TargetMode="External"/><Relationship Id="rId14" Type="http://schemas.openxmlformats.org/officeDocument/2006/relationships/hyperlink" Target="mailto:libraryfossil46@gmail.com" TargetMode="External"/><Relationship Id="rId17" Type="http://schemas.openxmlformats.org/officeDocument/2006/relationships/hyperlink" Target="mailto:cheryl@harneycountylibrary.org" TargetMode="External"/><Relationship Id="rId16" Type="http://schemas.openxmlformats.org/officeDocument/2006/relationships/hyperlink" Target="mailto:criss.s@harneyesd.k12.or.us" TargetMode="External"/><Relationship Id="rId19" Type="http://schemas.openxmlformats.org/officeDocument/2006/relationships/hyperlink" Target="mailto:delia.fields@hermistonsd.org" TargetMode="External"/><Relationship Id="rId18" Type="http://schemas.openxmlformats.org/officeDocument/2006/relationships/hyperlink" Target="mailto:helixlibrary@helix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/>
  <cols>
    <col customWidth="1" min="1" max="1" width="41.0"/>
    <col customWidth="1" hidden="1" min="2" max="2" width="30.43"/>
    <col customWidth="1" min="3" max="3" width="40.0"/>
    <col customWidth="1" min="4" max="4" width="4.71"/>
    <col customWidth="1" min="5" max="8" width="10.86"/>
    <col customWidth="1" min="9" max="9" width="8.14"/>
    <col customWidth="1" hidden="1" min="10" max="12" width="12.14"/>
    <col customWidth="1" hidden="1" min="13" max="13" width="14.29"/>
    <col customWidth="1" hidden="1" min="14" max="14" width="8.57"/>
    <col customWidth="1" min="15" max="15" width="3.29"/>
    <col customWidth="1" hidden="1" min="16" max="16" width="15.86"/>
    <col customWidth="1" hidden="1" min="17" max="17" width="2.71"/>
    <col customWidth="1" hidden="1" min="18" max="18" width="15.86"/>
    <col customWidth="1" hidden="1" min="19" max="19" width="2.71"/>
    <col customWidth="1" hidden="1" min="20" max="20" width="15.86"/>
    <col customWidth="1" hidden="1" min="21" max="21" width="9.29"/>
    <col customWidth="1" hidden="1" min="22" max="22" width="2.86"/>
    <col customWidth="1" hidden="1" min="23" max="23" width="15.86"/>
    <col customWidth="1" hidden="1" min="24" max="26" width="9.29"/>
    <col customWidth="1" hidden="1" min="27" max="27" width="16.71"/>
    <col customWidth="1" hidden="1" min="28" max="28" width="9.29"/>
    <col customWidth="1" hidden="1" min="29" max="29" width="6.29"/>
    <col customWidth="1" hidden="1" min="30" max="30" width="9.29"/>
    <col customWidth="1" min="31" max="31" width="2.57"/>
    <col customWidth="1" min="32" max="32" width="17.29"/>
    <col customWidth="1" min="33" max="33" width="9.29"/>
    <col customWidth="1" min="34" max="34" width="9.14"/>
    <col customWidth="1" min="35" max="35" width="9.57"/>
    <col customWidth="1" min="36" max="36" width="3.0"/>
  </cols>
  <sheetData>
    <row r="1" ht="29.25" customHeight="1">
      <c r="A1" s="1"/>
      <c r="B1" s="1"/>
      <c r="C1" s="2"/>
      <c r="D1" s="2"/>
      <c r="E1" s="2"/>
      <c r="F1" s="3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>
        <v>0.108</v>
      </c>
      <c r="AB1" s="1"/>
      <c r="AC1" s="5"/>
      <c r="AD1" s="1"/>
      <c r="AE1" s="1"/>
      <c r="AF1" s="6">
        <v>0.08</v>
      </c>
      <c r="AG1" s="1"/>
      <c r="AH1" s="7"/>
      <c r="AI1" s="8"/>
      <c r="AJ1" s="1"/>
    </row>
    <row r="2" ht="90.0" customHeight="1">
      <c r="A2" s="9" t="s">
        <v>0</v>
      </c>
      <c r="B2" s="9" t="s">
        <v>1</v>
      </c>
      <c r="C2" s="10" t="s">
        <v>2</v>
      </c>
      <c r="D2" s="10"/>
      <c r="E2" s="11" t="s">
        <v>3</v>
      </c>
      <c r="F2" s="3" t="s">
        <v>4</v>
      </c>
      <c r="G2" s="2" t="s">
        <v>5</v>
      </c>
      <c r="H2" s="2" t="s">
        <v>6</v>
      </c>
      <c r="I2" s="10" t="s">
        <v>7</v>
      </c>
      <c r="J2" s="12" t="s">
        <v>8</v>
      </c>
      <c r="K2" s="12" t="s">
        <v>9</v>
      </c>
      <c r="L2" s="12" t="s">
        <v>10</v>
      </c>
      <c r="M2" s="2" t="s">
        <v>11</v>
      </c>
      <c r="N2" s="2" t="s">
        <v>12</v>
      </c>
      <c r="O2" s="2"/>
      <c r="P2" s="13" t="s">
        <v>13</v>
      </c>
      <c r="Q2" s="14"/>
      <c r="R2" s="13" t="s">
        <v>14</v>
      </c>
      <c r="S2" s="14"/>
      <c r="T2" s="13" t="s">
        <v>15</v>
      </c>
      <c r="U2" s="15" t="s">
        <v>16</v>
      </c>
      <c r="V2" s="15"/>
      <c r="W2" s="13" t="s">
        <v>17</v>
      </c>
      <c r="X2" s="15" t="s">
        <v>16</v>
      </c>
      <c r="Y2" s="16" t="s">
        <v>18</v>
      </c>
      <c r="Z2" s="16" t="s">
        <v>19</v>
      </c>
      <c r="AA2" s="17" t="s">
        <v>20</v>
      </c>
      <c r="AB2" s="15" t="s">
        <v>16</v>
      </c>
      <c r="AC2" s="18" t="s">
        <v>18</v>
      </c>
      <c r="AD2" s="16" t="s">
        <v>19</v>
      </c>
      <c r="AE2" s="19"/>
      <c r="AF2" s="20" t="s">
        <v>21</v>
      </c>
      <c r="AG2" s="15" t="s">
        <v>16</v>
      </c>
      <c r="AH2" s="21" t="s">
        <v>18</v>
      </c>
      <c r="AI2" s="22"/>
      <c r="AJ2" s="14"/>
    </row>
    <row r="3">
      <c r="A3" s="23" t="s">
        <v>22</v>
      </c>
      <c r="B3" s="23"/>
      <c r="C3" s="24"/>
      <c r="D3" s="24"/>
      <c r="E3" s="24"/>
      <c r="F3" s="25"/>
      <c r="G3" s="26"/>
      <c r="H3" s="26"/>
      <c r="I3" s="24"/>
      <c r="J3" s="23"/>
      <c r="K3" s="23"/>
      <c r="L3" s="23"/>
      <c r="M3" s="27"/>
      <c r="N3" s="26"/>
      <c r="O3" s="26"/>
      <c r="P3" s="28">
        <v>0.03</v>
      </c>
      <c r="Q3" s="29"/>
      <c r="R3" s="28">
        <v>0.065</v>
      </c>
      <c r="S3" s="29"/>
      <c r="T3" s="28">
        <v>0.025</v>
      </c>
      <c r="U3" s="30"/>
      <c r="V3" s="30"/>
      <c r="W3" s="28" t="s">
        <v>23</v>
      </c>
      <c r="X3" s="30"/>
      <c r="Y3" s="30"/>
      <c r="Z3" s="30"/>
      <c r="AA3" s="31" t="s">
        <v>24</v>
      </c>
      <c r="AB3" s="30"/>
      <c r="AC3" s="32"/>
      <c r="AD3" s="30"/>
      <c r="AE3" s="4"/>
      <c r="AF3" s="31" t="s">
        <v>24</v>
      </c>
      <c r="AG3" s="30"/>
      <c r="AH3" s="4"/>
      <c r="AI3" s="4"/>
      <c r="AJ3" s="33"/>
    </row>
    <row r="4">
      <c r="A4" s="34" t="s">
        <v>25</v>
      </c>
      <c r="B4" s="34"/>
      <c r="C4" s="35"/>
      <c r="D4" s="35"/>
      <c r="E4" s="35"/>
      <c r="F4" s="36"/>
      <c r="G4" s="37"/>
      <c r="H4" s="37"/>
      <c r="I4" s="35"/>
      <c r="J4" s="34"/>
      <c r="K4" s="34"/>
      <c r="L4" s="34"/>
      <c r="M4" s="3"/>
      <c r="N4" s="37"/>
      <c r="O4" s="37"/>
      <c r="P4" s="38"/>
      <c r="Q4" s="39"/>
      <c r="R4" s="38"/>
      <c r="S4" s="39"/>
      <c r="T4" s="38"/>
      <c r="U4" s="40"/>
      <c r="V4" s="40"/>
      <c r="W4" s="38"/>
      <c r="X4" s="40"/>
      <c r="Y4" s="40"/>
      <c r="Z4" s="40"/>
      <c r="AA4" s="41"/>
      <c r="AB4" s="40"/>
      <c r="AC4" s="42"/>
      <c r="AD4" s="40"/>
      <c r="AE4" s="41"/>
      <c r="AF4" s="41"/>
      <c r="AG4" s="40"/>
      <c r="AH4" s="4"/>
      <c r="AI4" s="4"/>
      <c r="AJ4" s="43"/>
    </row>
    <row r="5">
      <c r="A5" s="34" t="s">
        <v>26</v>
      </c>
      <c r="B5" s="34"/>
      <c r="C5" s="35"/>
      <c r="D5" s="35"/>
      <c r="E5" s="35"/>
      <c r="F5" s="36"/>
      <c r="G5" s="37"/>
      <c r="H5" s="37"/>
      <c r="I5" s="35"/>
      <c r="J5" s="34"/>
      <c r="K5" s="34"/>
      <c r="L5" s="34"/>
      <c r="M5" s="3"/>
      <c r="N5" s="37"/>
      <c r="O5" s="37"/>
      <c r="P5" s="38"/>
      <c r="Q5" s="39"/>
      <c r="R5" s="38"/>
      <c r="S5" s="39"/>
      <c r="T5" s="38"/>
      <c r="U5" s="40"/>
      <c r="V5" s="40"/>
      <c r="W5" s="38"/>
      <c r="X5" s="40"/>
      <c r="Y5" s="40"/>
      <c r="Z5" s="40"/>
      <c r="AA5" s="43"/>
      <c r="AB5" s="40"/>
      <c r="AC5" s="42"/>
      <c r="AD5" s="40"/>
      <c r="AE5" s="43"/>
      <c r="AF5" s="43"/>
      <c r="AG5" s="40"/>
      <c r="AH5" s="33"/>
      <c r="AI5" s="29"/>
      <c r="AJ5" s="43"/>
    </row>
    <row r="6">
      <c r="A6" s="34" t="s">
        <v>27</v>
      </c>
      <c r="B6" s="34"/>
      <c r="C6" s="35"/>
      <c r="D6" s="35"/>
      <c r="E6" s="35"/>
      <c r="F6" s="36"/>
      <c r="G6" s="37"/>
      <c r="H6" s="37"/>
      <c r="I6" s="35"/>
      <c r="J6" s="34"/>
      <c r="K6" s="34"/>
      <c r="L6" s="34"/>
      <c r="M6" s="3"/>
      <c r="N6" s="37"/>
      <c r="O6" s="37"/>
      <c r="P6" s="38"/>
      <c r="Q6" s="39"/>
      <c r="R6" s="38"/>
      <c r="S6" s="39"/>
      <c r="T6" s="38"/>
      <c r="U6" s="40"/>
      <c r="V6" s="40"/>
      <c r="W6" s="38"/>
      <c r="X6" s="40"/>
      <c r="Y6" s="40"/>
      <c r="Z6" s="40"/>
      <c r="AA6" s="43"/>
      <c r="AB6" s="40"/>
      <c r="AC6" s="42"/>
      <c r="AD6" s="40"/>
      <c r="AE6" s="43"/>
      <c r="AF6" s="43"/>
      <c r="AG6" s="40"/>
      <c r="AH6" s="33"/>
      <c r="AI6" s="29"/>
      <c r="AJ6" s="43"/>
    </row>
    <row r="7">
      <c r="A7" s="34" t="s">
        <v>28</v>
      </c>
      <c r="B7" s="34"/>
      <c r="C7" s="35"/>
      <c r="D7" s="35"/>
      <c r="E7" s="35"/>
      <c r="F7" s="36"/>
      <c r="G7" s="37"/>
      <c r="H7" s="37"/>
      <c r="I7" s="35"/>
      <c r="J7" s="34"/>
      <c r="K7" s="34"/>
      <c r="L7" s="34"/>
      <c r="M7" s="3"/>
      <c r="N7" s="37"/>
      <c r="O7" s="37"/>
      <c r="P7" s="44">
        <f>P22</f>
        <v>368.1365436</v>
      </c>
      <c r="Q7" s="39"/>
      <c r="R7" s="44">
        <f>R22</f>
        <v>392.0654189</v>
      </c>
      <c r="S7" s="39"/>
      <c r="T7" s="44">
        <f>T22</f>
        <v>399.9067273</v>
      </c>
      <c r="U7" s="40"/>
      <c r="V7" s="40"/>
      <c r="W7" s="44">
        <f>W22</f>
        <v>424</v>
      </c>
      <c r="X7" s="40"/>
      <c r="Y7" s="40"/>
      <c r="Z7" s="40"/>
      <c r="AA7" s="45">
        <v>469.0</v>
      </c>
      <c r="AB7" s="40"/>
      <c r="AC7" s="42"/>
      <c r="AD7" s="40"/>
      <c r="AE7" s="44"/>
      <c r="AF7" s="45">
        <v>503.0</v>
      </c>
      <c r="AG7" s="40"/>
      <c r="AH7" s="33"/>
      <c r="AI7" s="46">
        <f>SUM(AF7-AA7)/AA7</f>
        <v>0.07249466951</v>
      </c>
      <c r="AJ7" s="43"/>
    </row>
    <row r="8">
      <c r="A8" s="34" t="s">
        <v>29</v>
      </c>
      <c r="B8" s="34"/>
      <c r="C8" s="35"/>
      <c r="D8" s="35"/>
      <c r="E8" s="35"/>
      <c r="F8" s="36"/>
      <c r="G8" s="37"/>
      <c r="H8" s="37"/>
      <c r="I8" s="35"/>
      <c r="J8" s="34"/>
      <c r="K8" s="34"/>
      <c r="L8" s="34"/>
      <c r="M8" s="3"/>
      <c r="N8" s="37"/>
      <c r="O8" s="37"/>
      <c r="P8" s="38"/>
      <c r="Q8" s="39"/>
      <c r="R8" s="38"/>
      <c r="S8" s="39"/>
      <c r="T8" s="38"/>
      <c r="U8" s="40"/>
      <c r="V8" s="40"/>
      <c r="W8" s="38"/>
      <c r="X8" s="40"/>
      <c r="Y8" s="40"/>
      <c r="Z8" s="40"/>
      <c r="AA8" s="43"/>
      <c r="AB8" s="40"/>
      <c r="AC8" s="42"/>
      <c r="AD8" s="40"/>
      <c r="AE8" s="43"/>
      <c r="AF8" s="43"/>
      <c r="AG8" s="40"/>
      <c r="AH8" s="33"/>
      <c r="AI8" s="29"/>
      <c r="AJ8" s="43"/>
    </row>
    <row r="9">
      <c r="A9" s="34"/>
      <c r="B9" s="34"/>
      <c r="C9" s="35"/>
      <c r="D9" s="35"/>
      <c r="E9" s="35"/>
      <c r="F9" s="36"/>
      <c r="G9" s="37"/>
      <c r="H9" s="37"/>
      <c r="I9" s="35"/>
      <c r="J9" s="34"/>
      <c r="K9" s="34"/>
      <c r="L9" s="34"/>
      <c r="M9" s="3"/>
      <c r="N9" s="37"/>
      <c r="O9" s="37"/>
      <c r="P9" s="38"/>
      <c r="Q9" s="39"/>
      <c r="R9" s="38"/>
      <c r="S9" s="39"/>
      <c r="T9" s="38"/>
      <c r="U9" s="40"/>
      <c r="V9" s="40"/>
      <c r="W9" s="38"/>
      <c r="X9" s="40"/>
      <c r="Y9" s="40"/>
      <c r="Z9" s="40"/>
      <c r="AA9" s="43"/>
      <c r="AB9" s="40"/>
      <c r="AC9" s="42"/>
      <c r="AD9" s="40"/>
      <c r="AE9" s="43"/>
      <c r="AF9" s="43"/>
      <c r="AG9" s="40"/>
      <c r="AH9" s="33"/>
      <c r="AI9" s="29"/>
      <c r="AJ9" s="43"/>
    </row>
    <row r="10" ht="10.5" customHeight="1">
      <c r="A10" s="34"/>
      <c r="B10" s="34"/>
      <c r="C10" s="35"/>
      <c r="D10" s="35"/>
      <c r="E10" s="35"/>
      <c r="F10" s="36"/>
      <c r="G10" s="37"/>
      <c r="H10" s="37"/>
      <c r="I10" s="35"/>
      <c r="J10" s="34"/>
      <c r="K10" s="34"/>
      <c r="L10" s="34"/>
      <c r="M10" s="3"/>
      <c r="N10" s="37"/>
      <c r="O10" s="37"/>
      <c r="P10" s="38"/>
      <c r="Q10" s="39"/>
      <c r="R10" s="38"/>
      <c r="S10" s="39"/>
      <c r="T10" s="38"/>
      <c r="U10" s="40"/>
      <c r="V10" s="40"/>
      <c r="W10" s="38"/>
      <c r="X10" s="40"/>
      <c r="Y10" s="40"/>
      <c r="Z10" s="40"/>
      <c r="AA10" s="43"/>
      <c r="AB10" s="40"/>
      <c r="AC10" s="42"/>
      <c r="AD10" s="40"/>
      <c r="AE10" s="43"/>
      <c r="AF10" s="43"/>
      <c r="AG10" s="40"/>
      <c r="AH10" s="33"/>
      <c r="AI10" s="29"/>
      <c r="AJ10" s="43"/>
    </row>
    <row r="11">
      <c r="A11" s="34" t="s">
        <v>30</v>
      </c>
      <c r="B11" s="34"/>
      <c r="C11" s="35"/>
      <c r="D11" s="35"/>
      <c r="E11" s="35"/>
      <c r="F11" s="36"/>
      <c r="G11" s="37"/>
      <c r="H11" s="37"/>
      <c r="I11" s="35"/>
      <c r="J11" s="43"/>
      <c r="K11" s="43"/>
      <c r="L11" s="43"/>
      <c r="M11" s="3"/>
      <c r="N11" s="37"/>
      <c r="O11" s="37"/>
      <c r="P11" s="38"/>
      <c r="Q11" s="39"/>
      <c r="R11" s="40"/>
      <c r="S11" s="39"/>
      <c r="T11" s="40"/>
      <c r="U11" s="40"/>
      <c r="V11" s="40"/>
      <c r="W11" s="40"/>
      <c r="X11" s="40"/>
      <c r="Y11" s="40"/>
      <c r="Z11" s="40"/>
      <c r="AA11" s="43"/>
      <c r="AB11" s="40"/>
      <c r="AC11" s="42"/>
      <c r="AD11" s="40"/>
      <c r="AE11" s="43"/>
      <c r="AF11" s="43"/>
      <c r="AG11" s="40"/>
      <c r="AH11" s="33"/>
      <c r="AI11" s="29"/>
      <c r="AJ11" s="43"/>
    </row>
    <row r="12">
      <c r="A12" s="34" t="s">
        <v>31</v>
      </c>
      <c r="B12" s="34"/>
      <c r="C12" s="35"/>
      <c r="D12" s="35"/>
      <c r="E12" s="35"/>
      <c r="F12" s="36"/>
      <c r="G12" s="37"/>
      <c r="H12" s="37"/>
      <c r="I12" s="35"/>
      <c r="J12" s="43"/>
      <c r="K12" s="43"/>
      <c r="L12" s="43"/>
      <c r="M12" s="3"/>
      <c r="N12" s="37"/>
      <c r="O12" s="37"/>
      <c r="P12" s="38"/>
      <c r="Q12" s="39"/>
      <c r="R12" s="40"/>
      <c r="S12" s="39"/>
      <c r="T12" s="40"/>
      <c r="U12" s="40"/>
      <c r="V12" s="40"/>
      <c r="W12" s="40"/>
      <c r="X12" s="40"/>
      <c r="Y12" s="40"/>
      <c r="Z12" s="40"/>
      <c r="AA12" s="43"/>
      <c r="AB12" s="40"/>
      <c r="AC12" s="42"/>
      <c r="AD12" s="40"/>
      <c r="AE12" s="43"/>
      <c r="AF12" s="43"/>
      <c r="AG12" s="40"/>
      <c r="AH12" s="33"/>
      <c r="AI12" s="29"/>
      <c r="AJ12" s="43"/>
    </row>
    <row r="13">
      <c r="A13" s="47" t="s">
        <v>32</v>
      </c>
      <c r="B13" s="48" t="s">
        <v>33</v>
      </c>
      <c r="C13" s="49" t="s">
        <v>34</v>
      </c>
      <c r="D13" s="50"/>
      <c r="E13" s="51">
        <f>AVERAGE('Avg master'!E2:G2)</f>
        <v>535</v>
      </c>
      <c r="F13" s="51">
        <f>'Avg master'!J2</f>
        <v>534</v>
      </c>
      <c r="G13" s="52">
        <f t="shared" ref="G13:G28" si="1">+(E13/$E$71)</f>
        <v>0.002038908212</v>
      </c>
      <c r="H13" s="52">
        <f t="shared" ref="H13:H28" si="2">+(F13/$F$71)</f>
        <v>0.002041932264</v>
      </c>
      <c r="I13" s="39">
        <f t="shared" ref="I13:I28" si="3">SUM(H13-G13)/G13</f>
        <v>0.001483172285</v>
      </c>
      <c r="J13" s="53">
        <v>302.0</v>
      </c>
      <c r="K13" s="53">
        <v>256.0</v>
      </c>
      <c r="L13" s="53">
        <v>201.0</v>
      </c>
      <c r="M13" s="54">
        <f t="shared" ref="M13:M28" si="4">AVERAGE(J13:L13)</f>
        <v>253</v>
      </c>
      <c r="N13" s="55">
        <f t="shared" ref="N13:N28" si="5">+(M13/$M$71)</f>
        <v>0.002172774195</v>
      </c>
      <c r="O13" s="37"/>
      <c r="P13" s="56">
        <v>1227.121812</v>
      </c>
      <c r="Q13" s="43"/>
      <c r="R13" s="57">
        <v>1306.88472978</v>
      </c>
      <c r="S13" s="43"/>
      <c r="T13" s="57">
        <v>1333.0224243756002</v>
      </c>
      <c r="U13" s="58">
        <f t="shared" ref="U13:U21" si="6">SUM(T13/$F13)</f>
        <v>2.496296675</v>
      </c>
      <c r="V13" s="58"/>
      <c r="W13" s="57">
        <v>1348.5955756447847</v>
      </c>
      <c r="X13" s="58">
        <f t="shared" ref="X13:X21" si="7">SUM(W13/$F13)</f>
        <v>2.525459879</v>
      </c>
      <c r="Y13" s="57">
        <f t="shared" ref="Y13:Y28" si="8">SUM(W13-T13)</f>
        <v>15.57315127</v>
      </c>
      <c r="Z13" s="59">
        <f t="shared" ref="Z13:Z28" si="9">SUM(W13-T13)/T13</f>
        <v>0.01168258762</v>
      </c>
      <c r="AA13" s="60">
        <v>1483.00953819556</v>
      </c>
      <c r="AB13" s="58">
        <v>2.787611913901429</v>
      </c>
      <c r="AC13" s="61">
        <v>134.4139625507753</v>
      </c>
      <c r="AD13" s="39">
        <f t="shared" ref="AD13:AD28" si="10">SUM(AA13-W13)/W13</f>
        <v>0.09966958588</v>
      </c>
      <c r="AE13" s="62"/>
      <c r="AF13" s="60">
        <f t="shared" ref="AF13:AF27" si="11">SUM((AA13*(1+$AF$1))*(1+I13))</f>
        <v>1604.025825</v>
      </c>
      <c r="AG13" s="58">
        <f t="shared" ref="AG13:AG21" si="12">SUM(AF13/$F13)</f>
        <v>3.003793679</v>
      </c>
      <c r="AH13" s="63">
        <f t="shared" ref="AH13:AH28" si="13">SUM(AF13-AA13)</f>
        <v>121.0162864</v>
      </c>
      <c r="AI13" s="29">
        <f t="shared" ref="AI13:AI28" si="14">SUM(AF13-AA13)/AA13</f>
        <v>0.08160182607</v>
      </c>
      <c r="AJ13" s="43"/>
    </row>
    <row r="14">
      <c r="A14" s="64" t="s">
        <v>35</v>
      </c>
      <c r="B14" s="48" t="s">
        <v>36</v>
      </c>
      <c r="C14" s="49" t="s">
        <v>34</v>
      </c>
      <c r="D14" s="50"/>
      <c r="E14" s="51">
        <f>AVERAGE('Avg master'!E3:G3)</f>
        <v>611.6666667</v>
      </c>
      <c r="F14" s="51">
        <f>'Avg master'!J3</f>
        <v>626.6666667</v>
      </c>
      <c r="G14" s="52">
        <f t="shared" si="1"/>
        <v>0.002331088205</v>
      </c>
      <c r="H14" s="52">
        <f t="shared" si="2"/>
        <v>0.002396275067</v>
      </c>
      <c r="I14" s="39">
        <f t="shared" si="3"/>
        <v>0.02796413341</v>
      </c>
      <c r="J14" s="53">
        <v>414.0</v>
      </c>
      <c r="K14" s="53">
        <v>335.0</v>
      </c>
      <c r="L14" s="53">
        <v>161.0</v>
      </c>
      <c r="M14" s="54">
        <f t="shared" si="4"/>
        <v>303.3333333</v>
      </c>
      <c r="N14" s="55">
        <f t="shared" si="5"/>
        <v>0.00260503889</v>
      </c>
      <c r="O14" s="37"/>
      <c r="P14" s="56"/>
      <c r="Q14" s="43"/>
      <c r="R14" s="65">
        <v>1306.7549999999999</v>
      </c>
      <c r="S14" s="43"/>
      <c r="T14" s="65">
        <v>1332.8900999999998</v>
      </c>
      <c r="U14" s="58">
        <f t="shared" si="6"/>
        <v>2.126952287</v>
      </c>
      <c r="V14" s="58"/>
      <c r="W14" s="65">
        <v>1360.3946678667605</v>
      </c>
      <c r="X14" s="58">
        <f t="shared" si="7"/>
        <v>2.170842555</v>
      </c>
      <c r="Y14" s="57">
        <f t="shared" si="8"/>
        <v>27.50456787</v>
      </c>
      <c r="Z14" s="59">
        <f t="shared" si="9"/>
        <v>0.02063528558</v>
      </c>
      <c r="AA14" s="60">
        <v>1508.5198834818893</v>
      </c>
      <c r="AB14" s="58">
        <v>2.459543288285689</v>
      </c>
      <c r="AC14" s="61">
        <v>148.1252156151288</v>
      </c>
      <c r="AD14" s="39">
        <f t="shared" si="10"/>
        <v>0.1088840019</v>
      </c>
      <c r="AE14" s="62"/>
      <c r="AF14" s="60">
        <f t="shared" si="11"/>
        <v>1674.760682</v>
      </c>
      <c r="AG14" s="58">
        <f t="shared" si="12"/>
        <v>2.672490449</v>
      </c>
      <c r="AH14" s="63">
        <f t="shared" si="13"/>
        <v>166.240798</v>
      </c>
      <c r="AI14" s="29">
        <f t="shared" si="14"/>
        <v>0.1102012641</v>
      </c>
      <c r="AJ14" s="43"/>
    </row>
    <row r="15">
      <c r="A15" s="66" t="s">
        <v>37</v>
      </c>
      <c r="B15" s="48" t="s">
        <v>38</v>
      </c>
      <c r="C15" s="67" t="s">
        <v>39</v>
      </c>
      <c r="D15" s="68"/>
      <c r="E15" s="51">
        <f>AVERAGE('Avg master'!E4:G4)</f>
        <v>1671.666667</v>
      </c>
      <c r="F15" s="51">
        <f>'Avg master'!J4</f>
        <v>1659</v>
      </c>
      <c r="G15" s="52">
        <f t="shared" si="1"/>
        <v>0.006370794196</v>
      </c>
      <c r="H15" s="52">
        <f t="shared" si="2"/>
        <v>0.006343755855</v>
      </c>
      <c r="I15" s="39">
        <f t="shared" si="3"/>
        <v>-0.004244108339</v>
      </c>
      <c r="J15" s="53">
        <v>756.0</v>
      </c>
      <c r="K15" s="53">
        <v>597.0</v>
      </c>
      <c r="L15" s="53">
        <v>491.0</v>
      </c>
      <c r="M15" s="54">
        <f t="shared" si="4"/>
        <v>614.6666667</v>
      </c>
      <c r="N15" s="55">
        <f t="shared" si="5"/>
        <v>0.005278782101</v>
      </c>
      <c r="O15" s="37"/>
      <c r="P15" s="56">
        <v>1472.5461744000004</v>
      </c>
      <c r="Q15" s="43"/>
      <c r="R15" s="57">
        <v>1568.2616757360004</v>
      </c>
      <c r="S15" s="43"/>
      <c r="T15" s="57">
        <v>1599.6269092507205</v>
      </c>
      <c r="U15" s="58">
        <f t="shared" si="6"/>
        <v>0.9642115185</v>
      </c>
      <c r="V15" s="58"/>
      <c r="W15" s="57">
        <v>1640.347815507636</v>
      </c>
      <c r="X15" s="58">
        <f t="shared" si="7"/>
        <v>0.9887569714</v>
      </c>
      <c r="Y15" s="57">
        <f t="shared" si="8"/>
        <v>40.72090626</v>
      </c>
      <c r="Z15" s="59">
        <f t="shared" si="9"/>
        <v>0.0254565024</v>
      </c>
      <c r="AA15" s="60">
        <v>1800.990810956024</v>
      </c>
      <c r="AB15" s="58">
        <v>1.0851521255007173</v>
      </c>
      <c r="AC15" s="61">
        <v>160.6429954483881</v>
      </c>
      <c r="AD15" s="39">
        <f t="shared" si="10"/>
        <v>0.09793227627</v>
      </c>
      <c r="AE15" s="62"/>
      <c r="AF15" s="60">
        <f t="shared" si="11"/>
        <v>1936.814988</v>
      </c>
      <c r="AG15" s="58">
        <f t="shared" si="12"/>
        <v>1.167459305</v>
      </c>
      <c r="AH15" s="63">
        <f t="shared" si="13"/>
        <v>135.8241767</v>
      </c>
      <c r="AI15" s="29">
        <f t="shared" si="14"/>
        <v>0.07541636299</v>
      </c>
      <c r="AJ15" s="43"/>
    </row>
    <row r="16">
      <c r="A16" s="69" t="s">
        <v>40</v>
      </c>
      <c r="B16" s="48" t="s">
        <v>41</v>
      </c>
      <c r="C16" s="70" t="s">
        <v>42</v>
      </c>
      <c r="D16" s="71"/>
      <c r="E16" s="51">
        <f>AVERAGE('Avg master'!E5:G5)</f>
        <v>16778.33333</v>
      </c>
      <c r="F16" s="51">
        <f>'Avg master'!J5</f>
        <v>16863.33333</v>
      </c>
      <c r="G16" s="52">
        <f t="shared" si="1"/>
        <v>0.0639429563</v>
      </c>
      <c r="H16" s="52">
        <f t="shared" si="2"/>
        <v>0.06448274236</v>
      </c>
      <c r="I16" s="39">
        <f t="shared" si="3"/>
        <v>0.008441681258</v>
      </c>
      <c r="J16" s="53">
        <v>10989.0</v>
      </c>
      <c r="K16" s="53">
        <v>9198.0</v>
      </c>
      <c r="L16" s="53">
        <v>6885.0</v>
      </c>
      <c r="M16" s="54">
        <f t="shared" si="4"/>
        <v>9024</v>
      </c>
      <c r="N16" s="55">
        <f t="shared" si="5"/>
        <v>0.07749847562</v>
      </c>
      <c r="O16" s="37"/>
      <c r="P16" s="56">
        <v>12271.218120000003</v>
      </c>
      <c r="Q16" s="43"/>
      <c r="R16" s="57">
        <v>13068.847297800003</v>
      </c>
      <c r="S16" s="43"/>
      <c r="T16" s="57">
        <v>13330.224243756003</v>
      </c>
      <c r="U16" s="58">
        <f t="shared" si="6"/>
        <v>0.7904857231</v>
      </c>
      <c r="V16" s="58"/>
      <c r="W16" s="57">
        <v>13596.890547799974</v>
      </c>
      <c r="X16" s="58">
        <f t="shared" si="7"/>
        <v>0.8062991034</v>
      </c>
      <c r="Y16" s="57">
        <f t="shared" si="8"/>
        <v>266.666304</v>
      </c>
      <c r="Z16" s="59">
        <f t="shared" si="9"/>
        <v>0.02000463752</v>
      </c>
      <c r="AA16" s="60">
        <v>15084.199533663568</v>
      </c>
      <c r="AB16" s="58">
        <v>0.8961797920782395</v>
      </c>
      <c r="AC16" s="61">
        <v>1487.308985863594</v>
      </c>
      <c r="AD16" s="39">
        <f t="shared" si="10"/>
        <v>0.1093859644</v>
      </c>
      <c r="AE16" s="62"/>
      <c r="AF16" s="60">
        <f t="shared" si="11"/>
        <v>16428.45838</v>
      </c>
      <c r="AG16" s="58">
        <f t="shared" si="12"/>
        <v>0.9742118036</v>
      </c>
      <c r="AH16" s="63">
        <f t="shared" si="13"/>
        <v>1344.258848</v>
      </c>
      <c r="AI16" s="29">
        <f t="shared" si="14"/>
        <v>0.08911701576</v>
      </c>
      <c r="AJ16" s="43"/>
    </row>
    <row r="17">
      <c r="A17" s="72" t="s">
        <v>43</v>
      </c>
      <c r="B17" s="73" t="s">
        <v>44</v>
      </c>
      <c r="C17" s="70" t="s">
        <v>45</v>
      </c>
      <c r="D17" s="74"/>
      <c r="E17" s="51">
        <f>AVERAGE('Avg master'!E6:G6)</f>
        <v>2052.666667</v>
      </c>
      <c r="F17" s="51">
        <f>'Avg master'!J6</f>
        <v>1595</v>
      </c>
      <c r="G17" s="52">
        <f t="shared" si="1"/>
        <v>0.007822801727</v>
      </c>
      <c r="H17" s="52">
        <f t="shared" si="2"/>
        <v>0.006099029891</v>
      </c>
      <c r="I17" s="39">
        <f t="shared" si="3"/>
        <v>-0.2203522339</v>
      </c>
      <c r="J17" s="53">
        <v>4438.0</v>
      </c>
      <c r="K17" s="53">
        <v>2541.0</v>
      </c>
      <c r="L17" s="53">
        <v>1310.0</v>
      </c>
      <c r="M17" s="54">
        <f t="shared" si="4"/>
        <v>2763</v>
      </c>
      <c r="N17" s="55">
        <f t="shared" si="5"/>
        <v>0.02372875534</v>
      </c>
      <c r="O17" s="37"/>
      <c r="P17" s="56">
        <v>6135.609060000002</v>
      </c>
      <c r="Q17" s="43"/>
      <c r="R17" s="57">
        <v>6534.423648900001</v>
      </c>
      <c r="S17" s="43"/>
      <c r="T17" s="57">
        <v>6665.112121878002</v>
      </c>
      <c r="U17" s="58">
        <f t="shared" si="6"/>
        <v>4.178753681</v>
      </c>
      <c r="V17" s="58"/>
      <c r="W17" s="57">
        <v>6747.192239397813</v>
      </c>
      <c r="X17" s="58">
        <f t="shared" si="7"/>
        <v>4.23021457</v>
      </c>
      <c r="Y17" s="57">
        <f t="shared" si="8"/>
        <v>82.08011752</v>
      </c>
      <c r="Z17" s="59">
        <f t="shared" si="9"/>
        <v>0.01231488924</v>
      </c>
      <c r="AA17" s="60">
        <v>6403.726198141526</v>
      </c>
      <c r="AB17" s="58">
        <v>3.6350385230699294</v>
      </c>
      <c r="AC17" s="61">
        <v>-343.4660412562871</v>
      </c>
      <c r="AD17" s="39">
        <f t="shared" si="10"/>
        <v>-0.05090503265</v>
      </c>
      <c r="AE17" s="62"/>
      <c r="AF17" s="60">
        <f t="shared" si="11"/>
        <v>5392.062891</v>
      </c>
      <c r="AG17" s="58">
        <f t="shared" si="12"/>
        <v>3.380603694</v>
      </c>
      <c r="AH17" s="63">
        <f t="shared" si="13"/>
        <v>-1011.663307</v>
      </c>
      <c r="AI17" s="29">
        <f t="shared" si="14"/>
        <v>-0.1579804126</v>
      </c>
      <c r="AJ17" s="43"/>
    </row>
    <row r="18">
      <c r="A18" s="72" t="s">
        <v>46</v>
      </c>
      <c r="B18" s="75" t="s">
        <v>47</v>
      </c>
      <c r="C18" s="70" t="s">
        <v>48</v>
      </c>
      <c r="D18" s="74"/>
      <c r="E18" s="51">
        <f>AVERAGE('Avg master'!E8:G8)</f>
        <v>1278.333333</v>
      </c>
      <c r="F18" s="51">
        <f>'Avg master'!J8</f>
        <v>883.6666667</v>
      </c>
      <c r="G18" s="52">
        <f t="shared" si="1"/>
        <v>0.004871783797</v>
      </c>
      <c r="H18" s="52">
        <f t="shared" si="2"/>
        <v>0.003379002767</v>
      </c>
      <c r="I18" s="39">
        <f t="shared" si="3"/>
        <v>-0.3064136448</v>
      </c>
      <c r="J18" s="53">
        <v>7736.0</v>
      </c>
      <c r="K18" s="53">
        <v>7202.0</v>
      </c>
      <c r="L18" s="53">
        <v>6818.0</v>
      </c>
      <c r="M18" s="54">
        <f t="shared" si="4"/>
        <v>7252</v>
      </c>
      <c r="N18" s="55">
        <f t="shared" si="5"/>
        <v>0.06228046822</v>
      </c>
      <c r="O18" s="37"/>
      <c r="P18" s="56">
        <v>4908.487248</v>
      </c>
      <c r="Q18" s="43"/>
      <c r="R18" s="57">
        <v>5227.53891912</v>
      </c>
      <c r="S18" s="43"/>
      <c r="T18" s="57">
        <v>5332.089697502401</v>
      </c>
      <c r="U18" s="58">
        <f t="shared" si="6"/>
        <v>6.034050959</v>
      </c>
      <c r="V18" s="58"/>
      <c r="W18" s="57">
        <v>5397.75379151825</v>
      </c>
      <c r="X18" s="58">
        <f t="shared" si="7"/>
        <v>6.108359628</v>
      </c>
      <c r="Y18" s="57">
        <f t="shared" si="8"/>
        <v>65.66409402</v>
      </c>
      <c r="Z18" s="59">
        <f t="shared" si="9"/>
        <v>0.01231488924</v>
      </c>
      <c r="AA18" s="60">
        <v>5022.859517446922</v>
      </c>
      <c r="AB18" s="58">
        <v>4.669531624524563</v>
      </c>
      <c r="AC18" s="61">
        <v>-374.89427407132825</v>
      </c>
      <c r="AD18" s="39">
        <f t="shared" si="10"/>
        <v>-0.06945375587</v>
      </c>
      <c r="AE18" s="62"/>
      <c r="AF18" s="60">
        <f t="shared" si="11"/>
        <v>3762.489772</v>
      </c>
      <c r="AG18" s="58">
        <f t="shared" si="12"/>
        <v>4.25781566</v>
      </c>
      <c r="AH18" s="63">
        <f t="shared" si="13"/>
        <v>-1260.369746</v>
      </c>
      <c r="AI18" s="29">
        <f t="shared" si="14"/>
        <v>-0.2509267364</v>
      </c>
      <c r="AJ18" s="43"/>
    </row>
    <row r="19">
      <c r="A19" s="69" t="s">
        <v>49</v>
      </c>
      <c r="B19" s="76" t="s">
        <v>50</v>
      </c>
      <c r="C19" s="77" t="s">
        <v>51</v>
      </c>
      <c r="D19" s="71"/>
      <c r="E19" s="51">
        <f>AVERAGE('Avg master'!E9:G9)</f>
        <v>291.5</v>
      </c>
      <c r="F19" s="51">
        <f>'Avg master'!J9</f>
        <v>277.3333333</v>
      </c>
      <c r="G19" s="52">
        <f t="shared" si="1"/>
        <v>0.001110919147</v>
      </c>
      <c r="H19" s="52">
        <f t="shared" si="2"/>
        <v>0.001060479179</v>
      </c>
      <c r="I19" s="39">
        <f t="shared" si="3"/>
        <v>-0.04540381631</v>
      </c>
      <c r="J19" s="53">
        <v>357.0</v>
      </c>
      <c r="K19" s="53">
        <v>350.0</v>
      </c>
      <c r="L19" s="53">
        <v>341.0</v>
      </c>
      <c r="M19" s="54">
        <f t="shared" si="4"/>
        <v>349.3333333</v>
      </c>
      <c r="N19" s="55">
        <f t="shared" si="5"/>
        <v>0.003000088743</v>
      </c>
      <c r="O19" s="37"/>
      <c r="P19" s="56">
        <v>1227.121812</v>
      </c>
      <c r="Q19" s="43"/>
      <c r="R19" s="57">
        <v>1306.88472978</v>
      </c>
      <c r="S19" s="43"/>
      <c r="T19" s="57">
        <v>1333.0224243756002</v>
      </c>
      <c r="U19" s="58">
        <f t="shared" si="6"/>
        <v>4.806571242</v>
      </c>
      <c r="V19" s="58"/>
      <c r="W19" s="57">
        <v>1349.4384478795625</v>
      </c>
      <c r="X19" s="58">
        <f t="shared" si="7"/>
        <v>4.865763634</v>
      </c>
      <c r="Y19" s="57">
        <f t="shared" si="8"/>
        <v>16.4160235</v>
      </c>
      <c r="Z19" s="59">
        <f t="shared" si="9"/>
        <v>0.01231488924</v>
      </c>
      <c r="AA19" s="60">
        <v>1424.8990762667397</v>
      </c>
      <c r="AB19" s="58">
        <v>5.119397878802658</v>
      </c>
      <c r="AC19" s="61">
        <v>75.46062838717717</v>
      </c>
      <c r="AD19" s="39">
        <f t="shared" si="10"/>
        <v>0.05592002251</v>
      </c>
      <c r="AE19" s="62"/>
      <c r="AF19" s="60">
        <f t="shared" si="11"/>
        <v>1469.019478</v>
      </c>
      <c r="AG19" s="58">
        <f t="shared" si="12"/>
        <v>5.296945233</v>
      </c>
      <c r="AH19" s="63">
        <f t="shared" si="13"/>
        <v>44.12040171</v>
      </c>
      <c r="AI19" s="29">
        <f t="shared" si="14"/>
        <v>0.03096387838</v>
      </c>
      <c r="AJ19" s="43"/>
    </row>
    <row r="20">
      <c r="A20" s="69" t="s">
        <v>52</v>
      </c>
      <c r="B20" s="48" t="s">
        <v>53</v>
      </c>
      <c r="C20" s="77" t="s">
        <v>54</v>
      </c>
      <c r="D20" s="71"/>
      <c r="E20" s="51">
        <f>AVERAGE('Avg master'!E10:G10)</f>
        <v>76</v>
      </c>
      <c r="F20" s="51">
        <f>'Avg master'!J10</f>
        <v>83.66666667</v>
      </c>
      <c r="G20" s="52">
        <f t="shared" si="1"/>
        <v>0.0002896392974</v>
      </c>
      <c r="H20" s="52">
        <f t="shared" si="2"/>
        <v>0.0003199282137</v>
      </c>
      <c r="I20" s="39">
        <f t="shared" si="3"/>
        <v>0.104574609</v>
      </c>
      <c r="J20" s="53">
        <v>111.0</v>
      </c>
      <c r="K20" s="53">
        <v>104.0</v>
      </c>
      <c r="L20" s="53">
        <v>95.0</v>
      </c>
      <c r="M20" s="54">
        <f t="shared" si="4"/>
        <v>103.3333333</v>
      </c>
      <c r="N20" s="55">
        <f t="shared" si="5"/>
        <v>0.0008874308305</v>
      </c>
      <c r="O20" s="37"/>
      <c r="P20" s="56">
        <v>923.2630776000001</v>
      </c>
      <c r="Q20" s="43"/>
      <c r="R20" s="57">
        <v>983.275177644</v>
      </c>
      <c r="S20" s="43"/>
      <c r="T20" s="57">
        <v>1002.9406811968801</v>
      </c>
      <c r="U20" s="58">
        <f t="shared" si="6"/>
        <v>11.98733882</v>
      </c>
      <c r="V20" s="58"/>
      <c r="W20" s="57">
        <v>1015.2917845950994</v>
      </c>
      <c r="X20" s="58">
        <f t="shared" si="7"/>
        <v>12.13496157</v>
      </c>
      <c r="Y20" s="57">
        <f t="shared" si="8"/>
        <v>12.3511034</v>
      </c>
      <c r="Z20" s="59">
        <f t="shared" si="9"/>
        <v>0.01231488924</v>
      </c>
      <c r="AA20" s="60">
        <v>1152.3283478767603</v>
      </c>
      <c r="AB20" s="58">
        <v>14.773440357394362</v>
      </c>
      <c r="AC20" s="61">
        <v>137.03656328166085</v>
      </c>
      <c r="AD20" s="39">
        <f t="shared" si="10"/>
        <v>0.1349725915</v>
      </c>
      <c r="AE20" s="62"/>
      <c r="AF20" s="60">
        <f t="shared" si="11"/>
        <v>1374.659245</v>
      </c>
      <c r="AG20" s="58">
        <f t="shared" si="12"/>
        <v>16.43019018</v>
      </c>
      <c r="AH20" s="63">
        <f t="shared" si="13"/>
        <v>222.3308971</v>
      </c>
      <c r="AI20" s="29">
        <f t="shared" si="14"/>
        <v>0.1929405777</v>
      </c>
      <c r="AJ20" s="43"/>
    </row>
    <row r="21" ht="15.75" customHeight="1">
      <c r="A21" s="66" t="s">
        <v>55</v>
      </c>
      <c r="B21" s="48" t="s">
        <v>56</v>
      </c>
      <c r="C21" s="67" t="s">
        <v>39</v>
      </c>
      <c r="D21" s="68"/>
      <c r="E21" s="51">
        <f>AVERAGE('Avg master'!E11:G11)</f>
        <v>1010.666667</v>
      </c>
      <c r="F21" s="51">
        <f>'Avg master'!J11</f>
        <v>975.3333333</v>
      </c>
      <c r="G21" s="52">
        <f t="shared" si="1"/>
        <v>0.003851694517</v>
      </c>
      <c r="H21" s="52">
        <f t="shared" si="2"/>
        <v>0.003729521726</v>
      </c>
      <c r="I21" s="39">
        <f t="shared" si="3"/>
        <v>-0.03171923161</v>
      </c>
      <c r="J21" s="53">
        <v>354.0</v>
      </c>
      <c r="K21" s="53">
        <v>332.0</v>
      </c>
      <c r="L21" s="53">
        <v>294.0</v>
      </c>
      <c r="M21" s="54">
        <f t="shared" si="4"/>
        <v>326.6666667</v>
      </c>
      <c r="N21" s="55">
        <f t="shared" si="5"/>
        <v>0.002805426496</v>
      </c>
      <c r="O21" s="37"/>
      <c r="P21" s="56">
        <v>1472.5461744000004</v>
      </c>
      <c r="Q21" s="43"/>
      <c r="R21" s="57">
        <v>1568.2616757360004</v>
      </c>
      <c r="S21" s="43"/>
      <c r="T21" s="57">
        <v>1599.6269092507205</v>
      </c>
      <c r="U21" s="58">
        <f t="shared" si="6"/>
        <v>1.640082272</v>
      </c>
      <c r="V21" s="58"/>
      <c r="W21" s="57">
        <v>1619.8605685239424</v>
      </c>
      <c r="X21" s="58">
        <f t="shared" si="7"/>
        <v>1.660827651</v>
      </c>
      <c r="Y21" s="57">
        <f t="shared" si="8"/>
        <v>20.23365927</v>
      </c>
      <c r="Z21" s="59">
        <f t="shared" si="9"/>
        <v>0.01264898656</v>
      </c>
      <c r="AA21" s="60">
        <v>1793.7196566859357</v>
      </c>
      <c r="AB21" s="58">
        <v>1.7724502536422289</v>
      </c>
      <c r="AC21" s="61">
        <v>173.8590881619932</v>
      </c>
      <c r="AD21" s="39">
        <f t="shared" si="10"/>
        <v>0.1073296625</v>
      </c>
      <c r="AE21" s="62"/>
      <c r="AF21" s="60">
        <f t="shared" si="11"/>
        <v>1875.770187</v>
      </c>
      <c r="AG21" s="58">
        <f t="shared" si="12"/>
        <v>1.923209351</v>
      </c>
      <c r="AH21" s="63">
        <f t="shared" si="13"/>
        <v>82.05053056</v>
      </c>
      <c r="AI21" s="29">
        <f t="shared" si="14"/>
        <v>0.04574322986</v>
      </c>
      <c r="AJ21" s="43"/>
    </row>
    <row r="22" ht="15.75" customHeight="1">
      <c r="A22" s="69" t="s">
        <v>57</v>
      </c>
      <c r="B22" s="48" t="s">
        <v>58</v>
      </c>
      <c r="C22" s="50" t="s">
        <v>59</v>
      </c>
      <c r="D22" s="71"/>
      <c r="E22" s="51">
        <f>AVERAGE('Avg master'!E12:G12)</f>
        <v>2</v>
      </c>
      <c r="F22" s="51">
        <f>'Avg master'!J12</f>
        <v>2</v>
      </c>
      <c r="G22" s="52">
        <f t="shared" si="1"/>
        <v>0.000007622086775</v>
      </c>
      <c r="H22" s="52">
        <f t="shared" si="2"/>
        <v>0.000007647686384</v>
      </c>
      <c r="I22" s="39">
        <f t="shared" si="3"/>
        <v>0.003358608937</v>
      </c>
      <c r="J22" s="53">
        <v>2.0</v>
      </c>
      <c r="K22" s="53">
        <v>2.0</v>
      </c>
      <c r="L22" s="53">
        <v>2.0</v>
      </c>
      <c r="M22" s="54">
        <f t="shared" si="4"/>
        <v>2</v>
      </c>
      <c r="N22" s="55">
        <f t="shared" si="5"/>
        <v>0.00001717608059</v>
      </c>
      <c r="O22" s="37"/>
      <c r="P22" s="56">
        <v>368.1365436000001</v>
      </c>
      <c r="Q22" s="43"/>
      <c r="R22" s="57">
        <v>392.0654189340001</v>
      </c>
      <c r="S22" s="43"/>
      <c r="T22" s="57">
        <v>399.9067273126801</v>
      </c>
      <c r="U22" s="58"/>
      <c r="V22" s="58"/>
      <c r="W22" s="57">
        <v>424.0</v>
      </c>
      <c r="X22" s="58"/>
      <c r="Y22" s="57">
        <f t="shared" si="8"/>
        <v>24.09327269</v>
      </c>
      <c r="Z22" s="59">
        <f t="shared" si="9"/>
        <v>0.06024723027</v>
      </c>
      <c r="AA22" s="78">
        <v>468.8891895904874</v>
      </c>
      <c r="AB22" s="58"/>
      <c r="AC22" s="61">
        <v>44.889189590487376</v>
      </c>
      <c r="AD22" s="39">
        <f t="shared" si="10"/>
        <v>0.1058707302</v>
      </c>
      <c r="AE22" s="62"/>
      <c r="AF22" s="78">
        <f t="shared" si="11"/>
        <v>508.1011254</v>
      </c>
      <c r="AG22" s="58"/>
      <c r="AH22" s="63">
        <f t="shared" si="13"/>
        <v>39.21193582</v>
      </c>
      <c r="AI22" s="29">
        <f t="shared" si="14"/>
        <v>0.08362729765</v>
      </c>
      <c r="AJ22" s="43"/>
    </row>
    <row r="23" ht="15.75" customHeight="1">
      <c r="A23" s="69" t="s">
        <v>60</v>
      </c>
      <c r="B23" s="48" t="s">
        <v>61</v>
      </c>
      <c r="C23" s="79" t="s">
        <v>62</v>
      </c>
      <c r="D23" s="71"/>
      <c r="E23" s="51">
        <f>AVERAGE('Avg master'!E13:G13)</f>
        <v>2717.666667</v>
      </c>
      <c r="F23" s="51">
        <f>'Avg master'!J13</f>
        <v>2900</v>
      </c>
      <c r="G23" s="52">
        <f t="shared" si="1"/>
        <v>0.01035714558</v>
      </c>
      <c r="H23" s="52">
        <f t="shared" si="2"/>
        <v>0.01108914526</v>
      </c>
      <c r="I23" s="39">
        <f t="shared" si="3"/>
        <v>0.07067581231</v>
      </c>
      <c r="J23" s="53">
        <v>927.0</v>
      </c>
      <c r="K23" s="53">
        <v>527.0</v>
      </c>
      <c r="L23" s="53">
        <v>345.0</v>
      </c>
      <c r="M23" s="54">
        <f t="shared" si="4"/>
        <v>599.6666667</v>
      </c>
      <c r="N23" s="55">
        <f t="shared" si="5"/>
        <v>0.005149961497</v>
      </c>
      <c r="O23" s="37"/>
      <c r="P23" s="56">
        <v>1659.5361648</v>
      </c>
      <c r="Q23" s="43"/>
      <c r="R23" s="57">
        <v>1767.406015512</v>
      </c>
      <c r="S23" s="43"/>
      <c r="T23" s="57">
        <v>1802.7541358222402</v>
      </c>
      <c r="U23" s="58">
        <f t="shared" ref="U23:U27" si="15">SUM(T23/$F23)</f>
        <v>0.6216393572</v>
      </c>
      <c r="V23" s="58"/>
      <c r="W23" s="57">
        <v>1926.0342351811173</v>
      </c>
      <c r="X23" s="58">
        <f t="shared" ref="X23:X27" si="16">SUM(W23/$F23)</f>
        <v>0.6641497363</v>
      </c>
      <c r="Y23" s="57">
        <f t="shared" si="8"/>
        <v>123.2800994</v>
      </c>
      <c r="Z23" s="59">
        <f t="shared" si="9"/>
        <v>0.06838431093</v>
      </c>
      <c r="AA23" s="60">
        <v>2117.4050412005176</v>
      </c>
      <c r="AB23" s="58">
        <v>0.7837402990254847</v>
      </c>
      <c r="AC23" s="61">
        <v>191.37080601940033</v>
      </c>
      <c r="AD23" s="39">
        <f t="shared" si="10"/>
        <v>0.09936002306</v>
      </c>
      <c r="AE23" s="62"/>
      <c r="AF23" s="60">
        <f t="shared" si="11"/>
        <v>2448.418711</v>
      </c>
      <c r="AG23" s="58">
        <f t="shared" ref="AG23:AG27" si="17">SUM(AF23/$F23)</f>
        <v>0.8442823143</v>
      </c>
      <c r="AH23" s="63">
        <f t="shared" si="13"/>
        <v>331.0136703</v>
      </c>
      <c r="AI23" s="29">
        <f t="shared" si="14"/>
        <v>0.1563298773</v>
      </c>
      <c r="AJ23" s="43"/>
    </row>
    <row r="24" ht="15.75" customHeight="1">
      <c r="A24" s="80" t="s">
        <v>63</v>
      </c>
      <c r="B24" s="48" t="s">
        <v>64</v>
      </c>
      <c r="C24" s="81" t="s">
        <v>62</v>
      </c>
      <c r="D24" s="50"/>
      <c r="E24" s="51">
        <f>AVERAGE('Avg master'!E14:G14)</f>
        <v>1985</v>
      </c>
      <c r="F24" s="82">
        <f>'Avg master'!J14</f>
        <v>2020</v>
      </c>
      <c r="G24" s="52">
        <f t="shared" si="1"/>
        <v>0.007564921124</v>
      </c>
      <c r="H24" s="52">
        <f t="shared" si="2"/>
        <v>0.007724163248</v>
      </c>
      <c r="I24" s="39">
        <f t="shared" si="3"/>
        <v>0.02105007056</v>
      </c>
      <c r="J24" s="53">
        <v>1699.0</v>
      </c>
      <c r="K24" s="53">
        <v>1656.0</v>
      </c>
      <c r="L24" s="53">
        <v>1411.0</v>
      </c>
      <c r="M24" s="54">
        <f t="shared" si="4"/>
        <v>1588.666667</v>
      </c>
      <c r="N24" s="55">
        <f t="shared" si="5"/>
        <v>0.01364353335</v>
      </c>
      <c r="O24" s="37"/>
      <c r="P24" s="56"/>
      <c r="Q24" s="43"/>
      <c r="R24" s="65">
        <v>1568.745</v>
      </c>
      <c r="S24" s="43"/>
      <c r="T24" s="65">
        <v>1600.1199</v>
      </c>
      <c r="U24" s="58">
        <f t="shared" si="15"/>
        <v>0.7921385644</v>
      </c>
      <c r="V24" s="58"/>
      <c r="W24" s="65">
        <v>1632.1588937423776</v>
      </c>
      <c r="X24" s="58">
        <f t="shared" si="16"/>
        <v>0.8079994523</v>
      </c>
      <c r="Y24" s="57">
        <f t="shared" si="8"/>
        <v>32.03899374</v>
      </c>
      <c r="Z24" s="59">
        <f t="shared" si="9"/>
        <v>0.02002287063</v>
      </c>
      <c r="AA24" s="60">
        <v>1807.9877412689023</v>
      </c>
      <c r="AB24" s="58">
        <v>0.9092981096071596</v>
      </c>
      <c r="AC24" s="61">
        <v>175.82884752652467</v>
      </c>
      <c r="AD24" s="39">
        <f t="shared" si="10"/>
        <v>0.1077277759</v>
      </c>
      <c r="AE24" s="62"/>
      <c r="AF24" s="60">
        <f t="shared" si="11"/>
        <v>1993.729692</v>
      </c>
      <c r="AG24" s="58">
        <f t="shared" si="17"/>
        <v>0.9869948969</v>
      </c>
      <c r="AH24" s="63">
        <f t="shared" si="13"/>
        <v>185.7419504</v>
      </c>
      <c r="AI24" s="29">
        <f t="shared" si="14"/>
        <v>0.1027340762</v>
      </c>
      <c r="AJ24" s="43"/>
    </row>
    <row r="25" ht="15.75" customHeight="1">
      <c r="A25" s="83" t="s">
        <v>65</v>
      </c>
      <c r="B25" s="48" t="s">
        <v>66</v>
      </c>
      <c r="C25" s="49" t="s">
        <v>34</v>
      </c>
      <c r="D25" s="50"/>
      <c r="E25" s="51">
        <f>AVERAGE('Avg master'!E15:G15)</f>
        <v>475</v>
      </c>
      <c r="F25" s="51">
        <f>'Avg master'!J15</f>
        <v>466.3333333</v>
      </c>
      <c r="G25" s="52">
        <f t="shared" si="1"/>
        <v>0.001810245609</v>
      </c>
      <c r="H25" s="52">
        <f t="shared" si="2"/>
        <v>0.001783185542</v>
      </c>
      <c r="I25" s="39">
        <f t="shared" si="3"/>
        <v>-0.01494828498</v>
      </c>
      <c r="J25" s="53">
        <v>308.0</v>
      </c>
      <c r="K25" s="53">
        <v>229.0</v>
      </c>
      <c r="L25" s="53">
        <v>174.0</v>
      </c>
      <c r="M25" s="54">
        <f t="shared" si="4"/>
        <v>237</v>
      </c>
      <c r="N25" s="55">
        <f t="shared" si="5"/>
        <v>0.00203536555</v>
      </c>
      <c r="O25" s="37"/>
      <c r="P25" s="56">
        <v>1227.121812</v>
      </c>
      <c r="Q25" s="43"/>
      <c r="R25" s="57">
        <v>1306.88472978</v>
      </c>
      <c r="S25" s="43"/>
      <c r="T25" s="57">
        <v>1333.0224243756002</v>
      </c>
      <c r="U25" s="58">
        <f t="shared" si="15"/>
        <v>2.858518423</v>
      </c>
      <c r="V25" s="58"/>
      <c r="W25" s="57">
        <v>1349.4384478795623</v>
      </c>
      <c r="X25" s="58">
        <f t="shared" si="16"/>
        <v>2.89372076</v>
      </c>
      <c r="Y25" s="57">
        <f t="shared" si="8"/>
        <v>16.4160235</v>
      </c>
      <c r="Z25" s="59">
        <f t="shared" si="9"/>
        <v>0.01231488924</v>
      </c>
      <c r="AA25" s="60">
        <v>1492.3044816709746</v>
      </c>
      <c r="AB25" s="58">
        <v>3.1416936456231044</v>
      </c>
      <c r="AC25" s="61">
        <v>142.8660337914123</v>
      </c>
      <c r="AD25" s="39">
        <f t="shared" si="10"/>
        <v>0.1058707302</v>
      </c>
      <c r="AE25" s="62"/>
      <c r="AF25" s="60">
        <f t="shared" si="11"/>
        <v>1587.596856</v>
      </c>
      <c r="AG25" s="58">
        <f t="shared" si="17"/>
        <v>3.404424995</v>
      </c>
      <c r="AH25" s="63">
        <f t="shared" si="13"/>
        <v>95.29237445</v>
      </c>
      <c r="AI25" s="29">
        <f t="shared" si="14"/>
        <v>0.06385585222</v>
      </c>
      <c r="AJ25" s="43"/>
    </row>
    <row r="26" ht="15.75" customHeight="1">
      <c r="A26" s="69" t="s">
        <v>67</v>
      </c>
      <c r="B26" s="48" t="s">
        <v>68</v>
      </c>
      <c r="C26" s="67" t="s">
        <v>39</v>
      </c>
      <c r="D26" s="71"/>
      <c r="E26" s="51">
        <f>AVERAGE('Avg master'!E16:G16)</f>
        <v>1378.333333</v>
      </c>
      <c r="F26" s="51">
        <f>'Avg master'!J16</f>
        <v>1379.666667</v>
      </c>
      <c r="G26" s="52">
        <f t="shared" si="1"/>
        <v>0.005252888136</v>
      </c>
      <c r="H26" s="52">
        <f t="shared" si="2"/>
        <v>0.00527562899</v>
      </c>
      <c r="I26" s="39">
        <f t="shared" si="3"/>
        <v>0.004329209768</v>
      </c>
      <c r="J26" s="53">
        <v>994.0</v>
      </c>
      <c r="K26" s="53">
        <v>777.0</v>
      </c>
      <c r="L26" s="53">
        <v>592.0</v>
      </c>
      <c r="M26" s="54">
        <f t="shared" si="4"/>
        <v>787.6666667</v>
      </c>
      <c r="N26" s="55">
        <f t="shared" si="5"/>
        <v>0.006764513072</v>
      </c>
      <c r="O26" s="37"/>
      <c r="P26" s="56">
        <v>1472.5461744000004</v>
      </c>
      <c r="Q26" s="43"/>
      <c r="R26" s="57">
        <v>1568.2616757360004</v>
      </c>
      <c r="S26" s="43"/>
      <c r="T26" s="57">
        <v>1599.6269092507205</v>
      </c>
      <c r="U26" s="58">
        <f t="shared" si="15"/>
        <v>1.15942999</v>
      </c>
      <c r="V26" s="58"/>
      <c r="W26" s="57">
        <v>1611.5127423410943</v>
      </c>
      <c r="X26" s="58">
        <f t="shared" si="16"/>
        <v>1.168044993</v>
      </c>
      <c r="Y26" s="57">
        <f t="shared" si="8"/>
        <v>11.88583309</v>
      </c>
      <c r="Z26" s="59">
        <f t="shared" si="9"/>
        <v>0.00743037831</v>
      </c>
      <c r="AA26" s="60">
        <v>1777.8149186965966</v>
      </c>
      <c r="AB26" s="58">
        <v>1.2929563045066157</v>
      </c>
      <c r="AC26" s="61">
        <v>166.3021763555023</v>
      </c>
      <c r="AD26" s="39">
        <f t="shared" si="10"/>
        <v>0.1031963149</v>
      </c>
      <c r="AE26" s="62"/>
      <c r="AF26" s="60">
        <f t="shared" si="11"/>
        <v>1928.352369</v>
      </c>
      <c r="AG26" s="58">
        <f t="shared" si="17"/>
        <v>1.397694396</v>
      </c>
      <c r="AH26" s="63">
        <f t="shared" si="13"/>
        <v>150.5374499</v>
      </c>
      <c r="AI26" s="29">
        <f t="shared" si="14"/>
        <v>0.08467554655</v>
      </c>
      <c r="AJ26" s="43"/>
    </row>
    <row r="27" ht="15.75" customHeight="1">
      <c r="A27" s="69" t="s">
        <v>69</v>
      </c>
      <c r="B27" s="69" t="s">
        <v>70</v>
      </c>
      <c r="C27" s="84" t="s">
        <v>71</v>
      </c>
      <c r="D27" s="35"/>
      <c r="E27" s="51">
        <f>AVERAGE('Avg master'!E17:G17)</f>
        <v>7391.666667</v>
      </c>
      <c r="F27" s="51">
        <f>'Avg master'!J17</f>
        <v>7300.333333</v>
      </c>
      <c r="G27" s="52">
        <f t="shared" si="1"/>
        <v>0.02816996237</v>
      </c>
      <c r="H27" s="52">
        <f t="shared" si="2"/>
        <v>0.02791532991</v>
      </c>
      <c r="I27" s="39">
        <f t="shared" si="3"/>
        <v>-0.009039147945</v>
      </c>
      <c r="J27" s="53">
        <v>2809.0</v>
      </c>
      <c r="K27" s="53">
        <v>2231.0</v>
      </c>
      <c r="L27" s="53">
        <v>1582.0</v>
      </c>
      <c r="M27" s="54">
        <f t="shared" si="4"/>
        <v>2207.333333</v>
      </c>
      <c r="N27" s="55">
        <f t="shared" si="5"/>
        <v>0.01895666761</v>
      </c>
      <c r="O27" s="37"/>
      <c r="P27" s="85">
        <v>5000.0</v>
      </c>
      <c r="Q27" s="86"/>
      <c r="R27" s="87">
        <v>5325.0</v>
      </c>
      <c r="S27" s="86"/>
      <c r="T27" s="87">
        <v>5431.5</v>
      </c>
      <c r="U27" s="58">
        <f t="shared" si="15"/>
        <v>0.744007123</v>
      </c>
      <c r="V27" s="58"/>
      <c r="W27" s="87">
        <v>5472.411683143485</v>
      </c>
      <c r="X27" s="58">
        <f t="shared" si="16"/>
        <v>0.7496112072</v>
      </c>
      <c r="Y27" s="57">
        <f t="shared" si="8"/>
        <v>40.91168314</v>
      </c>
      <c r="Z27" s="59">
        <f t="shared" si="9"/>
        <v>0.007532299207</v>
      </c>
      <c r="AA27" s="60">
        <v>6024.4889008597665</v>
      </c>
      <c r="AB27" s="58">
        <v>0.8187300884520634</v>
      </c>
      <c r="AC27" s="88">
        <v>552.0772177162817</v>
      </c>
      <c r="AD27" s="39">
        <f t="shared" si="10"/>
        <v>0.1008837145</v>
      </c>
      <c r="AE27" s="62"/>
      <c r="AF27" s="60">
        <f t="shared" si="11"/>
        <v>6447.635267</v>
      </c>
      <c r="AG27" s="58">
        <f t="shared" si="17"/>
        <v>0.8831973791</v>
      </c>
      <c r="AH27" s="63">
        <f t="shared" si="13"/>
        <v>423.1463659</v>
      </c>
      <c r="AI27" s="29">
        <f t="shared" si="14"/>
        <v>0.07023772022</v>
      </c>
      <c r="AJ27" s="88"/>
    </row>
    <row r="28" ht="15.75" customHeight="1">
      <c r="A28" s="69" t="s">
        <v>72</v>
      </c>
      <c r="B28" s="48" t="s">
        <v>73</v>
      </c>
      <c r="C28" s="89" t="s">
        <v>54</v>
      </c>
      <c r="D28" s="70"/>
      <c r="E28" s="51">
        <f>AVERAGE('Avg master'!E18:G18)</f>
        <v>24.33333333</v>
      </c>
      <c r="F28" s="51">
        <f>'Avg master'!J18</f>
        <v>24.33333333</v>
      </c>
      <c r="G28" s="52">
        <f t="shared" si="1"/>
        <v>0.00009273538909</v>
      </c>
      <c r="H28" s="52">
        <f t="shared" si="2"/>
        <v>0.000093046851</v>
      </c>
      <c r="I28" s="39">
        <f t="shared" si="3"/>
        <v>0.003358608937</v>
      </c>
      <c r="J28" s="53">
        <v>25.0</v>
      </c>
      <c r="K28" s="53">
        <v>25.0</v>
      </c>
      <c r="L28" s="53">
        <v>23.0</v>
      </c>
      <c r="M28" s="54">
        <f t="shared" si="4"/>
        <v>24.33333333</v>
      </c>
      <c r="N28" s="55">
        <f t="shared" si="5"/>
        <v>0.0002089756472</v>
      </c>
      <c r="O28" s="37"/>
      <c r="P28" s="56">
        <v>1227.121812</v>
      </c>
      <c r="Q28" s="43"/>
      <c r="R28" s="57">
        <v>1306.88472978</v>
      </c>
      <c r="S28" s="43"/>
      <c r="T28" s="57">
        <v>1333.0224243756002</v>
      </c>
      <c r="U28" s="58"/>
      <c r="V28" s="58"/>
      <c r="W28" s="57">
        <v>1349.4384478795623</v>
      </c>
      <c r="X28" s="58"/>
      <c r="Y28" s="57">
        <f t="shared" si="8"/>
        <v>16.4160235</v>
      </c>
      <c r="Z28" s="59">
        <f t="shared" si="9"/>
        <v>0.01231488924</v>
      </c>
      <c r="AA28" s="60">
        <v>1492.3044816709746</v>
      </c>
      <c r="AB28" s="58"/>
      <c r="AC28" s="61">
        <v>142.8660337914123</v>
      </c>
      <c r="AD28" s="39">
        <f t="shared" si="10"/>
        <v>0.1058707302</v>
      </c>
      <c r="AE28" s="62"/>
      <c r="AF28" s="60"/>
      <c r="AG28" s="58"/>
      <c r="AH28" s="63">
        <f t="shared" si="13"/>
        <v>-1492.304482</v>
      </c>
      <c r="AI28" s="29">
        <f t="shared" si="14"/>
        <v>-1</v>
      </c>
      <c r="AJ28" s="43"/>
    </row>
    <row r="29" ht="15.75" customHeight="1">
      <c r="A29" s="69" t="s">
        <v>74</v>
      </c>
      <c r="B29" s="90"/>
      <c r="C29" s="84"/>
      <c r="D29" s="71"/>
      <c r="E29" s="51"/>
      <c r="F29" s="51"/>
      <c r="G29" s="52"/>
      <c r="H29" s="52"/>
      <c r="I29" s="39"/>
      <c r="J29" s="53"/>
      <c r="K29" s="53"/>
      <c r="L29" s="53"/>
      <c r="M29" s="54"/>
      <c r="N29" s="55"/>
      <c r="O29" s="37"/>
      <c r="P29" s="91"/>
      <c r="Q29" s="92"/>
      <c r="R29" s="93"/>
      <c r="S29" s="92"/>
      <c r="T29" s="93"/>
      <c r="U29" s="58"/>
      <c r="V29" s="58"/>
      <c r="W29" s="93"/>
      <c r="X29" s="58"/>
      <c r="Y29" s="57"/>
      <c r="Z29" s="59"/>
      <c r="AA29" s="60"/>
      <c r="AB29" s="58"/>
      <c r="AC29" s="88"/>
      <c r="AD29" s="39"/>
      <c r="AE29" s="62"/>
      <c r="AF29" s="60"/>
      <c r="AG29" s="58"/>
      <c r="AH29" s="63"/>
      <c r="AI29" s="29"/>
      <c r="AJ29" s="88"/>
    </row>
    <row r="30" ht="15.75" customHeight="1">
      <c r="A30" s="69" t="s">
        <v>75</v>
      </c>
      <c r="B30" s="48" t="s">
        <v>76</v>
      </c>
      <c r="C30" s="84" t="s">
        <v>71</v>
      </c>
      <c r="D30" s="71"/>
      <c r="E30" s="51">
        <f>AVERAGE('Avg master'!E19:G19)</f>
        <v>7366.666667</v>
      </c>
      <c r="F30" s="51">
        <f>'Avg master'!J19</f>
        <v>7392.333333</v>
      </c>
      <c r="G30" s="52">
        <f t="shared" ref="G30:G33" si="18">+(E30/$E$71)</f>
        <v>0.02807468629</v>
      </c>
      <c r="H30" s="52">
        <f t="shared" ref="H30:H33" si="19">+(F30/$F$71)</f>
        <v>0.02826712349</v>
      </c>
      <c r="I30" s="39">
        <f t="shared" ref="I30:I33" si="20">SUM(H30-G30)/G30</f>
        <v>0.006854473773</v>
      </c>
      <c r="J30" s="53">
        <v>5231.0</v>
      </c>
      <c r="K30" s="53">
        <v>3189.0</v>
      </c>
      <c r="L30" s="53">
        <v>2307.0</v>
      </c>
      <c r="M30" s="54">
        <f t="shared" ref="M30:M33" si="21">AVERAGE(J30:L30)</f>
        <v>3575.666667</v>
      </c>
      <c r="N30" s="55">
        <f t="shared" ref="N30:N33" si="22">+(M30/$M$71)</f>
        <v>0.03070796942</v>
      </c>
      <c r="O30" s="37"/>
      <c r="P30" s="85">
        <v>5000.0</v>
      </c>
      <c r="Q30" s="94"/>
      <c r="R30" s="87">
        <v>5325.0</v>
      </c>
      <c r="S30" s="94"/>
      <c r="T30" s="87">
        <v>5431.5</v>
      </c>
      <c r="U30" s="58">
        <f t="shared" ref="U30:U31" si="23">SUM(T30/$F30)</f>
        <v>0.7347477116</v>
      </c>
      <c r="V30" s="58"/>
      <c r="W30" s="87">
        <v>5508.358199974903</v>
      </c>
      <c r="X30" s="58">
        <f t="shared" ref="X30:X31" si="24">SUM(W30/$F30)</f>
        <v>0.7451447265</v>
      </c>
      <c r="Y30" s="57">
        <f t="shared" ref="Y30:Y33" si="25">SUM(W30-T30)</f>
        <v>76.85819997</v>
      </c>
      <c r="Z30" s="59">
        <f t="shared" ref="Z30:Z33" si="26">SUM(W30-T30)/T30</f>
        <v>0.01415045567</v>
      </c>
      <c r="AA30" s="60">
        <v>6069.481309674599</v>
      </c>
      <c r="AB30" s="58">
        <v>0.8269048105823704</v>
      </c>
      <c r="AC30" s="88">
        <v>561.1231096996962</v>
      </c>
      <c r="AD30" s="39">
        <f t="shared" ref="AD30:AD33" si="27">SUM(AA30-W30)/W30</f>
        <v>0.1018675782</v>
      </c>
      <c r="AE30" s="62"/>
      <c r="AF30" s="60">
        <f t="shared" ref="AF30:AF33" si="28">SUM((AA30*(1+$AF$1))*(1+I30))</f>
        <v>6599.971163</v>
      </c>
      <c r="AG30" s="58">
        <f t="shared" ref="AG30:AG31" si="29">SUM(AF30/$F30)</f>
        <v>0.8928129814</v>
      </c>
      <c r="AH30" s="63">
        <f t="shared" ref="AH30:AH33" si="30">SUM(AF30-AA30)</f>
        <v>530.4898533</v>
      </c>
      <c r="AI30" s="29">
        <f t="shared" ref="AI30:AI33" si="31">SUM(AF30-AA30)/AA30</f>
        <v>0.08740283168</v>
      </c>
      <c r="AJ30" s="88"/>
    </row>
    <row r="31" ht="15.75" customHeight="1">
      <c r="A31" s="47" t="s">
        <v>77</v>
      </c>
      <c r="B31" s="48" t="s">
        <v>78</v>
      </c>
      <c r="C31" s="49" t="s">
        <v>34</v>
      </c>
      <c r="D31" s="50"/>
      <c r="E31" s="51">
        <f>AVERAGE('Avg master'!E20:G20)</f>
        <v>278.3333333</v>
      </c>
      <c r="F31" s="51">
        <f>'Avg master'!J20</f>
        <v>275</v>
      </c>
      <c r="G31" s="52">
        <f t="shared" si="18"/>
        <v>0.00106074041</v>
      </c>
      <c r="H31" s="52">
        <f t="shared" si="19"/>
        <v>0.001051556878</v>
      </c>
      <c r="I31" s="39">
        <f t="shared" si="20"/>
        <v>-0.008657661829</v>
      </c>
      <c r="J31" s="53">
        <v>266.0</v>
      </c>
      <c r="K31" s="53">
        <v>207.0</v>
      </c>
      <c r="L31" s="53">
        <v>128.0</v>
      </c>
      <c r="M31" s="54">
        <f t="shared" si="21"/>
        <v>200.3333333</v>
      </c>
      <c r="N31" s="55">
        <f t="shared" si="22"/>
        <v>0.001720470739</v>
      </c>
      <c r="O31" s="37"/>
      <c r="P31" s="56">
        <v>1227.121812</v>
      </c>
      <c r="Q31" s="43"/>
      <c r="R31" s="57">
        <v>1306.88472978</v>
      </c>
      <c r="S31" s="43"/>
      <c r="T31" s="57">
        <v>1333.0224243756002</v>
      </c>
      <c r="U31" s="58">
        <f t="shared" si="23"/>
        <v>4.84735427</v>
      </c>
      <c r="V31" s="58"/>
      <c r="W31" s="57">
        <v>1375.865639025307</v>
      </c>
      <c r="X31" s="58">
        <f t="shared" si="24"/>
        <v>5.003147778</v>
      </c>
      <c r="Y31" s="57">
        <f t="shared" si="25"/>
        <v>42.84321465</v>
      </c>
      <c r="Z31" s="59">
        <f t="shared" si="26"/>
        <v>0.03213990543</v>
      </c>
      <c r="AA31" s="60">
        <v>1525.1739209685188</v>
      </c>
      <c r="AB31" s="58">
        <v>5.4665731934355515</v>
      </c>
      <c r="AC31" s="61">
        <v>149.3082819432118</v>
      </c>
      <c r="AD31" s="39">
        <f t="shared" si="27"/>
        <v>0.1085195223</v>
      </c>
      <c r="AE31" s="62"/>
      <c r="AF31" s="60">
        <f t="shared" si="28"/>
        <v>1632.927039</v>
      </c>
      <c r="AG31" s="58">
        <f t="shared" si="29"/>
        <v>5.937916507</v>
      </c>
      <c r="AH31" s="63">
        <f t="shared" si="30"/>
        <v>107.7531184</v>
      </c>
      <c r="AI31" s="29">
        <f t="shared" si="31"/>
        <v>0.07064972522</v>
      </c>
      <c r="AJ31" s="43"/>
    </row>
    <row r="32" ht="15.75" customHeight="1">
      <c r="A32" s="69" t="s">
        <v>79</v>
      </c>
      <c r="B32" s="48" t="s">
        <v>80</v>
      </c>
      <c r="C32" s="50" t="s">
        <v>59</v>
      </c>
      <c r="D32" s="71"/>
      <c r="E32" s="51">
        <f>AVERAGE('Avg master'!E21:G21)</f>
        <v>2</v>
      </c>
      <c r="F32" s="51">
        <f>'Avg master'!J21</f>
        <v>2</v>
      </c>
      <c r="G32" s="52">
        <f t="shared" si="18"/>
        <v>0.000007622086775</v>
      </c>
      <c r="H32" s="52">
        <f t="shared" si="19"/>
        <v>0.000007647686384</v>
      </c>
      <c r="I32" s="39">
        <f t="shared" si="20"/>
        <v>0.003358608937</v>
      </c>
      <c r="J32" s="53">
        <v>2.0</v>
      </c>
      <c r="K32" s="53">
        <v>2.0</v>
      </c>
      <c r="L32" s="53">
        <v>2.0</v>
      </c>
      <c r="M32" s="54">
        <f t="shared" si="21"/>
        <v>2</v>
      </c>
      <c r="N32" s="55">
        <f t="shared" si="22"/>
        <v>0.00001717608059</v>
      </c>
      <c r="O32" s="37"/>
      <c r="P32" s="56">
        <v>368.1365436000001</v>
      </c>
      <c r="Q32" s="43"/>
      <c r="R32" s="57">
        <v>392.0654189340001</v>
      </c>
      <c r="S32" s="43"/>
      <c r="T32" s="57">
        <v>399.9067273126801</v>
      </c>
      <c r="U32" s="58"/>
      <c r="V32" s="58"/>
      <c r="W32" s="57">
        <v>424.0</v>
      </c>
      <c r="X32" s="58"/>
      <c r="Y32" s="57">
        <f t="shared" si="25"/>
        <v>24.09327269</v>
      </c>
      <c r="Z32" s="59">
        <f t="shared" si="26"/>
        <v>0.06024723027</v>
      </c>
      <c r="AA32" s="78">
        <v>468.8891895904874</v>
      </c>
      <c r="AB32" s="58"/>
      <c r="AC32" s="61">
        <v>44.889189590487376</v>
      </c>
      <c r="AD32" s="39">
        <f t="shared" si="27"/>
        <v>0.1058707302</v>
      </c>
      <c r="AE32" s="62"/>
      <c r="AF32" s="78">
        <f t="shared" si="28"/>
        <v>508.1011254</v>
      </c>
      <c r="AG32" s="58"/>
      <c r="AH32" s="63">
        <f t="shared" si="30"/>
        <v>39.21193582</v>
      </c>
      <c r="AI32" s="29">
        <f t="shared" si="31"/>
        <v>0.08362729765</v>
      </c>
      <c r="AJ32" s="43"/>
    </row>
    <row r="33" ht="15.75" customHeight="1">
      <c r="A33" s="69" t="s">
        <v>81</v>
      </c>
      <c r="B33" s="48" t="s">
        <v>82</v>
      </c>
      <c r="C33" s="71" t="s">
        <v>42</v>
      </c>
      <c r="D33" s="71"/>
      <c r="E33" s="51">
        <f>AVERAGE('Avg master'!E22:G22)</f>
        <v>25969.33333</v>
      </c>
      <c r="F33" s="51">
        <f>'Avg master'!J22</f>
        <v>26567.66667</v>
      </c>
      <c r="G33" s="52">
        <f t="shared" si="18"/>
        <v>0.09897025608</v>
      </c>
      <c r="H33" s="52">
        <f t="shared" si="19"/>
        <v>0.1015905913</v>
      </c>
      <c r="I33" s="39">
        <f t="shared" si="20"/>
        <v>0.02647598717</v>
      </c>
      <c r="J33" s="53">
        <v>8260.0</v>
      </c>
      <c r="K33" s="53">
        <v>8110.0</v>
      </c>
      <c r="L33" s="53">
        <v>5911.0</v>
      </c>
      <c r="M33" s="54">
        <f t="shared" si="21"/>
        <v>7427</v>
      </c>
      <c r="N33" s="55">
        <f t="shared" si="22"/>
        <v>0.06378337527</v>
      </c>
      <c r="O33" s="37"/>
      <c r="P33" s="56">
        <v>12271.218120000003</v>
      </c>
      <c r="Q33" s="43"/>
      <c r="R33" s="57">
        <v>13068.847297800003</v>
      </c>
      <c r="S33" s="43"/>
      <c r="T33" s="57">
        <v>13330.224243756003</v>
      </c>
      <c r="U33" s="58">
        <f>SUM(T33/$F33)</f>
        <v>0.5017461417</v>
      </c>
      <c r="V33" s="58"/>
      <c r="W33" s="57">
        <v>14030.919858061967</v>
      </c>
      <c r="X33" s="58">
        <f>SUM(W33/$F33)</f>
        <v>0.5281201407</v>
      </c>
      <c r="Y33" s="57">
        <f t="shared" si="25"/>
        <v>700.6956143</v>
      </c>
      <c r="Z33" s="59">
        <f t="shared" si="26"/>
        <v>0.05256442814</v>
      </c>
      <c r="AA33" s="60">
        <v>15649.225245850748</v>
      </c>
      <c r="AB33" s="58">
        <v>0.5974887144454628</v>
      </c>
      <c r="AC33" s="61">
        <v>1618.3053877887814</v>
      </c>
      <c r="AD33" s="39">
        <f t="shared" si="27"/>
        <v>0.1153385098</v>
      </c>
      <c r="AE33" s="62"/>
      <c r="AF33" s="60">
        <f t="shared" si="28"/>
        <v>17348.63825</v>
      </c>
      <c r="AG33" s="58">
        <f>SUM(AF33/$F33)</f>
        <v>0.6529981901</v>
      </c>
      <c r="AH33" s="63">
        <f t="shared" si="30"/>
        <v>1699.413001</v>
      </c>
      <c r="AI33" s="29">
        <f t="shared" si="31"/>
        <v>0.1085940661</v>
      </c>
      <c r="AJ33" s="43"/>
    </row>
    <row r="34" ht="15.75" customHeight="1">
      <c r="A34" s="95" t="s">
        <v>83</v>
      </c>
      <c r="B34" s="90"/>
      <c r="C34" s="71"/>
      <c r="D34" s="71"/>
      <c r="E34" s="51"/>
      <c r="F34" s="51"/>
      <c r="G34" s="52"/>
      <c r="H34" s="52"/>
      <c r="I34" s="39"/>
      <c r="J34" s="53"/>
      <c r="K34" s="53"/>
      <c r="L34" s="53"/>
      <c r="M34" s="54"/>
      <c r="N34" s="55"/>
      <c r="O34" s="37"/>
      <c r="P34" s="56"/>
      <c r="Q34" s="43"/>
      <c r="R34" s="57"/>
      <c r="S34" s="43"/>
      <c r="T34" s="57"/>
      <c r="U34" s="58"/>
      <c r="V34" s="58"/>
      <c r="W34" s="57"/>
      <c r="X34" s="58"/>
      <c r="Y34" s="57"/>
      <c r="Z34" s="59"/>
      <c r="AA34" s="60"/>
      <c r="AB34" s="58"/>
      <c r="AC34" s="61"/>
      <c r="AD34" s="39"/>
      <c r="AE34" s="62"/>
      <c r="AF34" s="60"/>
      <c r="AG34" s="58"/>
      <c r="AH34" s="63"/>
      <c r="AI34" s="29"/>
      <c r="AJ34" s="43"/>
    </row>
    <row r="35" ht="15.75" customHeight="1">
      <c r="A35" s="96" t="s">
        <v>84</v>
      </c>
      <c r="B35" s="48" t="s">
        <v>85</v>
      </c>
      <c r="C35" s="77" t="s">
        <v>51</v>
      </c>
      <c r="D35" s="70"/>
      <c r="E35" s="51">
        <f>AVERAGE('Avg master'!E23:G23)</f>
        <v>204</v>
      </c>
      <c r="F35" s="51">
        <f>'Avg master'!J23</f>
        <v>187.3333333</v>
      </c>
      <c r="G35" s="52">
        <f t="shared" ref="G35:G68" si="32">+(E35/$E$71)</f>
        <v>0.000777452851</v>
      </c>
      <c r="H35" s="52">
        <f t="shared" ref="H35:H68" si="33">+(F35/$F$71)</f>
        <v>0.0007163332913</v>
      </c>
      <c r="I35" s="39">
        <f t="shared" ref="I35:I68" si="34">SUM(H35-G35)/G35</f>
        <v>-0.07861513362</v>
      </c>
      <c r="J35" s="53">
        <v>424.0</v>
      </c>
      <c r="K35" s="53">
        <v>424.0</v>
      </c>
      <c r="L35" s="53">
        <v>422.0</v>
      </c>
      <c r="M35" s="54">
        <f t="shared" ref="M35:M68" si="35">AVERAGE(J35:L35)</f>
        <v>423.3333333</v>
      </c>
      <c r="N35" s="55">
        <f t="shared" ref="N35:N68" si="36">+(M35/$M$71)</f>
        <v>0.003635603725</v>
      </c>
      <c r="O35" s="37"/>
      <c r="P35" s="56">
        <v>1227.121812</v>
      </c>
      <c r="Q35" s="43"/>
      <c r="R35" s="57">
        <v>1306.88472978</v>
      </c>
      <c r="S35" s="43"/>
      <c r="T35" s="57">
        <v>1333.0224243756002</v>
      </c>
      <c r="U35" s="58">
        <f t="shared" ref="U35:U39" si="37">SUM(T35/$F35)</f>
        <v>7.115778066</v>
      </c>
      <c r="V35" s="58"/>
      <c r="W35" s="57">
        <v>1349.4384478795623</v>
      </c>
      <c r="X35" s="58">
        <f t="shared" ref="X35:X39" si="38">SUM(W35/$F35)</f>
        <v>7.203408085</v>
      </c>
      <c r="Y35" s="57">
        <f t="shared" ref="Y35:Y68" si="39">SUM(W35-T35)</f>
        <v>16.4160235</v>
      </c>
      <c r="Z35" s="59">
        <f t="shared" ref="Z35:Z68" si="40">SUM(W35-T35)/T35</f>
        <v>0.01231488924</v>
      </c>
      <c r="AA35" s="60">
        <v>1419.1523011969073</v>
      </c>
      <c r="AB35" s="58">
        <v>7.315218047406739</v>
      </c>
      <c r="AC35" s="61">
        <v>69.71385331734496</v>
      </c>
      <c r="AD35" s="39">
        <f t="shared" ref="AD35:AD68" si="41">SUM(AA35-W35)/W35</f>
        <v>0.05166138065</v>
      </c>
      <c r="AE35" s="62"/>
      <c r="AF35" s="60">
        <f t="shared" ref="AF35:AF68" si="42">SUM((AA35*(1+$AF$1))*(1+I35))</f>
        <v>1412.19229</v>
      </c>
      <c r="AG35" s="58">
        <f t="shared" ref="AG35:AG39" si="43">SUM(AF35/$F35)</f>
        <v>7.538393005</v>
      </c>
      <c r="AH35" s="63">
        <f t="shared" ref="AH35:AH68" si="44">SUM(AF35-AA35)</f>
        <v>-6.960011518</v>
      </c>
      <c r="AI35" s="29">
        <f t="shared" ref="AI35:AI68" si="45">SUM(AF35-AA35)/AA35</f>
        <v>-0.004904344313</v>
      </c>
      <c r="AJ35" s="43"/>
    </row>
    <row r="36" ht="15.75" customHeight="1">
      <c r="A36" s="69" t="s">
        <v>86</v>
      </c>
      <c r="B36" s="48" t="s">
        <v>87</v>
      </c>
      <c r="C36" s="71" t="s">
        <v>42</v>
      </c>
      <c r="D36" s="71"/>
      <c r="E36" s="51">
        <f>AVERAGE('Avg master'!E24:G24)</f>
        <v>25311.66667</v>
      </c>
      <c r="F36" s="51">
        <f>'Avg master'!J24</f>
        <v>25002.66667</v>
      </c>
      <c r="G36" s="52">
        <f t="shared" si="32"/>
        <v>0.09646385988</v>
      </c>
      <c r="H36" s="52">
        <f t="shared" si="33"/>
        <v>0.09560627671</v>
      </c>
      <c r="I36" s="39">
        <f t="shared" si="34"/>
        <v>-0.008890201631</v>
      </c>
      <c r="J36" s="53">
        <v>13810.0</v>
      </c>
      <c r="K36" s="53">
        <v>10427.0</v>
      </c>
      <c r="L36" s="53">
        <v>8092.0</v>
      </c>
      <c r="M36" s="54">
        <f t="shared" si="35"/>
        <v>10776.33333</v>
      </c>
      <c r="N36" s="55">
        <f t="shared" si="36"/>
        <v>0.0925475849</v>
      </c>
      <c r="O36" s="37"/>
      <c r="P36" s="56">
        <v>12271.218120000003</v>
      </c>
      <c r="Q36" s="43"/>
      <c r="R36" s="57">
        <v>13068.847297800003</v>
      </c>
      <c r="S36" s="43"/>
      <c r="T36" s="57">
        <v>13330.224243756003</v>
      </c>
      <c r="U36" s="58">
        <f t="shared" si="37"/>
        <v>0.5331521002</v>
      </c>
      <c r="V36" s="58"/>
      <c r="W36" s="57">
        <v>13688.212584090206</v>
      </c>
      <c r="X36" s="58">
        <f t="shared" si="38"/>
        <v>0.5474701066</v>
      </c>
      <c r="Y36" s="57">
        <f t="shared" si="39"/>
        <v>357.9883403</v>
      </c>
      <c r="Z36" s="59">
        <f t="shared" si="40"/>
        <v>0.02685538771</v>
      </c>
      <c r="AA36" s="60">
        <v>15236.070274449206</v>
      </c>
      <c r="AB36" s="58">
        <v>0.5980401782460764</v>
      </c>
      <c r="AC36" s="61">
        <v>1547.8576903590001</v>
      </c>
      <c r="AD36" s="39">
        <f t="shared" si="41"/>
        <v>0.1130796063</v>
      </c>
      <c r="AE36" s="62"/>
      <c r="AF36" s="60">
        <f t="shared" si="42"/>
        <v>16308.66802</v>
      </c>
      <c r="AG36" s="58">
        <f t="shared" si="43"/>
        <v>0.6522771446</v>
      </c>
      <c r="AH36" s="63">
        <f t="shared" si="44"/>
        <v>1072.597746</v>
      </c>
      <c r="AI36" s="29">
        <f t="shared" si="45"/>
        <v>0.07039858224</v>
      </c>
      <c r="AJ36" s="43"/>
    </row>
    <row r="37" ht="15.75" customHeight="1">
      <c r="A37" s="69" t="s">
        <v>88</v>
      </c>
      <c r="B37" s="48" t="s">
        <v>89</v>
      </c>
      <c r="C37" s="89" t="s">
        <v>90</v>
      </c>
      <c r="D37" s="71"/>
      <c r="E37" s="51">
        <f>AVERAGE('Avg master'!E25:G25)</f>
        <v>1807.666667</v>
      </c>
      <c r="F37" s="51">
        <f>'Avg master'!J25</f>
        <v>1274</v>
      </c>
      <c r="G37" s="52">
        <f t="shared" si="32"/>
        <v>0.006889096097</v>
      </c>
      <c r="H37" s="52">
        <f t="shared" si="33"/>
        <v>0.004871576226</v>
      </c>
      <c r="I37" s="39">
        <f t="shared" si="34"/>
        <v>-0.2928569789</v>
      </c>
      <c r="J37" s="53">
        <v>2373.0</v>
      </c>
      <c r="K37" s="53">
        <v>2279.0</v>
      </c>
      <c r="L37" s="53">
        <v>2213.0</v>
      </c>
      <c r="M37" s="54">
        <f t="shared" si="35"/>
        <v>2288.333333</v>
      </c>
      <c r="N37" s="55">
        <f t="shared" si="36"/>
        <v>0.01965229888</v>
      </c>
      <c r="O37" s="37"/>
      <c r="P37" s="56">
        <v>2454.243624</v>
      </c>
      <c r="Q37" s="43"/>
      <c r="R37" s="57">
        <v>2613.76945956</v>
      </c>
      <c r="S37" s="43"/>
      <c r="T37" s="57">
        <v>2666.0448487512003</v>
      </c>
      <c r="U37" s="58">
        <f t="shared" si="37"/>
        <v>2.092656867</v>
      </c>
      <c r="V37" s="58"/>
      <c r="W37" s="57">
        <v>2698.876895759125</v>
      </c>
      <c r="X37" s="58">
        <f t="shared" si="38"/>
        <v>2.118427705</v>
      </c>
      <c r="Y37" s="57">
        <f t="shared" si="39"/>
        <v>32.83204701</v>
      </c>
      <c r="Z37" s="59">
        <f t="shared" si="40"/>
        <v>0.01231488924</v>
      </c>
      <c r="AA37" s="60">
        <v>2715.115413206765</v>
      </c>
      <c r="AB37" s="58">
        <v>1.65108369722033</v>
      </c>
      <c r="AC37" s="61">
        <v>16.23851744763988</v>
      </c>
      <c r="AD37" s="39">
        <f t="shared" si="41"/>
        <v>0.006016768484</v>
      </c>
      <c r="AE37" s="62"/>
      <c r="AF37" s="60">
        <f t="shared" si="42"/>
        <v>2073.572909</v>
      </c>
      <c r="AG37" s="58">
        <f t="shared" si="43"/>
        <v>1.627608249</v>
      </c>
      <c r="AH37" s="63">
        <f t="shared" si="44"/>
        <v>-641.542504</v>
      </c>
      <c r="AI37" s="29">
        <f t="shared" si="45"/>
        <v>-0.2362855372</v>
      </c>
      <c r="AJ37" s="43"/>
    </row>
    <row r="38" ht="17.25" customHeight="1">
      <c r="A38" s="97" t="s">
        <v>91</v>
      </c>
      <c r="B38" s="98" t="s">
        <v>92</v>
      </c>
      <c r="C38" s="99" t="s">
        <v>54</v>
      </c>
      <c r="D38" s="71"/>
      <c r="E38" s="51">
        <f>AVERAGE('Avg master'!E26:G26)</f>
        <v>110.1666667</v>
      </c>
      <c r="F38" s="51">
        <f>'Avg master'!J26</f>
        <v>68.66666667</v>
      </c>
      <c r="G38" s="52">
        <f t="shared" si="32"/>
        <v>0.0004198499465</v>
      </c>
      <c r="H38" s="52">
        <f t="shared" si="33"/>
        <v>0.0002625705658</v>
      </c>
      <c r="I38" s="39">
        <f t="shared" si="34"/>
        <v>-0.3746085524</v>
      </c>
      <c r="J38" s="53">
        <v>131.0</v>
      </c>
      <c r="K38" s="53">
        <v>128.0</v>
      </c>
      <c r="L38" s="53">
        <v>126.0</v>
      </c>
      <c r="M38" s="54">
        <f t="shared" si="35"/>
        <v>128.3333333</v>
      </c>
      <c r="N38" s="55">
        <f t="shared" si="36"/>
        <v>0.001102131838</v>
      </c>
      <c r="O38" s="37"/>
      <c r="P38" s="56">
        <v>923.2630776000001</v>
      </c>
      <c r="Q38" s="43"/>
      <c r="R38" s="57">
        <v>983.275177644</v>
      </c>
      <c r="S38" s="43"/>
      <c r="T38" s="57">
        <v>1002.9406811968801</v>
      </c>
      <c r="U38" s="58">
        <f t="shared" si="37"/>
        <v>14.60593225</v>
      </c>
      <c r="V38" s="58"/>
      <c r="W38" s="57">
        <v>1015.2917845950994</v>
      </c>
      <c r="X38" s="58">
        <f t="shared" si="38"/>
        <v>14.78580269</v>
      </c>
      <c r="Y38" s="57">
        <f t="shared" si="39"/>
        <v>12.3511034</v>
      </c>
      <c r="Z38" s="59">
        <f t="shared" si="40"/>
        <v>0.01231488924</v>
      </c>
      <c r="AA38" s="60">
        <v>819.8626144480761</v>
      </c>
      <c r="AB38" s="58">
        <v>10.19166233429929</v>
      </c>
      <c r="AC38" s="61">
        <v>-195.42917014702334</v>
      </c>
      <c r="AD38" s="39">
        <f t="shared" si="41"/>
        <v>-0.19248572</v>
      </c>
      <c r="AE38" s="62"/>
      <c r="AF38" s="60">
        <f t="shared" si="42"/>
        <v>553.7538727</v>
      </c>
      <c r="AG38" s="58">
        <f t="shared" si="43"/>
        <v>8.064376787</v>
      </c>
      <c r="AH38" s="63">
        <f t="shared" si="44"/>
        <v>-266.1087418</v>
      </c>
      <c r="AI38" s="29">
        <f t="shared" si="45"/>
        <v>-0.3245772366</v>
      </c>
      <c r="AJ38" s="43"/>
    </row>
    <row r="39" ht="15.75" customHeight="1">
      <c r="A39" s="100" t="s">
        <v>93</v>
      </c>
      <c r="B39" s="98" t="s">
        <v>94</v>
      </c>
      <c r="C39" s="101" t="s">
        <v>39</v>
      </c>
      <c r="D39" s="50"/>
      <c r="E39" s="51">
        <f>AVERAGE('Avg master'!E27:G27)</f>
        <v>860</v>
      </c>
      <c r="F39" s="51">
        <f>'Avg master'!J27</f>
        <v>857.3333333</v>
      </c>
      <c r="G39" s="52">
        <f t="shared" si="32"/>
        <v>0.003277497313</v>
      </c>
      <c r="H39" s="52">
        <f t="shared" si="33"/>
        <v>0.00327830823</v>
      </c>
      <c r="I39" s="39">
        <f t="shared" si="34"/>
        <v>0.0002474194518</v>
      </c>
      <c r="J39" s="53">
        <v>385.0</v>
      </c>
      <c r="K39" s="53">
        <v>316.0</v>
      </c>
      <c r="L39" s="53">
        <v>237.0</v>
      </c>
      <c r="M39" s="54">
        <f t="shared" si="35"/>
        <v>312.6666667</v>
      </c>
      <c r="N39" s="55">
        <f t="shared" si="36"/>
        <v>0.002685193932</v>
      </c>
      <c r="O39" s="37"/>
      <c r="P39" s="102"/>
      <c r="Q39" s="43"/>
      <c r="R39" s="103">
        <v>1568.745</v>
      </c>
      <c r="S39" s="43"/>
      <c r="T39" s="103">
        <v>1600.1199</v>
      </c>
      <c r="U39" s="58">
        <f t="shared" si="37"/>
        <v>1.866391796</v>
      </c>
      <c r="V39" s="58"/>
      <c r="W39" s="103">
        <v>1580.5120356007753</v>
      </c>
      <c r="X39" s="58">
        <f t="shared" si="38"/>
        <v>1.843521037</v>
      </c>
      <c r="Y39" s="57">
        <f t="shared" si="39"/>
        <v>-19.6078644</v>
      </c>
      <c r="Z39" s="59">
        <f t="shared" si="40"/>
        <v>-0.01225399697</v>
      </c>
      <c r="AA39" s="60">
        <v>1730.9055453691722</v>
      </c>
      <c r="AB39" s="58">
        <v>2.032374417263216</v>
      </c>
      <c r="AC39" s="61">
        <v>150.39350976839683</v>
      </c>
      <c r="AD39" s="39">
        <f t="shared" si="41"/>
        <v>0.09515492852</v>
      </c>
      <c r="AE39" s="62"/>
      <c r="AF39" s="60">
        <f t="shared" si="42"/>
        <v>1869.840509</v>
      </c>
      <c r="AG39" s="58">
        <f t="shared" si="43"/>
        <v>2.180995929</v>
      </c>
      <c r="AH39" s="63">
        <f t="shared" si="44"/>
        <v>138.9349641</v>
      </c>
      <c r="AI39" s="29">
        <f t="shared" si="45"/>
        <v>0.08026721301</v>
      </c>
      <c r="AJ39" s="43"/>
    </row>
    <row r="40" ht="15.75" customHeight="1">
      <c r="A40" s="69" t="s">
        <v>95</v>
      </c>
      <c r="B40" s="76" t="s">
        <v>96</v>
      </c>
      <c r="C40" s="50" t="s">
        <v>59</v>
      </c>
      <c r="D40" s="71"/>
      <c r="E40" s="51">
        <f>AVERAGE('Avg master'!E28:G28)</f>
        <v>2</v>
      </c>
      <c r="F40" s="51">
        <f>'Avg master'!J28</f>
        <v>2</v>
      </c>
      <c r="G40" s="52">
        <f t="shared" si="32"/>
        <v>0.000007622086775</v>
      </c>
      <c r="H40" s="52">
        <f t="shared" si="33"/>
        <v>0.000007647686384</v>
      </c>
      <c r="I40" s="39">
        <f t="shared" si="34"/>
        <v>0.003358608937</v>
      </c>
      <c r="J40" s="53">
        <v>2.0</v>
      </c>
      <c r="K40" s="53">
        <v>2.0</v>
      </c>
      <c r="L40" s="53">
        <v>2.0</v>
      </c>
      <c r="M40" s="54">
        <f t="shared" si="35"/>
        <v>2</v>
      </c>
      <c r="N40" s="55">
        <f t="shared" si="36"/>
        <v>0.00001717608059</v>
      </c>
      <c r="O40" s="37"/>
      <c r="P40" s="56">
        <v>368.1365436000001</v>
      </c>
      <c r="Q40" s="43"/>
      <c r="R40" s="57">
        <v>392.0654189340001</v>
      </c>
      <c r="S40" s="43"/>
      <c r="T40" s="57">
        <v>399.9067273126801</v>
      </c>
      <c r="U40" s="58"/>
      <c r="V40" s="58"/>
      <c r="W40" s="57">
        <v>424.0</v>
      </c>
      <c r="X40" s="58"/>
      <c r="Y40" s="57">
        <f t="shared" si="39"/>
        <v>24.09327269</v>
      </c>
      <c r="Z40" s="59">
        <f t="shared" si="40"/>
        <v>0.06024723027</v>
      </c>
      <c r="AA40" s="78">
        <v>468.8891895904874</v>
      </c>
      <c r="AB40" s="58"/>
      <c r="AC40" s="61">
        <v>44.889189590487376</v>
      </c>
      <c r="AD40" s="39">
        <f t="shared" si="41"/>
        <v>0.1058707302</v>
      </c>
      <c r="AE40" s="62"/>
      <c r="AF40" s="78">
        <f t="shared" si="42"/>
        <v>508.1011254</v>
      </c>
      <c r="AG40" s="58"/>
      <c r="AH40" s="63">
        <f t="shared" si="44"/>
        <v>39.21193582</v>
      </c>
      <c r="AI40" s="29">
        <f t="shared" si="45"/>
        <v>0.08362729765</v>
      </c>
      <c r="AJ40" s="43"/>
    </row>
    <row r="41" ht="15.75" customHeight="1">
      <c r="A41" s="69" t="s">
        <v>97</v>
      </c>
      <c r="B41" s="48" t="s">
        <v>98</v>
      </c>
      <c r="C41" s="104" t="s">
        <v>39</v>
      </c>
      <c r="D41" s="71"/>
      <c r="E41" s="51">
        <f>AVERAGE('Avg master'!E29:G29)</f>
        <v>1120</v>
      </c>
      <c r="F41" s="51">
        <f>'Avg master'!J29</f>
        <v>1132.666667</v>
      </c>
      <c r="G41" s="52">
        <f t="shared" si="32"/>
        <v>0.004268368594</v>
      </c>
      <c r="H41" s="52">
        <f t="shared" si="33"/>
        <v>0.004331139722</v>
      </c>
      <c r="I41" s="39">
        <f t="shared" si="34"/>
        <v>0.01470611701</v>
      </c>
      <c r="J41" s="53">
        <v>827.0</v>
      </c>
      <c r="K41" s="53">
        <v>608.0</v>
      </c>
      <c r="L41" s="53">
        <v>475.0</v>
      </c>
      <c r="M41" s="54">
        <f t="shared" si="35"/>
        <v>636.6666667</v>
      </c>
      <c r="N41" s="55">
        <f t="shared" si="36"/>
        <v>0.005467718988</v>
      </c>
      <c r="O41" s="37"/>
      <c r="P41" s="56">
        <v>1473.0</v>
      </c>
      <c r="Q41" s="43"/>
      <c r="R41" s="57">
        <v>1568.745</v>
      </c>
      <c r="S41" s="43"/>
      <c r="T41" s="57">
        <v>1600.1199</v>
      </c>
      <c r="U41" s="58">
        <f>SUM(T41/$F41)</f>
        <v>1.412701501</v>
      </c>
      <c r="V41" s="58"/>
      <c r="W41" s="57">
        <v>1619.825199331226</v>
      </c>
      <c r="X41" s="58">
        <f>SUM(W41/$F41)</f>
        <v>1.430098763</v>
      </c>
      <c r="Y41" s="57">
        <f t="shared" si="39"/>
        <v>19.70529933</v>
      </c>
      <c r="Z41" s="59">
        <f t="shared" si="40"/>
        <v>0.01231488924</v>
      </c>
      <c r="AA41" s="60">
        <v>1791.3172759261047</v>
      </c>
      <c r="AB41" s="58">
        <v>1.599390424934022</v>
      </c>
      <c r="AC41" s="61">
        <v>171.49207659487865</v>
      </c>
      <c r="AD41" s="39">
        <f t="shared" si="41"/>
        <v>0.1058707302</v>
      </c>
      <c r="AE41" s="62"/>
      <c r="AF41" s="60">
        <f t="shared" si="42"/>
        <v>1963.073445</v>
      </c>
      <c r="AG41" s="58">
        <f>SUM(AF41/$F41)</f>
        <v>1.733143124</v>
      </c>
      <c r="AH41" s="63">
        <f t="shared" si="44"/>
        <v>171.7561693</v>
      </c>
      <c r="AI41" s="29">
        <f t="shared" si="45"/>
        <v>0.09588260638</v>
      </c>
      <c r="AJ41" s="43"/>
    </row>
    <row r="42" ht="15.75" customHeight="1">
      <c r="A42" s="80" t="s">
        <v>99</v>
      </c>
      <c r="B42" s="76" t="s">
        <v>100</v>
      </c>
      <c r="C42" s="50" t="s">
        <v>59</v>
      </c>
      <c r="D42" s="50"/>
      <c r="E42" s="51">
        <f>AVERAGE('Avg master'!E30:G30)</f>
        <v>1</v>
      </c>
      <c r="F42" s="51">
        <f>'Avg master'!J30</f>
        <v>1</v>
      </c>
      <c r="G42" s="52">
        <f t="shared" si="32"/>
        <v>0.000003811043387</v>
      </c>
      <c r="H42" s="52">
        <f t="shared" si="33"/>
        <v>0.000003823843192</v>
      </c>
      <c r="I42" s="39">
        <f t="shared" si="34"/>
        <v>0.003358608937</v>
      </c>
      <c r="J42" s="53">
        <v>1.0</v>
      </c>
      <c r="K42" s="53">
        <v>1.0</v>
      </c>
      <c r="L42" s="53">
        <v>1.0</v>
      </c>
      <c r="M42" s="54">
        <f t="shared" si="35"/>
        <v>1</v>
      </c>
      <c r="N42" s="55">
        <f t="shared" si="36"/>
        <v>0.000008588040295</v>
      </c>
      <c r="O42" s="37"/>
      <c r="P42" s="56">
        <v>368.1365436000001</v>
      </c>
      <c r="Q42" s="43"/>
      <c r="R42" s="57">
        <v>392.0654189340001</v>
      </c>
      <c r="S42" s="43"/>
      <c r="T42" s="57">
        <v>399.9067273126801</v>
      </c>
      <c r="U42" s="58"/>
      <c r="V42" s="58"/>
      <c r="W42" s="57">
        <v>424.0</v>
      </c>
      <c r="X42" s="58"/>
      <c r="Y42" s="57">
        <f t="shared" si="39"/>
        <v>24.09327269</v>
      </c>
      <c r="Z42" s="59">
        <f t="shared" si="40"/>
        <v>0.06024723027</v>
      </c>
      <c r="AA42" s="78">
        <v>468.8891895904874</v>
      </c>
      <c r="AB42" s="58"/>
      <c r="AC42" s="61">
        <v>44.889189590487376</v>
      </c>
      <c r="AD42" s="39">
        <f t="shared" si="41"/>
        <v>0.1058707302</v>
      </c>
      <c r="AE42" s="62"/>
      <c r="AF42" s="78">
        <f t="shared" si="42"/>
        <v>508.1011254</v>
      </c>
      <c r="AG42" s="58"/>
      <c r="AH42" s="63">
        <f t="shared" si="44"/>
        <v>39.21193582</v>
      </c>
      <c r="AI42" s="29">
        <f t="shared" si="45"/>
        <v>0.08362729765</v>
      </c>
      <c r="AJ42" s="43"/>
    </row>
    <row r="43" ht="15.75" customHeight="1">
      <c r="A43" s="72" t="s">
        <v>101</v>
      </c>
      <c r="B43" s="75" t="s">
        <v>102</v>
      </c>
      <c r="C43" s="105" t="s">
        <v>48</v>
      </c>
      <c r="D43" s="106"/>
      <c r="E43" s="51">
        <f>AVERAGE('Avg master'!E31:G31)</f>
        <v>1970.666667</v>
      </c>
      <c r="F43" s="51">
        <f>'Avg master'!J31</f>
        <v>1714.333333</v>
      </c>
      <c r="G43" s="52">
        <f t="shared" si="32"/>
        <v>0.007510296169</v>
      </c>
      <c r="H43" s="52">
        <f t="shared" si="33"/>
        <v>0.006555341845</v>
      </c>
      <c r="I43" s="39">
        <f t="shared" si="34"/>
        <v>-0.1271526851</v>
      </c>
      <c r="J43" s="53">
        <v>2443.0</v>
      </c>
      <c r="K43" s="53">
        <v>1271.0</v>
      </c>
      <c r="L43" s="53">
        <v>696.0</v>
      </c>
      <c r="M43" s="54">
        <f t="shared" si="35"/>
        <v>1470</v>
      </c>
      <c r="N43" s="55">
        <f t="shared" si="36"/>
        <v>0.01262441923</v>
      </c>
      <c r="O43" s="37"/>
      <c r="P43" s="56">
        <v>4908.487248</v>
      </c>
      <c r="Q43" s="43"/>
      <c r="R43" s="57">
        <v>5227.53891912</v>
      </c>
      <c r="S43" s="43"/>
      <c r="T43" s="57">
        <v>5332.089697502401</v>
      </c>
      <c r="U43" s="58">
        <f t="shared" ref="U43:U57" si="46">SUM(T43/$F43)</f>
        <v>3.11029926</v>
      </c>
      <c r="V43" s="58"/>
      <c r="W43" s="57">
        <v>5397.753791518249</v>
      </c>
      <c r="X43" s="58">
        <f t="shared" ref="X43:X57" si="47">SUM(W43/$F43)</f>
        <v>3.148602251</v>
      </c>
      <c r="Y43" s="57">
        <f t="shared" si="39"/>
        <v>65.66409402</v>
      </c>
      <c r="Z43" s="59">
        <f t="shared" si="40"/>
        <v>0.01231488924</v>
      </c>
      <c r="AA43" s="60">
        <v>5488.611070611243</v>
      </c>
      <c r="AB43" s="58">
        <v>3.0290348071805977</v>
      </c>
      <c r="AC43" s="61">
        <v>90.85727909299385</v>
      </c>
      <c r="AD43" s="39">
        <f t="shared" si="41"/>
        <v>0.01683242375</v>
      </c>
      <c r="AE43" s="62"/>
      <c r="AF43" s="60">
        <f t="shared" si="42"/>
        <v>5173.97699</v>
      </c>
      <c r="AG43" s="58">
        <f t="shared" ref="AG43:AG57" si="48">SUM(AF43/$F43)</f>
        <v>3.018069409</v>
      </c>
      <c r="AH43" s="63">
        <f t="shared" si="44"/>
        <v>-314.6340802</v>
      </c>
      <c r="AI43" s="29">
        <f t="shared" si="45"/>
        <v>-0.05732489989</v>
      </c>
      <c r="AJ43" s="43"/>
    </row>
    <row r="44" ht="15.75" customHeight="1">
      <c r="A44" s="69" t="s">
        <v>103</v>
      </c>
      <c r="B44" s="48" t="s">
        <v>104</v>
      </c>
      <c r="C44" s="71" t="s">
        <v>42</v>
      </c>
      <c r="D44" s="71"/>
      <c r="E44" s="51">
        <f>AVERAGE('Avg master'!E32:G32)</f>
        <v>20858.33333</v>
      </c>
      <c r="F44" s="51">
        <f>'Avg master'!J32</f>
        <v>20321</v>
      </c>
      <c r="G44" s="52">
        <f t="shared" si="32"/>
        <v>0.07949201332</v>
      </c>
      <c r="H44" s="52">
        <f t="shared" si="33"/>
        <v>0.0777043175</v>
      </c>
      <c r="I44" s="39">
        <f t="shared" si="34"/>
        <v>-0.02248899918</v>
      </c>
      <c r="J44" s="53">
        <v>14795.0</v>
      </c>
      <c r="K44" s="53">
        <v>9432.0</v>
      </c>
      <c r="L44" s="53">
        <v>7407.0</v>
      </c>
      <c r="M44" s="54">
        <f t="shared" si="35"/>
        <v>10544.66667</v>
      </c>
      <c r="N44" s="55">
        <f t="shared" si="36"/>
        <v>0.09055802223</v>
      </c>
      <c r="O44" s="37"/>
      <c r="P44" s="56">
        <v>12271.218120000003</v>
      </c>
      <c r="Q44" s="43"/>
      <c r="R44" s="57">
        <v>13068.847297800003</v>
      </c>
      <c r="S44" s="43"/>
      <c r="T44" s="57">
        <v>13330.224243756003</v>
      </c>
      <c r="U44" s="58">
        <f t="shared" si="46"/>
        <v>0.65598269</v>
      </c>
      <c r="V44" s="58"/>
      <c r="W44" s="57">
        <v>14302.962625511824</v>
      </c>
      <c r="X44" s="58">
        <f t="shared" si="47"/>
        <v>0.7038513176</v>
      </c>
      <c r="Y44" s="57">
        <f t="shared" si="39"/>
        <v>972.7383818</v>
      </c>
      <c r="Z44" s="59">
        <f t="shared" si="40"/>
        <v>0.07297239446</v>
      </c>
      <c r="AA44" s="60">
        <v>15822.78871318432</v>
      </c>
      <c r="AB44" s="58">
        <v>0.7583169503259415</v>
      </c>
      <c r="AC44" s="61">
        <v>1519.8260876724962</v>
      </c>
      <c r="AD44" s="39">
        <f t="shared" si="41"/>
        <v>0.1062595301</v>
      </c>
      <c r="AE44" s="62"/>
      <c r="AF44" s="60">
        <f t="shared" si="42"/>
        <v>16704.30603</v>
      </c>
      <c r="AG44" s="58">
        <f t="shared" si="48"/>
        <v>0.822021851</v>
      </c>
      <c r="AH44" s="63">
        <f t="shared" si="44"/>
        <v>881.5173202</v>
      </c>
      <c r="AI44" s="29">
        <f t="shared" si="45"/>
        <v>0.05571188089</v>
      </c>
      <c r="AJ44" s="43"/>
    </row>
    <row r="45" ht="15.75" customHeight="1">
      <c r="A45" s="69" t="s">
        <v>105</v>
      </c>
      <c r="B45" s="48" t="s">
        <v>106</v>
      </c>
      <c r="C45" s="107" t="s">
        <v>107</v>
      </c>
      <c r="D45" s="71"/>
      <c r="E45" s="51">
        <f>AVERAGE('Avg master'!E33:G33)</f>
        <v>8105</v>
      </c>
      <c r="F45" s="51">
        <f>'Avg master'!J33</f>
        <v>8110.666667</v>
      </c>
      <c r="G45" s="52">
        <f t="shared" si="32"/>
        <v>0.03088850666</v>
      </c>
      <c r="H45" s="52">
        <f t="shared" si="33"/>
        <v>0.03101391751</v>
      </c>
      <c r="I45" s="39">
        <f t="shared" si="34"/>
        <v>0.00406011403</v>
      </c>
      <c r="J45" s="53">
        <v>3859.0</v>
      </c>
      <c r="K45" s="53">
        <v>3089.0</v>
      </c>
      <c r="L45" s="53">
        <v>2117.0</v>
      </c>
      <c r="M45" s="54">
        <f t="shared" si="35"/>
        <v>3021.666667</v>
      </c>
      <c r="N45" s="55">
        <f t="shared" si="36"/>
        <v>0.02595019509</v>
      </c>
      <c r="O45" s="37"/>
      <c r="P45" s="56">
        <v>9793.600747200002</v>
      </c>
      <c r="Q45" s="43"/>
      <c r="R45" s="57">
        <v>10430.184795768002</v>
      </c>
      <c r="S45" s="43"/>
      <c r="T45" s="57">
        <v>10638.788491683363</v>
      </c>
      <c r="U45" s="58">
        <f t="shared" si="46"/>
        <v>1.311703332</v>
      </c>
      <c r="V45" s="58"/>
      <c r="W45" s="57">
        <v>10780.906884268084</v>
      </c>
      <c r="X45" s="58">
        <f t="shared" si="47"/>
        <v>1.329225738</v>
      </c>
      <c r="Y45" s="57">
        <f t="shared" si="39"/>
        <v>142.1183926</v>
      </c>
      <c r="Z45" s="59">
        <f t="shared" si="40"/>
        <v>0.01335851283</v>
      </c>
      <c r="AA45" s="60">
        <v>11900.224674496612</v>
      </c>
      <c r="AB45" s="58">
        <v>1.4709795642146617</v>
      </c>
      <c r="AC45" s="61">
        <v>1119.3177902285279</v>
      </c>
      <c r="AD45" s="39">
        <f t="shared" si="41"/>
        <v>0.1038240848</v>
      </c>
      <c r="AE45" s="62"/>
      <c r="AF45" s="60">
        <f t="shared" si="42"/>
        <v>12904.42422</v>
      </c>
      <c r="AG45" s="58">
        <f t="shared" si="48"/>
        <v>1.591043591</v>
      </c>
      <c r="AH45" s="63">
        <f t="shared" si="44"/>
        <v>1004.199545</v>
      </c>
      <c r="AI45" s="29">
        <f t="shared" si="45"/>
        <v>0.08438492315</v>
      </c>
      <c r="AJ45" s="43"/>
    </row>
    <row r="46" ht="15.75" customHeight="1">
      <c r="A46" s="66" t="s">
        <v>108</v>
      </c>
      <c r="B46" s="48" t="s">
        <v>109</v>
      </c>
      <c r="C46" s="68" t="s">
        <v>107</v>
      </c>
      <c r="D46" s="68"/>
      <c r="E46" s="51">
        <f>AVERAGE('Avg master'!E34:G34)</f>
        <v>10140.33333</v>
      </c>
      <c r="F46" s="51">
        <f>'Avg master'!J34</f>
        <v>10045</v>
      </c>
      <c r="G46" s="52">
        <f t="shared" si="32"/>
        <v>0.0386452503</v>
      </c>
      <c r="H46" s="52">
        <f t="shared" si="33"/>
        <v>0.03841050486</v>
      </c>
      <c r="I46" s="39">
        <f t="shared" si="34"/>
        <v>-0.006074367039</v>
      </c>
      <c r="J46" s="53">
        <v>4864.0</v>
      </c>
      <c r="K46" s="53">
        <v>4164.0</v>
      </c>
      <c r="L46" s="53">
        <v>3092.0</v>
      </c>
      <c r="M46" s="54">
        <f t="shared" si="35"/>
        <v>4040</v>
      </c>
      <c r="N46" s="55">
        <f t="shared" si="36"/>
        <v>0.03469568279</v>
      </c>
      <c r="O46" s="37"/>
      <c r="P46" s="56">
        <v>9793.600747200002</v>
      </c>
      <c r="Q46" s="43"/>
      <c r="R46" s="57">
        <v>10430.184795768002</v>
      </c>
      <c r="S46" s="43"/>
      <c r="T46" s="57">
        <v>10638.788491683363</v>
      </c>
      <c r="U46" s="58">
        <f t="shared" si="46"/>
        <v>1.059112841</v>
      </c>
      <c r="V46" s="58"/>
      <c r="W46" s="57">
        <v>10794.627381091726</v>
      </c>
      <c r="X46" s="58">
        <f t="shared" si="47"/>
        <v>1.074626917</v>
      </c>
      <c r="Y46" s="57">
        <f t="shared" si="39"/>
        <v>155.8388894</v>
      </c>
      <c r="Z46" s="59">
        <f t="shared" si="40"/>
        <v>0.01464818006</v>
      </c>
      <c r="AA46" s="60">
        <v>11946.48786193552</v>
      </c>
      <c r="AB46" s="58">
        <v>1.177225843706693</v>
      </c>
      <c r="AC46" s="61">
        <v>1151.860480843794</v>
      </c>
      <c r="AD46" s="39">
        <f t="shared" si="41"/>
        <v>0.1067068311</v>
      </c>
      <c r="AE46" s="62"/>
      <c r="AF46" s="60">
        <f t="shared" si="42"/>
        <v>12823.83415</v>
      </c>
      <c r="AG46" s="58">
        <f t="shared" si="48"/>
        <v>1.276638542</v>
      </c>
      <c r="AH46" s="63">
        <f t="shared" si="44"/>
        <v>877.3462887</v>
      </c>
      <c r="AI46" s="29">
        <f t="shared" si="45"/>
        <v>0.0734396836</v>
      </c>
      <c r="AJ46" s="43"/>
    </row>
    <row r="47" ht="15.75" customHeight="1">
      <c r="A47" s="83" t="s">
        <v>110</v>
      </c>
      <c r="B47" s="48" t="s">
        <v>111</v>
      </c>
      <c r="C47" s="49" t="s">
        <v>34</v>
      </c>
      <c r="D47" s="50"/>
      <c r="E47" s="51">
        <f>AVERAGE('Avg master'!E35:G35)</f>
        <v>699</v>
      </c>
      <c r="F47" s="51">
        <f>'Avg master'!J35</f>
        <v>696.3333333</v>
      </c>
      <c r="G47" s="52">
        <f t="shared" si="32"/>
        <v>0.002663919328</v>
      </c>
      <c r="H47" s="52">
        <f t="shared" si="33"/>
        <v>0.002662669476</v>
      </c>
      <c r="I47" s="39">
        <f t="shared" si="34"/>
        <v>-0.0004691778402</v>
      </c>
      <c r="J47" s="53">
        <v>126.0</v>
      </c>
      <c r="K47" s="53">
        <v>126.0</v>
      </c>
      <c r="L47" s="53">
        <v>112.0</v>
      </c>
      <c r="M47" s="54">
        <f t="shared" si="35"/>
        <v>121.3333333</v>
      </c>
      <c r="N47" s="55">
        <f t="shared" si="36"/>
        <v>0.001042015556</v>
      </c>
      <c r="O47" s="37"/>
      <c r="P47" s="56">
        <v>1227.121812</v>
      </c>
      <c r="Q47" s="43"/>
      <c r="R47" s="57">
        <v>1306.88472978</v>
      </c>
      <c r="S47" s="43"/>
      <c r="T47" s="57">
        <v>1333.0224243756002</v>
      </c>
      <c r="U47" s="58">
        <f t="shared" si="46"/>
        <v>1.914345272</v>
      </c>
      <c r="V47" s="58"/>
      <c r="W47" s="57">
        <v>1423.561599504139</v>
      </c>
      <c r="X47" s="58">
        <f t="shared" si="47"/>
        <v>2.044368022</v>
      </c>
      <c r="Y47" s="57">
        <f t="shared" si="39"/>
        <v>90.53917513</v>
      </c>
      <c r="Z47" s="59">
        <f t="shared" si="40"/>
        <v>0.0679202191</v>
      </c>
      <c r="AA47" s="60">
        <v>1565.2663781241579</v>
      </c>
      <c r="AB47" s="58">
        <v>2.2521818390275654</v>
      </c>
      <c r="AC47" s="61">
        <v>141.70477862001894</v>
      </c>
      <c r="AD47" s="39">
        <f t="shared" si="41"/>
        <v>0.09954242842</v>
      </c>
      <c r="AE47" s="62"/>
      <c r="AF47" s="60">
        <f t="shared" si="42"/>
        <v>1689.694549</v>
      </c>
      <c r="AG47" s="58">
        <f t="shared" si="48"/>
        <v>2.426559908</v>
      </c>
      <c r="AH47" s="63">
        <f t="shared" si="44"/>
        <v>124.4281709</v>
      </c>
      <c r="AI47" s="29">
        <f t="shared" si="45"/>
        <v>0.07949328793</v>
      </c>
      <c r="AJ47" s="43"/>
    </row>
    <row r="48" ht="15.75" customHeight="1">
      <c r="A48" s="69" t="s">
        <v>112</v>
      </c>
      <c r="B48" s="48" t="s">
        <v>113</v>
      </c>
      <c r="C48" s="79" t="s">
        <v>62</v>
      </c>
      <c r="D48" s="71"/>
      <c r="E48" s="51">
        <f>AVERAGE('Avg master'!E36:G36)</f>
        <v>3305</v>
      </c>
      <c r="F48" s="51">
        <f>'Avg master'!J36</f>
        <v>3312</v>
      </c>
      <c r="G48" s="52">
        <f t="shared" si="32"/>
        <v>0.0125954984</v>
      </c>
      <c r="H48" s="52">
        <f t="shared" si="33"/>
        <v>0.01266456865</v>
      </c>
      <c r="I48" s="39">
        <f t="shared" si="34"/>
        <v>0.005483725506</v>
      </c>
      <c r="J48" s="53">
        <v>1348.0</v>
      </c>
      <c r="K48" s="53">
        <v>1119.0</v>
      </c>
      <c r="L48" s="53">
        <v>807.0</v>
      </c>
      <c r="M48" s="54">
        <f t="shared" si="35"/>
        <v>1091.333333</v>
      </c>
      <c r="N48" s="55">
        <f t="shared" si="36"/>
        <v>0.009372414642</v>
      </c>
      <c r="O48" s="37"/>
      <c r="P48" s="56">
        <v>1659.5361648</v>
      </c>
      <c r="Q48" s="43"/>
      <c r="R48" s="57">
        <v>1767.406015512</v>
      </c>
      <c r="S48" s="43"/>
      <c r="T48" s="57">
        <v>1802.7541358222402</v>
      </c>
      <c r="U48" s="58">
        <f t="shared" si="46"/>
        <v>0.5443098236</v>
      </c>
      <c r="V48" s="58"/>
      <c r="W48" s="57">
        <v>1837.884695401035</v>
      </c>
      <c r="X48" s="58">
        <f t="shared" si="47"/>
        <v>0.5549168766</v>
      </c>
      <c r="Y48" s="57">
        <f t="shared" si="39"/>
        <v>35.13055958</v>
      </c>
      <c r="Z48" s="59">
        <f t="shared" si="40"/>
        <v>0.01948716072</v>
      </c>
      <c r="AA48" s="60">
        <v>2043.7372681737913</v>
      </c>
      <c r="AB48" s="58">
        <v>0.614966078688202</v>
      </c>
      <c r="AC48" s="61">
        <v>205.85257277275628</v>
      </c>
      <c r="AD48" s="39">
        <f t="shared" si="41"/>
        <v>0.1120051619</v>
      </c>
      <c r="AE48" s="62"/>
      <c r="AF48" s="60">
        <f t="shared" si="42"/>
        <v>2219.340127</v>
      </c>
      <c r="AG48" s="58">
        <f t="shared" si="48"/>
        <v>0.6700906182</v>
      </c>
      <c r="AH48" s="63">
        <f t="shared" si="44"/>
        <v>175.6028592</v>
      </c>
      <c r="AI48" s="29">
        <f t="shared" si="45"/>
        <v>0.08592242355</v>
      </c>
      <c r="AJ48" s="43"/>
    </row>
    <row r="49" ht="15.75" customHeight="1">
      <c r="A49" s="69" t="s">
        <v>114</v>
      </c>
      <c r="B49" s="48" t="s">
        <v>115</v>
      </c>
      <c r="C49" s="71" t="s">
        <v>42</v>
      </c>
      <c r="D49" s="71"/>
      <c r="E49" s="51">
        <f>AVERAGE('Avg master'!E37:G37)</f>
        <v>26715</v>
      </c>
      <c r="F49" s="51">
        <f>'Avg master'!J37</f>
        <v>26843.33333</v>
      </c>
      <c r="G49" s="52">
        <f t="shared" si="32"/>
        <v>0.1018120241</v>
      </c>
      <c r="H49" s="52">
        <f t="shared" si="33"/>
        <v>0.1026446974</v>
      </c>
      <c r="I49" s="39">
        <f t="shared" si="34"/>
        <v>0.008178536124</v>
      </c>
      <c r="J49" s="53">
        <v>7591.0</v>
      </c>
      <c r="K49" s="53">
        <v>5625.0</v>
      </c>
      <c r="L49" s="53">
        <v>3928.0</v>
      </c>
      <c r="M49" s="54">
        <f t="shared" si="35"/>
        <v>5714.666667</v>
      </c>
      <c r="N49" s="55">
        <f t="shared" si="36"/>
        <v>0.04907778761</v>
      </c>
      <c r="O49" s="37"/>
      <c r="P49" s="56">
        <v>12271.218120000003</v>
      </c>
      <c r="Q49" s="43"/>
      <c r="R49" s="57">
        <v>13068.847297800003</v>
      </c>
      <c r="S49" s="43"/>
      <c r="T49" s="57">
        <v>13330.224243756003</v>
      </c>
      <c r="U49" s="58">
        <f t="shared" si="46"/>
        <v>0.4965934774</v>
      </c>
      <c r="V49" s="58"/>
      <c r="W49" s="57">
        <v>13577.198034993384</v>
      </c>
      <c r="X49" s="58">
        <f t="shared" si="47"/>
        <v>0.5057940408</v>
      </c>
      <c r="Y49" s="57">
        <f t="shared" si="39"/>
        <v>246.9737912</v>
      </c>
      <c r="Z49" s="59">
        <f t="shared" si="40"/>
        <v>0.01852735458</v>
      </c>
      <c r="AA49" s="60">
        <v>15060.525004284338</v>
      </c>
      <c r="AB49" s="58">
        <v>0.5620297924226024</v>
      </c>
      <c r="AC49" s="61">
        <v>1483.3269692909544</v>
      </c>
      <c r="AD49" s="39">
        <f t="shared" si="41"/>
        <v>0.1092513319</v>
      </c>
      <c r="AE49" s="62"/>
      <c r="AF49" s="60">
        <f t="shared" si="42"/>
        <v>16398.3939</v>
      </c>
      <c r="AG49" s="58">
        <f t="shared" si="48"/>
        <v>0.6108926076</v>
      </c>
      <c r="AH49" s="63">
        <f t="shared" si="44"/>
        <v>1337.868892</v>
      </c>
      <c r="AI49" s="29">
        <f t="shared" si="45"/>
        <v>0.08883281901</v>
      </c>
      <c r="AJ49" s="43"/>
    </row>
    <row r="50" ht="15.75" customHeight="1">
      <c r="A50" s="69" t="s">
        <v>116</v>
      </c>
      <c r="B50" s="48" t="s">
        <v>117</v>
      </c>
      <c r="C50" s="89" t="s">
        <v>90</v>
      </c>
      <c r="D50" s="71"/>
      <c r="E50" s="51">
        <f>AVERAGE('Avg master'!E38:G38)</f>
        <v>656.5</v>
      </c>
      <c r="F50" s="51">
        <f>'Avg master'!J38</f>
        <v>662</v>
      </c>
      <c r="G50" s="52">
        <f t="shared" si="32"/>
        <v>0.002501949984</v>
      </c>
      <c r="H50" s="52">
        <f t="shared" si="33"/>
        <v>0.002531384193</v>
      </c>
      <c r="I50" s="39">
        <f t="shared" si="34"/>
        <v>0.01176450741</v>
      </c>
      <c r="J50" s="53">
        <v>952.0</v>
      </c>
      <c r="K50" s="53">
        <v>904.0</v>
      </c>
      <c r="L50" s="53">
        <v>887.0</v>
      </c>
      <c r="M50" s="54">
        <f t="shared" si="35"/>
        <v>914.3333333</v>
      </c>
      <c r="N50" s="55">
        <f t="shared" si="36"/>
        <v>0.00785233151</v>
      </c>
      <c r="O50" s="37"/>
      <c r="P50" s="56">
        <v>2454.243624</v>
      </c>
      <c r="Q50" s="43"/>
      <c r="R50" s="57">
        <v>2613.76945956</v>
      </c>
      <c r="S50" s="43"/>
      <c r="T50" s="57">
        <v>2666.0448487512003</v>
      </c>
      <c r="U50" s="58">
        <f t="shared" si="46"/>
        <v>4.02725808</v>
      </c>
      <c r="V50" s="58"/>
      <c r="W50" s="57">
        <v>2698.876895759125</v>
      </c>
      <c r="X50" s="58">
        <f t="shared" si="47"/>
        <v>4.076853317</v>
      </c>
      <c r="Y50" s="57">
        <f t="shared" si="39"/>
        <v>32.83204701</v>
      </c>
      <c r="Z50" s="59">
        <f t="shared" si="40"/>
        <v>0.01231488924</v>
      </c>
      <c r="AA50" s="60">
        <v>3029.3136926735506</v>
      </c>
      <c r="AB50" s="58">
        <v>4.546243660840746</v>
      </c>
      <c r="AC50" s="61">
        <v>330.4367969144255</v>
      </c>
      <c r="AD50" s="39">
        <f t="shared" si="41"/>
        <v>0.1224349274</v>
      </c>
      <c r="AE50" s="62"/>
      <c r="AF50" s="60">
        <f t="shared" si="42"/>
        <v>3310.148242</v>
      </c>
      <c r="AG50" s="58">
        <f t="shared" si="48"/>
        <v>5.000223931</v>
      </c>
      <c r="AH50" s="63">
        <f t="shared" si="44"/>
        <v>280.8345495</v>
      </c>
      <c r="AI50" s="29">
        <f t="shared" si="45"/>
        <v>0.09270566801</v>
      </c>
      <c r="AJ50" s="43"/>
    </row>
    <row r="51" ht="15.75" customHeight="1">
      <c r="A51" s="69" t="s">
        <v>118</v>
      </c>
      <c r="B51" s="76" t="s">
        <v>119</v>
      </c>
      <c r="C51" s="89" t="s">
        <v>51</v>
      </c>
      <c r="D51" s="71"/>
      <c r="E51" s="51">
        <f>AVERAGE('Avg master'!E39:G39)</f>
        <v>360.5</v>
      </c>
      <c r="F51" s="51">
        <f>'Avg master'!J39</f>
        <v>363.6666667</v>
      </c>
      <c r="G51" s="52">
        <f t="shared" si="32"/>
        <v>0.001373881141</v>
      </c>
      <c r="H51" s="52">
        <f t="shared" si="33"/>
        <v>0.001390604307</v>
      </c>
      <c r="I51" s="39">
        <f t="shared" si="34"/>
        <v>0.01217220744</v>
      </c>
      <c r="J51" s="53">
        <v>371.0</v>
      </c>
      <c r="K51" s="53">
        <v>369.0</v>
      </c>
      <c r="L51" s="53">
        <v>368.0</v>
      </c>
      <c r="M51" s="54">
        <f t="shared" si="35"/>
        <v>369.3333333</v>
      </c>
      <c r="N51" s="55">
        <f t="shared" si="36"/>
        <v>0.003171849549</v>
      </c>
      <c r="O51" s="37"/>
      <c r="P51" s="56">
        <v>1227.121812</v>
      </c>
      <c r="Q51" s="43"/>
      <c r="R51" s="57">
        <v>1306.88472978</v>
      </c>
      <c r="S51" s="43"/>
      <c r="T51" s="57">
        <v>1333.0224243756002</v>
      </c>
      <c r="U51" s="58">
        <f t="shared" si="46"/>
        <v>3.665506208</v>
      </c>
      <c r="V51" s="58"/>
      <c r="W51" s="57">
        <v>1349.4384478795625</v>
      </c>
      <c r="X51" s="58">
        <f t="shared" si="47"/>
        <v>3.710646511</v>
      </c>
      <c r="Y51" s="57">
        <f t="shared" si="39"/>
        <v>16.4160235</v>
      </c>
      <c r="Z51" s="59">
        <f t="shared" si="40"/>
        <v>0.01231488924</v>
      </c>
      <c r="AA51" s="60">
        <v>1492.9944051484001</v>
      </c>
      <c r="AB51" s="58">
        <v>4.139540864551941</v>
      </c>
      <c r="AC51" s="61">
        <v>143.55595726883757</v>
      </c>
      <c r="AD51" s="39">
        <f t="shared" si="41"/>
        <v>0.1063819973</v>
      </c>
      <c r="AE51" s="62"/>
      <c r="AF51" s="60">
        <f t="shared" si="42"/>
        <v>1632.060838</v>
      </c>
      <c r="AG51" s="58">
        <f t="shared" si="48"/>
        <v>4.487793322</v>
      </c>
      <c r="AH51" s="63">
        <f t="shared" si="44"/>
        <v>139.066433</v>
      </c>
      <c r="AI51" s="29">
        <f t="shared" si="45"/>
        <v>0.09314598404</v>
      </c>
      <c r="AJ51" s="43"/>
    </row>
    <row r="52" ht="15.75" customHeight="1">
      <c r="A52" s="69" t="s">
        <v>120</v>
      </c>
      <c r="B52" s="48" t="s">
        <v>121</v>
      </c>
      <c r="C52" s="107" t="s">
        <v>107</v>
      </c>
      <c r="D52" s="71"/>
      <c r="E52" s="51">
        <f>AVERAGE('Avg master'!E40:G40)</f>
        <v>10354</v>
      </c>
      <c r="F52" s="51">
        <f>'Avg master'!J40</f>
        <v>10915</v>
      </c>
      <c r="G52" s="52">
        <f t="shared" si="32"/>
        <v>0.03945954323</v>
      </c>
      <c r="H52" s="52">
        <f t="shared" si="33"/>
        <v>0.04173724844</v>
      </c>
      <c r="I52" s="39">
        <f t="shared" si="34"/>
        <v>0.05772254361</v>
      </c>
      <c r="J52" s="53">
        <v>4494.0</v>
      </c>
      <c r="K52" s="53">
        <v>3364.0</v>
      </c>
      <c r="L52" s="53">
        <v>2719.0</v>
      </c>
      <c r="M52" s="54">
        <f t="shared" si="35"/>
        <v>3525.666667</v>
      </c>
      <c r="N52" s="55">
        <f t="shared" si="36"/>
        <v>0.0302785674</v>
      </c>
      <c r="O52" s="37"/>
      <c r="P52" s="56">
        <v>9793.600747200002</v>
      </c>
      <c r="Q52" s="43"/>
      <c r="R52" s="57">
        <v>10430.184795768002</v>
      </c>
      <c r="S52" s="43"/>
      <c r="T52" s="57">
        <v>10638.788491683363</v>
      </c>
      <c r="U52" s="58">
        <f t="shared" si="46"/>
        <v>0.974694319</v>
      </c>
      <c r="V52" s="58"/>
      <c r="W52" s="57">
        <v>11493.83349757814</v>
      </c>
      <c r="X52" s="58">
        <f t="shared" si="47"/>
        <v>1.053031012</v>
      </c>
      <c r="Y52" s="57">
        <f t="shared" si="39"/>
        <v>855.0450059</v>
      </c>
      <c r="Z52" s="59">
        <f t="shared" si="40"/>
        <v>0.08037052401</v>
      </c>
      <c r="AA52" s="60">
        <v>13156.31717714345</v>
      </c>
      <c r="AB52" s="58">
        <v>1.2276119415082065</v>
      </c>
      <c r="AC52" s="61">
        <v>1662.48367956531</v>
      </c>
      <c r="AD52" s="39">
        <f t="shared" si="41"/>
        <v>0.1446413575</v>
      </c>
      <c r="AE52" s="62"/>
      <c r="AF52" s="60">
        <f t="shared" si="42"/>
        <v>15028.99193</v>
      </c>
      <c r="AG52" s="58">
        <f t="shared" si="48"/>
        <v>1.376911766</v>
      </c>
      <c r="AH52" s="63">
        <f t="shared" si="44"/>
        <v>1872.674754</v>
      </c>
      <c r="AI52" s="29">
        <f t="shared" si="45"/>
        <v>0.1423403471</v>
      </c>
      <c r="AJ52" s="43"/>
    </row>
    <row r="53" ht="15.75" customHeight="1">
      <c r="A53" s="66" t="s">
        <v>122</v>
      </c>
      <c r="B53" s="48" t="s">
        <v>123</v>
      </c>
      <c r="C53" s="70" t="s">
        <v>42</v>
      </c>
      <c r="D53" s="68"/>
      <c r="E53" s="51">
        <f>AVERAGE('Avg master'!E41:G41)</f>
        <v>24124.33333</v>
      </c>
      <c r="F53" s="51">
        <f>'Avg master'!J41</f>
        <v>23837.33333</v>
      </c>
      <c r="G53" s="52">
        <f t="shared" si="32"/>
        <v>0.09193888103</v>
      </c>
      <c r="H53" s="52">
        <f t="shared" si="33"/>
        <v>0.09115022478</v>
      </c>
      <c r="I53" s="39">
        <f t="shared" si="34"/>
        <v>-0.008578049241</v>
      </c>
      <c r="J53" s="53">
        <v>8020.0</v>
      </c>
      <c r="K53" s="53">
        <v>7378.0</v>
      </c>
      <c r="L53" s="53">
        <v>6220.0</v>
      </c>
      <c r="M53" s="54">
        <f t="shared" si="35"/>
        <v>7206</v>
      </c>
      <c r="N53" s="55">
        <f t="shared" si="36"/>
        <v>0.06188541837</v>
      </c>
      <c r="O53" s="37"/>
      <c r="P53" s="56">
        <v>12271.218120000003</v>
      </c>
      <c r="Q53" s="43"/>
      <c r="R53" s="57">
        <v>13068.847297800003</v>
      </c>
      <c r="S53" s="43"/>
      <c r="T53" s="57">
        <v>13330.224243756003</v>
      </c>
      <c r="U53" s="58">
        <f t="shared" si="46"/>
        <v>0.5592162537</v>
      </c>
      <c r="V53" s="58"/>
      <c r="W53" s="57">
        <v>13512.313989126884</v>
      </c>
      <c r="X53" s="58">
        <f t="shared" si="47"/>
        <v>0.5668551008</v>
      </c>
      <c r="Y53" s="57">
        <f t="shared" si="39"/>
        <v>182.0897454</v>
      </c>
      <c r="Z53" s="59">
        <f t="shared" si="40"/>
        <v>0.01365991615</v>
      </c>
      <c r="AA53" s="60">
        <v>14930.897261982396</v>
      </c>
      <c r="AB53" s="58">
        <v>0.6194107970123376</v>
      </c>
      <c r="AC53" s="61">
        <v>1418.5832728555124</v>
      </c>
      <c r="AD53" s="39">
        <f t="shared" si="41"/>
        <v>0.1049844811</v>
      </c>
      <c r="AE53" s="62"/>
      <c r="AF53" s="60">
        <f t="shared" si="42"/>
        <v>15987.04483</v>
      </c>
      <c r="AG53" s="58">
        <f t="shared" si="48"/>
        <v>0.6706725375</v>
      </c>
      <c r="AH53" s="63">
        <f t="shared" si="44"/>
        <v>1056.147571</v>
      </c>
      <c r="AI53" s="29">
        <f t="shared" si="45"/>
        <v>0.07073570682</v>
      </c>
      <c r="AJ53" s="43"/>
    </row>
    <row r="54" ht="15.75" customHeight="1">
      <c r="A54" s="66" t="s">
        <v>124</v>
      </c>
      <c r="B54" s="48" t="s">
        <v>125</v>
      </c>
      <c r="C54" s="81" t="s">
        <v>62</v>
      </c>
      <c r="D54" s="68"/>
      <c r="E54" s="51">
        <f>AVERAGE('Avg master'!E42:G42)</f>
        <v>2147.333333</v>
      </c>
      <c r="F54" s="51">
        <f>'Avg master'!J42</f>
        <v>2028</v>
      </c>
      <c r="G54" s="52">
        <f t="shared" si="32"/>
        <v>0.008183580501</v>
      </c>
      <c r="H54" s="52">
        <f t="shared" si="33"/>
        <v>0.007754753993</v>
      </c>
      <c r="I54" s="39">
        <f t="shared" si="34"/>
        <v>-0.05240084185</v>
      </c>
      <c r="J54" s="53">
        <v>776.0</v>
      </c>
      <c r="K54" s="53">
        <v>591.0</v>
      </c>
      <c r="L54" s="53">
        <v>429.0</v>
      </c>
      <c r="M54" s="54">
        <f t="shared" si="35"/>
        <v>598.6666667</v>
      </c>
      <c r="N54" s="55">
        <f t="shared" si="36"/>
        <v>0.005141373457</v>
      </c>
      <c r="O54" s="37"/>
      <c r="P54" s="56">
        <v>1659.5361648</v>
      </c>
      <c r="Q54" s="43"/>
      <c r="R54" s="57">
        <v>1767.406015512</v>
      </c>
      <c r="S54" s="43"/>
      <c r="T54" s="57">
        <v>1802.7541358222402</v>
      </c>
      <c r="U54" s="58">
        <f t="shared" si="46"/>
        <v>0.8889320196</v>
      </c>
      <c r="V54" s="58"/>
      <c r="W54" s="57">
        <v>1827.2307128437385</v>
      </c>
      <c r="X54" s="58">
        <f t="shared" si="47"/>
        <v>0.9010013377</v>
      </c>
      <c r="Y54" s="57">
        <f t="shared" si="39"/>
        <v>24.47657702</v>
      </c>
      <c r="Z54" s="59">
        <f t="shared" si="40"/>
        <v>0.01357732402</v>
      </c>
      <c r="AA54" s="60">
        <v>2009.0750644860293</v>
      </c>
      <c r="AB54" s="58">
        <v>0.9410187655672269</v>
      </c>
      <c r="AC54" s="61">
        <v>181.8443516422908</v>
      </c>
      <c r="AD54" s="39">
        <f t="shared" si="41"/>
        <v>0.0995190976</v>
      </c>
      <c r="AE54" s="62"/>
      <c r="AF54" s="60">
        <f t="shared" si="42"/>
        <v>2056.101667</v>
      </c>
      <c r="AG54" s="58">
        <f t="shared" si="48"/>
        <v>1.013856838</v>
      </c>
      <c r="AH54" s="63">
        <f t="shared" si="44"/>
        <v>47.02660245</v>
      </c>
      <c r="AI54" s="29">
        <f t="shared" si="45"/>
        <v>0.0234070908</v>
      </c>
      <c r="AJ54" s="43"/>
    </row>
    <row r="55" ht="15.75" customHeight="1">
      <c r="A55" s="69" t="s">
        <v>126</v>
      </c>
      <c r="B55" s="48" t="s">
        <v>127</v>
      </c>
      <c r="C55" s="104" t="s">
        <v>39</v>
      </c>
      <c r="D55" s="71"/>
      <c r="E55" s="51">
        <f>AVERAGE('Avg master'!E43:G43)</f>
        <v>1785</v>
      </c>
      <c r="F55" s="51">
        <f>'Avg master'!J43</f>
        <v>1824.333333</v>
      </c>
      <c r="G55" s="52">
        <f t="shared" si="32"/>
        <v>0.006802712447</v>
      </c>
      <c r="H55" s="52">
        <f t="shared" si="33"/>
        <v>0.006975964596</v>
      </c>
      <c r="I55" s="39">
        <f t="shared" si="34"/>
        <v>0.02546809836</v>
      </c>
      <c r="J55" s="53">
        <v>1383.0</v>
      </c>
      <c r="K55" s="53">
        <v>1367.0</v>
      </c>
      <c r="L55" s="53">
        <v>1141.0</v>
      </c>
      <c r="M55" s="54">
        <f t="shared" si="35"/>
        <v>1297</v>
      </c>
      <c r="N55" s="55">
        <f t="shared" si="36"/>
        <v>0.01113868826</v>
      </c>
      <c r="O55" s="37"/>
      <c r="P55" s="56">
        <v>1472.5461744000004</v>
      </c>
      <c r="Q55" s="43"/>
      <c r="R55" s="57">
        <v>1568.2616757360004</v>
      </c>
      <c r="S55" s="43"/>
      <c r="T55" s="57">
        <v>1599.6269092507205</v>
      </c>
      <c r="U55" s="58">
        <f t="shared" si="46"/>
        <v>0.876828198</v>
      </c>
      <c r="V55" s="58"/>
      <c r="W55" s="57">
        <v>1602.771688094871</v>
      </c>
      <c r="X55" s="58">
        <f t="shared" si="47"/>
        <v>0.8785519942</v>
      </c>
      <c r="Y55" s="57">
        <f t="shared" si="39"/>
        <v>3.144778844</v>
      </c>
      <c r="Z55" s="59">
        <f t="shared" si="40"/>
        <v>0.0019659452</v>
      </c>
      <c r="AA55" s="60">
        <v>1770.8033406101647</v>
      </c>
      <c r="AB55" s="58">
        <v>0.9929738358561672</v>
      </c>
      <c r="AC55" s="61">
        <v>168.03165251529367</v>
      </c>
      <c r="AD55" s="39">
        <f t="shared" si="41"/>
        <v>0.1048381711</v>
      </c>
      <c r="AE55" s="62"/>
      <c r="AF55" s="60">
        <f t="shared" si="42"/>
        <v>1961.174521</v>
      </c>
      <c r="AG55" s="58">
        <f t="shared" si="48"/>
        <v>1.075008873</v>
      </c>
      <c r="AH55" s="63">
        <f t="shared" si="44"/>
        <v>190.3711804</v>
      </c>
      <c r="AI55" s="29">
        <f t="shared" si="45"/>
        <v>0.1075055462</v>
      </c>
      <c r="AJ55" s="43"/>
    </row>
    <row r="56" ht="15.75" customHeight="1">
      <c r="A56" s="96" t="s">
        <v>128</v>
      </c>
      <c r="B56" s="48" t="s">
        <v>85</v>
      </c>
      <c r="C56" s="77" t="s">
        <v>51</v>
      </c>
      <c r="D56" s="70"/>
      <c r="E56" s="51">
        <f>AVERAGE('Avg master'!E44:G44)</f>
        <v>409.5</v>
      </c>
      <c r="F56" s="51">
        <f>'Avg master'!J44</f>
        <v>361</v>
      </c>
      <c r="G56" s="52">
        <f t="shared" si="32"/>
        <v>0.001560622267</v>
      </c>
      <c r="H56" s="52">
        <f t="shared" si="33"/>
        <v>0.001380407392</v>
      </c>
      <c r="I56" s="39">
        <f t="shared" si="34"/>
        <v>-0.1154762935</v>
      </c>
      <c r="J56" s="53">
        <v>490.0</v>
      </c>
      <c r="K56" s="53">
        <v>490.0</v>
      </c>
      <c r="L56" s="53">
        <v>490.0</v>
      </c>
      <c r="M56" s="54">
        <f t="shared" si="35"/>
        <v>490</v>
      </c>
      <c r="N56" s="55">
        <f t="shared" si="36"/>
        <v>0.004208139745</v>
      </c>
      <c r="O56" s="37"/>
      <c r="P56" s="56">
        <v>1227.121812</v>
      </c>
      <c r="Q56" s="43"/>
      <c r="R56" s="57">
        <v>1306.88472978</v>
      </c>
      <c r="S56" s="43"/>
      <c r="T56" s="57">
        <v>1333.0224243756002</v>
      </c>
      <c r="U56" s="58">
        <f t="shared" si="46"/>
        <v>3.692582893</v>
      </c>
      <c r="V56" s="58"/>
      <c r="W56" s="57">
        <v>1349.4384478795623</v>
      </c>
      <c r="X56" s="58">
        <f t="shared" si="47"/>
        <v>3.738056642</v>
      </c>
      <c r="Y56" s="57">
        <f t="shared" si="39"/>
        <v>16.4160235</v>
      </c>
      <c r="Z56" s="59">
        <f t="shared" si="40"/>
        <v>0.01231488924</v>
      </c>
      <c r="AA56" s="60">
        <v>1406.6655187423596</v>
      </c>
      <c r="AB56" s="58">
        <v>3.6442111884517088</v>
      </c>
      <c r="AC56" s="61">
        <v>57.22707086279729</v>
      </c>
      <c r="AD56" s="39">
        <f t="shared" si="41"/>
        <v>0.04240806311</v>
      </c>
      <c r="AE56" s="62"/>
      <c r="AF56" s="60">
        <f t="shared" si="42"/>
        <v>1343.767318</v>
      </c>
      <c r="AG56" s="58">
        <f t="shared" si="48"/>
        <v>3.722347142</v>
      </c>
      <c r="AH56" s="63">
        <f t="shared" si="44"/>
        <v>-62.89820037</v>
      </c>
      <c r="AI56" s="29">
        <f t="shared" si="45"/>
        <v>-0.04471439694</v>
      </c>
      <c r="AJ56" s="43"/>
    </row>
    <row r="57" ht="15.75" customHeight="1">
      <c r="A57" s="47" t="s">
        <v>129</v>
      </c>
      <c r="B57" s="48" t="s">
        <v>130</v>
      </c>
      <c r="C57" s="81" t="s">
        <v>62</v>
      </c>
      <c r="D57" s="68"/>
      <c r="E57" s="51">
        <f>AVERAGE('Avg master'!E45:G45)</f>
        <v>3127</v>
      </c>
      <c r="F57" s="51">
        <f>'Avg master'!J45</f>
        <v>3142.666667</v>
      </c>
      <c r="G57" s="52">
        <f t="shared" si="32"/>
        <v>0.01191713267</v>
      </c>
      <c r="H57" s="52">
        <f t="shared" si="33"/>
        <v>0.01201706454</v>
      </c>
      <c r="I57" s="39">
        <f t="shared" si="34"/>
        <v>0.008385562846</v>
      </c>
      <c r="J57" s="53">
        <v>1119.0</v>
      </c>
      <c r="K57" s="53">
        <v>999.0</v>
      </c>
      <c r="L57" s="53">
        <v>817.0</v>
      </c>
      <c r="M57" s="54">
        <f t="shared" si="35"/>
        <v>978.3333333</v>
      </c>
      <c r="N57" s="55">
        <f t="shared" si="36"/>
        <v>0.008401966089</v>
      </c>
      <c r="O57" s="37"/>
      <c r="P57" s="56">
        <v>1659.5361648</v>
      </c>
      <c r="Q57" s="43"/>
      <c r="R57" s="57">
        <v>1767.406015512</v>
      </c>
      <c r="S57" s="43"/>
      <c r="T57" s="57">
        <v>1802.7541358222402</v>
      </c>
      <c r="U57" s="58">
        <f t="shared" si="46"/>
        <v>0.5736383546</v>
      </c>
      <c r="V57" s="58"/>
      <c r="W57" s="57">
        <v>1878.356588491057</v>
      </c>
      <c r="X57" s="58">
        <f t="shared" si="47"/>
        <v>0.5976951385</v>
      </c>
      <c r="Y57" s="57">
        <f t="shared" si="39"/>
        <v>75.60245267</v>
      </c>
      <c r="Z57" s="59">
        <f t="shared" si="40"/>
        <v>0.04193719552</v>
      </c>
      <c r="AA57" s="60">
        <v>2107.5552591999467</v>
      </c>
      <c r="AB57" s="58">
        <v>0.6642851205715319</v>
      </c>
      <c r="AC57" s="61">
        <v>229.19867070888972</v>
      </c>
      <c r="AD57" s="39">
        <f t="shared" si="41"/>
        <v>0.1220208517</v>
      </c>
      <c r="AE57" s="62"/>
      <c r="AF57" s="60">
        <f t="shared" si="42"/>
        <v>2295.24656</v>
      </c>
      <c r="AG57" s="58">
        <f t="shared" si="48"/>
        <v>0.7303499873</v>
      </c>
      <c r="AH57" s="63">
        <f t="shared" si="44"/>
        <v>187.6913008</v>
      </c>
      <c r="AI57" s="29">
        <f t="shared" si="45"/>
        <v>0.08905640787</v>
      </c>
      <c r="AJ57" s="43"/>
    </row>
    <row r="58" ht="15.75" customHeight="1">
      <c r="A58" s="69" t="s">
        <v>131</v>
      </c>
      <c r="B58" s="48" t="s">
        <v>132</v>
      </c>
      <c r="C58" s="50" t="s">
        <v>59</v>
      </c>
      <c r="D58" s="71"/>
      <c r="E58" s="51">
        <f>AVERAGE('Avg master'!E46:G46)</f>
        <v>2</v>
      </c>
      <c r="F58" s="51">
        <f>'Avg master'!J46</f>
        <v>2</v>
      </c>
      <c r="G58" s="52">
        <f t="shared" si="32"/>
        <v>0.000007622086775</v>
      </c>
      <c r="H58" s="52">
        <f t="shared" si="33"/>
        <v>0.000007647686384</v>
      </c>
      <c r="I58" s="39">
        <f t="shared" si="34"/>
        <v>0.003358608937</v>
      </c>
      <c r="J58" s="53">
        <v>2.0</v>
      </c>
      <c r="K58" s="53">
        <v>2.0</v>
      </c>
      <c r="L58" s="53">
        <v>2.0</v>
      </c>
      <c r="M58" s="54">
        <f t="shared" si="35"/>
        <v>2</v>
      </c>
      <c r="N58" s="55">
        <f t="shared" si="36"/>
        <v>0.00001717608059</v>
      </c>
      <c r="O58" s="37"/>
      <c r="P58" s="56">
        <v>368.1365436000001</v>
      </c>
      <c r="Q58" s="43"/>
      <c r="R58" s="57">
        <v>392.0654189340001</v>
      </c>
      <c r="S58" s="43"/>
      <c r="T58" s="57">
        <v>399.9067273126801</v>
      </c>
      <c r="U58" s="58"/>
      <c r="V58" s="58"/>
      <c r="W58" s="57">
        <v>424.0</v>
      </c>
      <c r="X58" s="58"/>
      <c r="Y58" s="57">
        <f t="shared" si="39"/>
        <v>24.09327269</v>
      </c>
      <c r="Z58" s="59">
        <f t="shared" si="40"/>
        <v>0.06024723027</v>
      </c>
      <c r="AA58" s="78">
        <v>468.8891895904874</v>
      </c>
      <c r="AB58" s="58"/>
      <c r="AC58" s="61">
        <v>44.889189590487376</v>
      </c>
      <c r="AD58" s="39">
        <f t="shared" si="41"/>
        <v>0.1058707302</v>
      </c>
      <c r="AE58" s="62"/>
      <c r="AF58" s="78">
        <f t="shared" si="42"/>
        <v>508.1011254</v>
      </c>
      <c r="AG58" s="58"/>
      <c r="AH58" s="63">
        <f t="shared" si="44"/>
        <v>39.21193582</v>
      </c>
      <c r="AI58" s="29">
        <f t="shared" si="45"/>
        <v>0.08362729765</v>
      </c>
      <c r="AJ58" s="43"/>
    </row>
    <row r="59" ht="15.75" customHeight="1">
      <c r="A59" s="80" t="s">
        <v>133</v>
      </c>
      <c r="B59" s="48" t="s">
        <v>134</v>
      </c>
      <c r="C59" s="50" t="s">
        <v>59</v>
      </c>
      <c r="D59" s="50"/>
      <c r="E59" s="51">
        <f>AVERAGE('Avg master'!E47:G47)</f>
        <v>1</v>
      </c>
      <c r="F59" s="51">
        <f>'Avg master'!J47</f>
        <v>1</v>
      </c>
      <c r="G59" s="52">
        <f t="shared" si="32"/>
        <v>0.000003811043387</v>
      </c>
      <c r="H59" s="52">
        <f t="shared" si="33"/>
        <v>0.000003823843192</v>
      </c>
      <c r="I59" s="39">
        <f t="shared" si="34"/>
        <v>0.003358608937</v>
      </c>
      <c r="J59" s="53">
        <v>1.0</v>
      </c>
      <c r="K59" s="53">
        <v>1.0</v>
      </c>
      <c r="L59" s="53">
        <v>1.0</v>
      </c>
      <c r="M59" s="54">
        <f t="shared" si="35"/>
        <v>1</v>
      </c>
      <c r="N59" s="55">
        <f t="shared" si="36"/>
        <v>0.000008588040295</v>
      </c>
      <c r="O59" s="37"/>
      <c r="P59" s="56">
        <v>368.1365436000001</v>
      </c>
      <c r="Q59" s="43"/>
      <c r="R59" s="57">
        <v>392.0654189340001</v>
      </c>
      <c r="S59" s="43"/>
      <c r="T59" s="57">
        <v>399.9067273126801</v>
      </c>
      <c r="U59" s="58"/>
      <c r="V59" s="58"/>
      <c r="W59" s="57">
        <v>424.0</v>
      </c>
      <c r="X59" s="58"/>
      <c r="Y59" s="57">
        <f t="shared" si="39"/>
        <v>24.09327269</v>
      </c>
      <c r="Z59" s="59">
        <f t="shared" si="40"/>
        <v>0.06024723027</v>
      </c>
      <c r="AA59" s="78">
        <v>468.8891895904874</v>
      </c>
      <c r="AB59" s="58"/>
      <c r="AC59" s="61">
        <v>44.889189590487376</v>
      </c>
      <c r="AD59" s="39">
        <f t="shared" si="41"/>
        <v>0.1058707302</v>
      </c>
      <c r="AE59" s="62"/>
      <c r="AF59" s="78">
        <f t="shared" si="42"/>
        <v>508.1011254</v>
      </c>
      <c r="AG59" s="58"/>
      <c r="AH59" s="63">
        <f t="shared" si="44"/>
        <v>39.21193582</v>
      </c>
      <c r="AI59" s="29">
        <f t="shared" si="45"/>
        <v>0.08362729765</v>
      </c>
      <c r="AJ59" s="43"/>
    </row>
    <row r="60" ht="15.75" customHeight="1">
      <c r="A60" s="69" t="s">
        <v>135</v>
      </c>
      <c r="B60" s="48" t="s">
        <v>136</v>
      </c>
      <c r="C60" s="71" t="s">
        <v>42</v>
      </c>
      <c r="D60" s="71"/>
      <c r="E60" s="51">
        <f>AVERAGE('Avg master'!E48:G48)</f>
        <v>26073.33333</v>
      </c>
      <c r="F60" s="51">
        <f>'Avg master'!J48</f>
        <v>26907</v>
      </c>
      <c r="G60" s="52">
        <f t="shared" si="32"/>
        <v>0.09936660459</v>
      </c>
      <c r="H60" s="52">
        <f t="shared" si="33"/>
        <v>0.1028881488</v>
      </c>
      <c r="I60" s="39">
        <f t="shared" si="34"/>
        <v>0.03543991654</v>
      </c>
      <c r="J60" s="53">
        <v>19304.0</v>
      </c>
      <c r="K60" s="53">
        <v>16605.0</v>
      </c>
      <c r="L60" s="53">
        <v>9120.0</v>
      </c>
      <c r="M60" s="54">
        <f t="shared" si="35"/>
        <v>15009.66667</v>
      </c>
      <c r="N60" s="55">
        <f t="shared" si="36"/>
        <v>0.1289036221</v>
      </c>
      <c r="O60" s="37"/>
      <c r="P60" s="56">
        <v>12271.218120000003</v>
      </c>
      <c r="Q60" s="43"/>
      <c r="R60" s="57">
        <v>13068.847297800003</v>
      </c>
      <c r="S60" s="43"/>
      <c r="T60" s="57">
        <v>13330.224243756003</v>
      </c>
      <c r="U60" s="58">
        <f t="shared" ref="U60:U68" si="49">SUM(T60/$F60)</f>
        <v>0.4954184504</v>
      </c>
      <c r="V60" s="58"/>
      <c r="W60" s="57">
        <v>13805.19897042587</v>
      </c>
      <c r="X60" s="58">
        <f t="shared" ref="X60:X68" si="50">SUM(W60/$F60)</f>
        <v>0.5130709098</v>
      </c>
      <c r="Y60" s="57">
        <f t="shared" si="39"/>
        <v>474.9747267</v>
      </c>
      <c r="Z60" s="59">
        <f t="shared" si="40"/>
        <v>0.03563141309</v>
      </c>
      <c r="AA60" s="60">
        <v>15620.036310472726</v>
      </c>
      <c r="AB60" s="58">
        <v>0.5855317872225188</v>
      </c>
      <c r="AC60" s="61">
        <v>1814.8373400468554</v>
      </c>
      <c r="AD60" s="39">
        <f t="shared" si="41"/>
        <v>0.1314604262</v>
      </c>
      <c r="AE60" s="62"/>
      <c r="AF60" s="60">
        <f t="shared" si="42"/>
        <v>17467.49782</v>
      </c>
      <c r="AG60" s="58">
        <f t="shared" ref="AG60:AG68" si="51">SUM(AF60/$F60)</f>
        <v>0.6491804297</v>
      </c>
      <c r="AH60" s="63">
        <f t="shared" si="44"/>
        <v>1847.461511</v>
      </c>
      <c r="AI60" s="29">
        <f t="shared" si="45"/>
        <v>0.1182751099</v>
      </c>
      <c r="AJ60" s="43"/>
    </row>
    <row r="61" ht="15.75" customHeight="1">
      <c r="A61" s="72" t="s">
        <v>137</v>
      </c>
      <c r="B61" s="75" t="s">
        <v>138</v>
      </c>
      <c r="C61" s="71" t="s">
        <v>45</v>
      </c>
      <c r="D61" s="74"/>
      <c r="E61" s="51">
        <f>AVERAGE('Avg master'!E49:G49)</f>
        <v>2056.333333</v>
      </c>
      <c r="F61" s="51">
        <f>'Avg master'!J49</f>
        <v>1737.666667</v>
      </c>
      <c r="G61" s="52">
        <f t="shared" si="32"/>
        <v>0.007836775552</v>
      </c>
      <c r="H61" s="52">
        <f t="shared" si="33"/>
        <v>0.006644564853</v>
      </c>
      <c r="I61" s="39">
        <f t="shared" si="34"/>
        <v>-0.1521302596</v>
      </c>
      <c r="J61" s="53">
        <v>4283.0</v>
      </c>
      <c r="K61" s="53">
        <v>1955.0</v>
      </c>
      <c r="L61" s="53">
        <v>1223.0</v>
      </c>
      <c r="M61" s="54">
        <f t="shared" si="35"/>
        <v>2487</v>
      </c>
      <c r="N61" s="55">
        <f t="shared" si="36"/>
        <v>0.02135845621</v>
      </c>
      <c r="O61" s="37"/>
      <c r="P61" s="56">
        <v>6135.609060000002</v>
      </c>
      <c r="Q61" s="43"/>
      <c r="R61" s="57">
        <v>6534.423648900001</v>
      </c>
      <c r="S61" s="43"/>
      <c r="T61" s="57">
        <v>6665.112121878002</v>
      </c>
      <c r="U61" s="58">
        <f t="shared" si="49"/>
        <v>3.835667824</v>
      </c>
      <c r="V61" s="58"/>
      <c r="W61" s="57">
        <v>6747.192239397814</v>
      </c>
      <c r="X61" s="58">
        <f t="shared" si="50"/>
        <v>3.882903648</v>
      </c>
      <c r="Y61" s="57">
        <f t="shared" si="39"/>
        <v>82.08011752</v>
      </c>
      <c r="Z61" s="59">
        <f t="shared" si="40"/>
        <v>0.01231488924</v>
      </c>
      <c r="AA61" s="60">
        <v>7023.676548114241</v>
      </c>
      <c r="AB61" s="58">
        <v>3.6285568528229244</v>
      </c>
      <c r="AC61" s="61">
        <v>276.4843087164272</v>
      </c>
      <c r="AD61" s="39">
        <f t="shared" si="41"/>
        <v>0.04097768359</v>
      </c>
      <c r="AE61" s="62"/>
      <c r="AF61" s="60">
        <f t="shared" si="42"/>
        <v>6431.575836</v>
      </c>
      <c r="AG61" s="58">
        <f t="shared" si="51"/>
        <v>3.701271343</v>
      </c>
      <c r="AH61" s="63">
        <f t="shared" si="44"/>
        <v>-592.1007119</v>
      </c>
      <c r="AI61" s="29">
        <f t="shared" si="45"/>
        <v>-0.08430068039</v>
      </c>
      <c r="AJ61" s="43"/>
    </row>
    <row r="62" ht="15.75" customHeight="1">
      <c r="A62" s="66" t="s">
        <v>139</v>
      </c>
      <c r="B62" s="48" t="s">
        <v>140</v>
      </c>
      <c r="C62" s="49" t="s">
        <v>34</v>
      </c>
      <c r="D62" s="50"/>
      <c r="E62" s="51">
        <f>AVERAGE('Avg master'!E50:G50)</f>
        <v>342.6666667</v>
      </c>
      <c r="F62" s="51">
        <f>'Avg master'!J50</f>
        <v>299</v>
      </c>
      <c r="G62" s="52">
        <f t="shared" si="32"/>
        <v>0.001305917534</v>
      </c>
      <c r="H62" s="52">
        <f t="shared" si="33"/>
        <v>0.001143329114</v>
      </c>
      <c r="I62" s="39">
        <f t="shared" si="34"/>
        <v>-0.1245012916</v>
      </c>
      <c r="J62" s="53">
        <v>105.0</v>
      </c>
      <c r="K62" s="53">
        <v>95.0</v>
      </c>
      <c r="L62" s="53">
        <v>78.0</v>
      </c>
      <c r="M62" s="54">
        <f t="shared" si="35"/>
        <v>92.66666667</v>
      </c>
      <c r="N62" s="55">
        <f t="shared" si="36"/>
        <v>0.0007958250673</v>
      </c>
      <c r="O62" s="37"/>
      <c r="P62" s="56">
        <v>1227.121812</v>
      </c>
      <c r="Q62" s="43"/>
      <c r="R62" s="57">
        <v>1306.88472978</v>
      </c>
      <c r="S62" s="43"/>
      <c r="T62" s="57">
        <v>1333.0224243756002</v>
      </c>
      <c r="U62" s="58">
        <f t="shared" si="49"/>
        <v>4.458268978</v>
      </c>
      <c r="V62" s="58"/>
      <c r="W62" s="57">
        <v>1308.0366930069392</v>
      </c>
      <c r="X62" s="58">
        <f t="shared" si="50"/>
        <v>4.374704659</v>
      </c>
      <c r="Y62" s="57">
        <f t="shared" si="39"/>
        <v>-24.98573137</v>
      </c>
      <c r="Z62" s="59">
        <f t="shared" si="40"/>
        <v>-0.01874366921</v>
      </c>
      <c r="AA62" s="60">
        <v>1428.2269311007005</v>
      </c>
      <c r="AB62" s="58">
        <v>4.221360387489756</v>
      </c>
      <c r="AC62" s="61">
        <v>120.19023809376131</v>
      </c>
      <c r="AD62" s="39">
        <f t="shared" si="41"/>
        <v>0.09188598358</v>
      </c>
      <c r="AE62" s="62"/>
      <c r="AF62" s="60">
        <f t="shared" si="42"/>
        <v>1350.4437</v>
      </c>
      <c r="AG62" s="58">
        <f t="shared" si="51"/>
        <v>4.516534114</v>
      </c>
      <c r="AH62" s="63">
        <f t="shared" si="44"/>
        <v>-77.78323097</v>
      </c>
      <c r="AI62" s="29">
        <f t="shared" si="45"/>
        <v>-0.05446139495</v>
      </c>
      <c r="AJ62" s="43"/>
    </row>
    <row r="63" ht="15.75" customHeight="1">
      <c r="A63" s="66" t="s">
        <v>141</v>
      </c>
      <c r="B63" s="48" t="s">
        <v>142</v>
      </c>
      <c r="C63" s="108" t="s">
        <v>107</v>
      </c>
      <c r="D63" s="68"/>
      <c r="E63" s="51">
        <f>AVERAGE('Avg master'!E51:G51)</f>
        <v>10480.66667</v>
      </c>
      <c r="F63" s="51">
        <f>'Avg master'!J51</f>
        <v>10556.33333</v>
      </c>
      <c r="G63" s="52">
        <f t="shared" si="32"/>
        <v>0.0399422754</v>
      </c>
      <c r="H63" s="52">
        <f t="shared" si="33"/>
        <v>0.04036576335</v>
      </c>
      <c r="I63" s="39">
        <f t="shared" si="34"/>
        <v>0.01060249941</v>
      </c>
      <c r="J63" s="53">
        <v>2094.0</v>
      </c>
      <c r="K63" s="53">
        <v>1296.0</v>
      </c>
      <c r="L63" s="53">
        <v>908.0</v>
      </c>
      <c r="M63" s="54">
        <f t="shared" si="35"/>
        <v>1432.666667</v>
      </c>
      <c r="N63" s="55">
        <f t="shared" si="36"/>
        <v>0.01230379906</v>
      </c>
      <c r="O63" s="37"/>
      <c r="P63" s="56">
        <v>9793.600747200002</v>
      </c>
      <c r="Q63" s="43"/>
      <c r="R63" s="57">
        <v>10430.184795768002</v>
      </c>
      <c r="S63" s="43"/>
      <c r="T63" s="57">
        <v>10638.788491683363</v>
      </c>
      <c r="U63" s="58">
        <f t="shared" si="49"/>
        <v>1.007810966</v>
      </c>
      <c r="V63" s="58"/>
      <c r="W63" s="57">
        <v>11034.232590942747</v>
      </c>
      <c r="X63" s="58">
        <f t="shared" si="50"/>
        <v>1.045271331</v>
      </c>
      <c r="Y63" s="57">
        <f t="shared" si="39"/>
        <v>395.4440993</v>
      </c>
      <c r="Z63" s="59">
        <f t="shared" si="40"/>
        <v>0.03717003111</v>
      </c>
      <c r="AA63" s="60">
        <v>12329.34141653169</v>
      </c>
      <c r="AB63" s="58">
        <v>1.164280406987789</v>
      </c>
      <c r="AC63" s="61">
        <v>1295.1088255889426</v>
      </c>
      <c r="AD63" s="39">
        <f t="shared" si="41"/>
        <v>0.1173718983</v>
      </c>
      <c r="AE63" s="62"/>
      <c r="AF63" s="60">
        <f t="shared" si="42"/>
        <v>13456.86831</v>
      </c>
      <c r="AG63" s="58">
        <f t="shared" si="51"/>
        <v>1.274767278</v>
      </c>
      <c r="AH63" s="63">
        <f t="shared" si="44"/>
        <v>1127.526895</v>
      </c>
      <c r="AI63" s="29">
        <f t="shared" si="45"/>
        <v>0.09145069936</v>
      </c>
      <c r="AJ63" s="43"/>
    </row>
    <row r="64" ht="15.75" customHeight="1">
      <c r="A64" s="69" t="s">
        <v>143</v>
      </c>
      <c r="B64" s="48" t="s">
        <v>144</v>
      </c>
      <c r="C64" s="79" t="s">
        <v>62</v>
      </c>
      <c r="D64" s="71"/>
      <c r="E64" s="51">
        <f>AVERAGE('Avg master'!E52:G52)</f>
        <v>3394</v>
      </c>
      <c r="F64" s="51">
        <f>'Avg master'!J52</f>
        <v>3535</v>
      </c>
      <c r="G64" s="52">
        <f t="shared" si="32"/>
        <v>0.01293468126</v>
      </c>
      <c r="H64" s="52">
        <f t="shared" si="33"/>
        <v>0.01351728568</v>
      </c>
      <c r="I64" s="39">
        <f t="shared" si="34"/>
        <v>0.04504203966</v>
      </c>
      <c r="J64" s="53">
        <v>2081.0</v>
      </c>
      <c r="K64" s="53">
        <v>930.0</v>
      </c>
      <c r="L64" s="53">
        <v>713.0</v>
      </c>
      <c r="M64" s="54">
        <f t="shared" si="35"/>
        <v>1241.333333</v>
      </c>
      <c r="N64" s="55">
        <f t="shared" si="36"/>
        <v>0.01066062069</v>
      </c>
      <c r="O64" s="37"/>
      <c r="P64" s="56">
        <v>1659.5361648</v>
      </c>
      <c r="Q64" s="43"/>
      <c r="R64" s="57">
        <v>1767.406015512</v>
      </c>
      <c r="S64" s="43"/>
      <c r="T64" s="57">
        <v>1802.7541358222402</v>
      </c>
      <c r="U64" s="58">
        <f t="shared" si="49"/>
        <v>0.5099728814</v>
      </c>
      <c r="V64" s="58"/>
      <c r="W64" s="57">
        <v>1937.9625978632494</v>
      </c>
      <c r="X64" s="58">
        <f t="shared" si="50"/>
        <v>0.5482213855</v>
      </c>
      <c r="Y64" s="57">
        <f t="shared" si="39"/>
        <v>135.208462</v>
      </c>
      <c r="Z64" s="59">
        <f t="shared" si="40"/>
        <v>0.07500105497</v>
      </c>
      <c r="AA64" s="60">
        <v>2138.5054910077047</v>
      </c>
      <c r="AB64" s="58">
        <v>0.6314484717542436</v>
      </c>
      <c r="AC64" s="61">
        <v>200.54289314445532</v>
      </c>
      <c r="AD64" s="39">
        <f t="shared" si="41"/>
        <v>0.1034813021</v>
      </c>
      <c r="AE64" s="62"/>
      <c r="AF64" s="60">
        <f t="shared" si="42"/>
        <v>2413.614391</v>
      </c>
      <c r="AG64" s="58">
        <f t="shared" si="51"/>
        <v>0.6827763483</v>
      </c>
      <c r="AH64" s="63">
        <f t="shared" si="44"/>
        <v>275.1089003</v>
      </c>
      <c r="AI64" s="29">
        <f t="shared" si="45"/>
        <v>0.1286454028</v>
      </c>
      <c r="AJ64" s="43"/>
    </row>
    <row r="65" ht="15.75" customHeight="1">
      <c r="A65" s="64" t="s">
        <v>145</v>
      </c>
      <c r="B65" s="48" t="s">
        <v>146</v>
      </c>
      <c r="C65" s="67" t="s">
        <v>39</v>
      </c>
      <c r="D65" s="50"/>
      <c r="E65" s="51">
        <f>AVERAGE('Avg master'!E53:G53)</f>
        <v>1913.333333</v>
      </c>
      <c r="F65" s="51">
        <f>'Avg master'!J53</f>
        <v>1888</v>
      </c>
      <c r="G65" s="52">
        <f t="shared" si="32"/>
        <v>0.007291796348</v>
      </c>
      <c r="H65" s="52">
        <f t="shared" si="33"/>
        <v>0.007219415946</v>
      </c>
      <c r="I65" s="39">
        <f t="shared" si="34"/>
        <v>-0.009926278568</v>
      </c>
      <c r="J65" s="53">
        <v>1469.0</v>
      </c>
      <c r="K65" s="53">
        <v>1093.0</v>
      </c>
      <c r="L65" s="53">
        <v>743.0</v>
      </c>
      <c r="M65" s="54">
        <f t="shared" si="35"/>
        <v>1101.666667</v>
      </c>
      <c r="N65" s="55">
        <f t="shared" si="36"/>
        <v>0.009461157725</v>
      </c>
      <c r="O65" s="37"/>
      <c r="P65" s="102"/>
      <c r="Q65" s="43"/>
      <c r="R65" s="65">
        <v>1568.745</v>
      </c>
      <c r="S65" s="43"/>
      <c r="T65" s="65">
        <v>1600.1199</v>
      </c>
      <c r="U65" s="58">
        <f t="shared" si="49"/>
        <v>0.8475211335</v>
      </c>
      <c r="V65" s="58"/>
      <c r="W65" s="65">
        <v>1605.7397628153021</v>
      </c>
      <c r="X65" s="58">
        <f t="shared" si="50"/>
        <v>0.8504977557</v>
      </c>
      <c r="Y65" s="57">
        <f t="shared" si="39"/>
        <v>5.619862815</v>
      </c>
      <c r="Z65" s="59">
        <f t="shared" si="40"/>
        <v>0.003512151068</v>
      </c>
      <c r="AA65" s="60">
        <v>1763.3661049792192</v>
      </c>
      <c r="AB65" s="58">
        <v>0.9280874236732732</v>
      </c>
      <c r="AC65" s="61">
        <v>157.62634216391712</v>
      </c>
      <c r="AD65" s="39">
        <f t="shared" si="41"/>
        <v>0.09816431393</v>
      </c>
      <c r="AE65" s="62"/>
      <c r="AF65" s="60">
        <f t="shared" si="42"/>
        <v>1885.531437</v>
      </c>
      <c r="AG65" s="58">
        <f t="shared" si="51"/>
        <v>0.9986924985</v>
      </c>
      <c r="AH65" s="63">
        <f t="shared" si="44"/>
        <v>122.1653322</v>
      </c>
      <c r="AI65" s="29">
        <f t="shared" si="45"/>
        <v>0.06927961915</v>
      </c>
      <c r="AJ65" s="43"/>
    </row>
    <row r="66" ht="15.75" customHeight="1">
      <c r="A66" s="69" t="s">
        <v>147</v>
      </c>
      <c r="B66" s="76" t="s">
        <v>148</v>
      </c>
      <c r="C66" s="89" t="s">
        <v>51</v>
      </c>
      <c r="D66" s="71"/>
      <c r="E66" s="51">
        <f>AVERAGE('Avg master'!E54:G54)</f>
        <v>265.5</v>
      </c>
      <c r="F66" s="51">
        <f>'Avg master'!J54</f>
        <v>260.3333333</v>
      </c>
      <c r="G66" s="52">
        <f t="shared" si="32"/>
        <v>0.001011832019</v>
      </c>
      <c r="H66" s="52">
        <f t="shared" si="33"/>
        <v>0.0009954738443</v>
      </c>
      <c r="I66" s="39">
        <f t="shared" si="34"/>
        <v>-0.01616688816</v>
      </c>
      <c r="J66" s="53">
        <v>495.0</v>
      </c>
      <c r="K66" s="53">
        <v>438.0</v>
      </c>
      <c r="L66" s="53">
        <v>417.0</v>
      </c>
      <c r="M66" s="54">
        <f t="shared" si="35"/>
        <v>450</v>
      </c>
      <c r="N66" s="55">
        <f t="shared" si="36"/>
        <v>0.003864618133</v>
      </c>
      <c r="O66" s="37"/>
      <c r="P66" s="56">
        <v>1227.121812</v>
      </c>
      <c r="Q66" s="43"/>
      <c r="R66" s="57">
        <v>1306.88472978</v>
      </c>
      <c r="S66" s="43"/>
      <c r="T66" s="57">
        <v>1333.0224243756002</v>
      </c>
      <c r="U66" s="58">
        <f t="shared" si="49"/>
        <v>5.120444652</v>
      </c>
      <c r="V66" s="58"/>
      <c r="W66" s="57">
        <v>1349.4384478795625</v>
      </c>
      <c r="X66" s="58">
        <f t="shared" si="50"/>
        <v>5.183502361</v>
      </c>
      <c r="Y66" s="57">
        <f t="shared" si="39"/>
        <v>16.4160235</v>
      </c>
      <c r="Z66" s="59">
        <f t="shared" si="40"/>
        <v>0.01231488924</v>
      </c>
      <c r="AA66" s="60">
        <v>1457.6432978531304</v>
      </c>
      <c r="AB66" s="58">
        <v>5.620732511001789</v>
      </c>
      <c r="AC66" s="61">
        <v>108.20484997356789</v>
      </c>
      <c r="AD66" s="39">
        <f t="shared" si="41"/>
        <v>0.08018509488</v>
      </c>
      <c r="AE66" s="62"/>
      <c r="AF66" s="60">
        <f t="shared" si="42"/>
        <v>1548.803961</v>
      </c>
      <c r="AG66" s="58">
        <f t="shared" si="51"/>
        <v>5.94931099</v>
      </c>
      <c r="AH66" s="63">
        <f t="shared" si="44"/>
        <v>91.16066316</v>
      </c>
      <c r="AI66" s="29">
        <f t="shared" si="45"/>
        <v>0.06253976079</v>
      </c>
      <c r="AJ66" s="43"/>
    </row>
    <row r="67" ht="15.75" customHeight="1">
      <c r="A67" s="69" t="s">
        <v>149</v>
      </c>
      <c r="B67" s="48" t="s">
        <v>150</v>
      </c>
      <c r="C67" s="104" t="s">
        <v>39</v>
      </c>
      <c r="D67" s="71"/>
      <c r="E67" s="51">
        <f>AVERAGE('Avg master'!E55:G55)</f>
        <v>816.6666667</v>
      </c>
      <c r="F67" s="51">
        <f>'Avg master'!J55</f>
        <v>826.3333333</v>
      </c>
      <c r="G67" s="52">
        <f t="shared" si="32"/>
        <v>0.0031123521</v>
      </c>
      <c r="H67" s="52">
        <f t="shared" si="33"/>
        <v>0.003159769091</v>
      </c>
      <c r="I67" s="39">
        <f t="shared" si="34"/>
        <v>0.01523509859</v>
      </c>
      <c r="J67" s="53">
        <v>820.0</v>
      </c>
      <c r="K67" s="53">
        <v>635.0</v>
      </c>
      <c r="L67" s="53">
        <v>528.0</v>
      </c>
      <c r="M67" s="54">
        <f t="shared" si="35"/>
        <v>661</v>
      </c>
      <c r="N67" s="55">
        <f t="shared" si="36"/>
        <v>0.005676694635</v>
      </c>
      <c r="O67" s="37"/>
      <c r="P67" s="56">
        <v>1472.5461744000004</v>
      </c>
      <c r="Q67" s="43"/>
      <c r="R67" s="57">
        <v>1568.2616757360004</v>
      </c>
      <c r="S67" s="43"/>
      <c r="T67" s="57">
        <v>1599.6269092507205</v>
      </c>
      <c r="U67" s="58">
        <f t="shared" si="49"/>
        <v>1.935813121</v>
      </c>
      <c r="V67" s="58"/>
      <c r="W67" s="57">
        <v>1662.820434535891</v>
      </c>
      <c r="X67" s="58">
        <f t="shared" si="50"/>
        <v>2.012287738</v>
      </c>
      <c r="Y67" s="57">
        <f t="shared" si="39"/>
        <v>63.19352529</v>
      </c>
      <c r="Z67" s="59">
        <f t="shared" si="40"/>
        <v>0.03950516519</v>
      </c>
      <c r="AA67" s="60">
        <v>1865.133940190922</v>
      </c>
      <c r="AB67" s="58">
        <v>2.25167075274558</v>
      </c>
      <c r="AC67" s="61">
        <v>202.3135056550309</v>
      </c>
      <c r="AD67" s="39">
        <f t="shared" si="41"/>
        <v>0.1216688835</v>
      </c>
      <c r="AE67" s="62"/>
      <c r="AF67" s="60">
        <f t="shared" si="42"/>
        <v>2045.033395</v>
      </c>
      <c r="AG67" s="58">
        <f t="shared" si="51"/>
        <v>2.474828634</v>
      </c>
      <c r="AH67" s="63">
        <f t="shared" si="44"/>
        <v>179.8994546</v>
      </c>
      <c r="AI67" s="29">
        <f t="shared" si="45"/>
        <v>0.09645390648</v>
      </c>
      <c r="AJ67" s="43"/>
    </row>
    <row r="68" ht="15.75" customHeight="1">
      <c r="A68" s="109" t="s">
        <v>151</v>
      </c>
      <c r="B68" s="48" t="s">
        <v>152</v>
      </c>
      <c r="C68" s="67" t="s">
        <v>39</v>
      </c>
      <c r="D68" s="110"/>
      <c r="E68" s="51">
        <f>AVERAGE('Avg master'!E56:G56)</f>
        <v>979.6666667</v>
      </c>
      <c r="F68" s="51">
        <f>'Avg master'!J56</f>
        <v>974.3333333</v>
      </c>
      <c r="G68" s="52">
        <f t="shared" si="32"/>
        <v>0.003733552172</v>
      </c>
      <c r="H68" s="52">
        <f t="shared" si="33"/>
        <v>0.003725697883</v>
      </c>
      <c r="I68" s="39">
        <f t="shared" si="34"/>
        <v>-0.002103704007</v>
      </c>
      <c r="J68" s="53">
        <v>480.0</v>
      </c>
      <c r="K68" s="53">
        <v>344.0</v>
      </c>
      <c r="L68" s="53">
        <v>284.0</v>
      </c>
      <c r="M68" s="54">
        <f t="shared" si="35"/>
        <v>369.3333333</v>
      </c>
      <c r="N68" s="55">
        <f t="shared" si="36"/>
        <v>0.003171849549</v>
      </c>
      <c r="O68" s="37"/>
      <c r="P68" s="56">
        <v>1473.0</v>
      </c>
      <c r="Q68" s="43"/>
      <c r="R68" s="57">
        <v>1568.745</v>
      </c>
      <c r="S68" s="43"/>
      <c r="T68" s="57">
        <v>1600.1199</v>
      </c>
      <c r="U68" s="58">
        <f t="shared" si="49"/>
        <v>1.642271536</v>
      </c>
      <c r="V68" s="58"/>
      <c r="W68" s="57">
        <v>1641.0578166387759</v>
      </c>
      <c r="X68" s="58">
        <f t="shared" si="50"/>
        <v>1.684287872</v>
      </c>
      <c r="Y68" s="57">
        <f t="shared" si="39"/>
        <v>40.93791664</v>
      </c>
      <c r="Z68" s="59">
        <f t="shared" si="40"/>
        <v>0.02558428068</v>
      </c>
      <c r="AA68" s="60">
        <v>1808.6229239785337</v>
      </c>
      <c r="AB68" s="58">
        <v>1.8524645858434963</v>
      </c>
      <c r="AC68" s="61">
        <v>167.5651073397578</v>
      </c>
      <c r="AD68" s="39">
        <f t="shared" si="41"/>
        <v>0.1021079853</v>
      </c>
      <c r="AE68" s="62"/>
      <c r="AF68" s="60">
        <f t="shared" si="42"/>
        <v>1949.203566</v>
      </c>
      <c r="AG68" s="58">
        <f t="shared" si="51"/>
        <v>2.000551043</v>
      </c>
      <c r="AH68" s="63">
        <f t="shared" si="44"/>
        <v>140.580642</v>
      </c>
      <c r="AI68" s="29">
        <f t="shared" si="45"/>
        <v>0.07772799967</v>
      </c>
      <c r="AJ68" s="43"/>
    </row>
    <row r="69" ht="15.75" customHeight="1">
      <c r="A69" s="111"/>
      <c r="B69" s="111"/>
      <c r="C69" s="10"/>
      <c r="D69" s="10"/>
      <c r="E69" s="10"/>
      <c r="F69" s="112"/>
      <c r="G69" s="113"/>
      <c r="H69" s="113"/>
      <c r="I69" s="10"/>
      <c r="J69" s="111"/>
      <c r="K69" s="111"/>
      <c r="L69" s="111"/>
      <c r="M69" s="43"/>
      <c r="N69" s="113"/>
      <c r="O69" s="37"/>
      <c r="P69" s="114"/>
      <c r="Q69" s="43"/>
      <c r="R69" s="115"/>
      <c r="S69" s="43"/>
      <c r="T69" s="115"/>
      <c r="U69" s="40"/>
      <c r="V69" s="40"/>
      <c r="W69" s="115"/>
      <c r="X69" s="40"/>
      <c r="Y69" s="40"/>
      <c r="Z69" s="40"/>
      <c r="AA69" s="43"/>
      <c r="AB69" s="40"/>
      <c r="AC69" s="116"/>
      <c r="AD69" s="40"/>
      <c r="AE69" s="43"/>
      <c r="AF69" s="43"/>
      <c r="AG69" s="40"/>
      <c r="AH69" s="33"/>
      <c r="AI69" s="29"/>
      <c r="AJ69" s="43"/>
    </row>
    <row r="70" ht="15.75" customHeight="1">
      <c r="A70" s="117"/>
      <c r="B70" s="117"/>
      <c r="C70" s="118"/>
      <c r="D70" s="118"/>
      <c r="E70" s="118"/>
      <c r="F70" s="119"/>
      <c r="G70" s="120"/>
      <c r="H70" s="120"/>
      <c r="I70" s="118"/>
      <c r="J70" s="117"/>
      <c r="K70" s="117"/>
      <c r="L70" s="117"/>
      <c r="M70" s="121"/>
      <c r="N70" s="120"/>
      <c r="O70" s="120"/>
      <c r="P70" s="57"/>
      <c r="Q70" s="122"/>
      <c r="R70" s="57"/>
      <c r="S70" s="122"/>
      <c r="T70" s="57"/>
      <c r="U70" s="123"/>
      <c r="V70" s="123"/>
      <c r="W70" s="57"/>
      <c r="X70" s="123"/>
      <c r="Y70" s="123"/>
      <c r="Z70" s="123"/>
      <c r="AA70" s="122"/>
      <c r="AB70" s="123"/>
      <c r="AC70" s="124"/>
      <c r="AD70" s="123"/>
      <c r="AE70" s="122"/>
      <c r="AF70" s="122"/>
      <c r="AG70" s="123"/>
      <c r="AH70" s="33"/>
      <c r="AI70" s="29"/>
      <c r="AJ70" s="122"/>
    </row>
    <row r="71" ht="15.75" customHeight="1">
      <c r="A71" s="125" t="s">
        <v>153</v>
      </c>
      <c r="B71" s="125"/>
      <c r="C71" s="126"/>
      <c r="D71" s="126"/>
      <c r="E71" s="127">
        <f t="shared" ref="E71:F71" si="52">SUM(E13:E68)</f>
        <v>262395.3333</v>
      </c>
      <c r="F71" s="127">
        <f t="shared" si="52"/>
        <v>261517</v>
      </c>
      <c r="G71" s="128">
        <f t="shared" ref="G71:H71" si="53">SUM(G13:G70)</f>
        <v>1</v>
      </c>
      <c r="H71" s="128">
        <f t="shared" si="53"/>
        <v>1</v>
      </c>
      <c r="I71" s="129">
        <f>SUM(I13:I68)</f>
        <v>-1.483350034</v>
      </c>
      <c r="J71" s="125"/>
      <c r="K71" s="125"/>
      <c r="L71" s="125"/>
      <c r="M71" s="127">
        <f>SUM(M13:M68)</f>
        <v>116441</v>
      </c>
      <c r="N71" s="128">
        <f>SUM(N13:N70)</f>
        <v>1</v>
      </c>
      <c r="O71" s="128"/>
      <c r="P71" s="130">
        <f>SUM(P13:P69)</f>
        <v>198229.7067</v>
      </c>
      <c r="Q71" s="131"/>
      <c r="R71" s="132">
        <f>SUM(R13:R69)</f>
        <v>217127.6277</v>
      </c>
      <c r="S71" s="131"/>
      <c r="T71" s="132">
        <f>SUM(T13:T69)</f>
        <v>221470.1802</v>
      </c>
      <c r="U71" s="133"/>
      <c r="V71" s="133"/>
      <c r="W71" s="132">
        <f>SUM(W13:W69)</f>
        <v>227746.8954</v>
      </c>
      <c r="X71" s="133"/>
      <c r="Y71" s="132">
        <f>SUM(W71-T71)</f>
        <v>6276.715138</v>
      </c>
      <c r="Z71" s="134">
        <f>SUM(W71-T71)/T71</f>
        <v>0.02834112986</v>
      </c>
      <c r="AA71" s="132">
        <f>SUM(AA13:AA69)</f>
        <v>249322.0128</v>
      </c>
      <c r="AB71" s="133"/>
      <c r="AC71" s="135"/>
      <c r="AD71" s="134" t="str">
        <f>SUM(AA71-X71)/X71</f>
        <v>#DIV/0!</v>
      </c>
      <c r="AE71" s="132"/>
      <c r="AF71" s="132">
        <f>SUM(AF13:AF69)</f>
        <v>262812.1169</v>
      </c>
      <c r="AG71" s="133"/>
      <c r="AH71" s="136">
        <f>SUM(AH13:AH69)</f>
        <v>13490.10407</v>
      </c>
      <c r="AI71" s="137">
        <f>MEDIAN(AI13:AI68)</f>
        <v>0.08261456186</v>
      </c>
      <c r="AJ71" s="138"/>
    </row>
    <row r="72" ht="15.75" customHeight="1">
      <c r="A72" s="69" t="s">
        <v>154</v>
      </c>
      <c r="B72" s="69">
        <f>COUNTIF(B13:B68,"*")</f>
        <v>54</v>
      </c>
      <c r="C72" s="71"/>
      <c r="D72" s="71"/>
      <c r="E72" s="43">
        <f t="shared" ref="E72:F72" si="54">COUNTIF(E13:E69,"&gt;1")</f>
        <v>52</v>
      </c>
      <c r="F72" s="43">
        <f t="shared" si="54"/>
        <v>52</v>
      </c>
      <c r="G72" s="139"/>
      <c r="H72" s="139"/>
      <c r="I72" s="71"/>
      <c r="J72" s="69"/>
      <c r="K72" s="69"/>
      <c r="L72" s="69"/>
      <c r="M72" s="61"/>
      <c r="N72" s="139"/>
      <c r="O72" s="139"/>
      <c r="P72" s="43">
        <f>COUNTIF(P13:P69,"&gt;1")</f>
        <v>50</v>
      </c>
      <c r="Q72" s="43"/>
      <c r="R72" s="43">
        <f>COUNTIF(R13:R69,"&gt;1")</f>
        <v>54</v>
      </c>
      <c r="S72" s="43"/>
      <c r="T72" s="43">
        <f>COUNTIF(T13:T69,"&gt;1")</f>
        <v>54</v>
      </c>
      <c r="U72" s="40"/>
      <c r="V72" s="40"/>
      <c r="W72" s="43">
        <f>COUNTIF(W13:W69,"&gt;1")</f>
        <v>54</v>
      </c>
      <c r="X72" s="40"/>
      <c r="Y72" s="40"/>
      <c r="Z72" s="40"/>
      <c r="AA72" s="43">
        <f>COUNTIF(AA13:AA69,"&gt;1")</f>
        <v>54</v>
      </c>
      <c r="AB72" s="40"/>
      <c r="AC72" s="42"/>
      <c r="AD72" s="40"/>
      <c r="AE72" s="69"/>
      <c r="AF72" s="43">
        <f>COUNTIF(AF13:AF69,"&gt;1")</f>
        <v>53</v>
      </c>
      <c r="AG72" s="40"/>
      <c r="AH72" s="140"/>
      <c r="AI72" s="141"/>
      <c r="AJ72" s="43"/>
    </row>
    <row r="73" ht="15.75" customHeight="1">
      <c r="A73" s="83" t="s">
        <v>155</v>
      </c>
      <c r="B73" s="69"/>
      <c r="C73" s="71"/>
      <c r="D73" s="71"/>
      <c r="E73" s="71"/>
      <c r="F73" s="142"/>
      <c r="G73" s="139"/>
      <c r="H73" s="139"/>
      <c r="I73" s="143"/>
      <c r="J73" s="69"/>
      <c r="K73" s="69"/>
      <c r="L73" s="69"/>
      <c r="M73" s="61"/>
      <c r="N73" s="139"/>
      <c r="O73" s="139"/>
      <c r="P73" s="144"/>
      <c r="Q73" s="43"/>
      <c r="R73" s="43"/>
      <c r="S73" s="43"/>
      <c r="T73" s="43"/>
      <c r="U73" s="40"/>
      <c r="V73" s="40"/>
      <c r="W73" s="43"/>
      <c r="X73" s="40"/>
      <c r="Y73" s="40"/>
      <c r="Z73" s="40"/>
      <c r="AA73" s="61"/>
      <c r="AB73" s="40"/>
      <c r="AC73" s="42"/>
      <c r="AD73" s="40"/>
      <c r="AE73" s="43"/>
      <c r="AF73" s="61"/>
      <c r="AG73" s="40"/>
      <c r="AH73" s="33"/>
      <c r="AI73" s="29"/>
      <c r="AJ73" s="43"/>
    </row>
    <row r="74" ht="15.75" customHeight="1">
      <c r="A74" s="69"/>
      <c r="B74" s="69"/>
      <c r="C74" s="71"/>
      <c r="D74" s="71"/>
      <c r="E74" s="71"/>
      <c r="F74" s="142"/>
      <c r="G74" s="139"/>
      <c r="H74" s="139"/>
      <c r="I74" s="71"/>
      <c r="J74" s="69"/>
      <c r="K74" s="69"/>
      <c r="L74" s="69"/>
      <c r="M74" s="61"/>
      <c r="N74" s="139"/>
      <c r="O74" s="139"/>
      <c r="P74" s="144"/>
      <c r="Q74" s="43"/>
      <c r="R74" s="43"/>
      <c r="S74" s="43"/>
      <c r="T74" s="43"/>
      <c r="U74" s="40"/>
      <c r="V74" s="40"/>
      <c r="W74" s="43"/>
      <c r="X74" s="40"/>
      <c r="Y74" s="40"/>
      <c r="Z74" s="40"/>
      <c r="AA74" s="43"/>
      <c r="AB74" s="40"/>
      <c r="AC74" s="42"/>
      <c r="AD74" s="40"/>
      <c r="AE74" s="43"/>
      <c r="AF74" s="43"/>
      <c r="AG74" s="40"/>
      <c r="AH74" s="33"/>
      <c r="AI74" s="29"/>
      <c r="AJ74" s="43"/>
    </row>
    <row r="75" ht="15.75" customHeight="1">
      <c r="A75" s="69" t="s">
        <v>156</v>
      </c>
      <c r="B75" s="69"/>
      <c r="C75" s="71"/>
      <c r="D75" s="71"/>
      <c r="E75" s="71"/>
      <c r="F75" s="142"/>
      <c r="G75" s="139"/>
      <c r="H75" s="139"/>
      <c r="I75" s="71"/>
      <c r="J75" s="69"/>
      <c r="K75" s="69"/>
      <c r="L75" s="69"/>
      <c r="M75" s="61"/>
      <c r="N75" s="139"/>
      <c r="O75" s="139"/>
      <c r="P75" s="145">
        <v>218234.62</v>
      </c>
      <c r="Q75" s="43"/>
      <c r="R75" s="88">
        <v>213467.59999999998</v>
      </c>
      <c r="S75" s="43"/>
      <c r="T75" s="88">
        <v>213467.59999999998</v>
      </c>
      <c r="U75" s="40"/>
      <c r="V75" s="40"/>
      <c r="W75" s="88">
        <v>213467.59999999998</v>
      </c>
      <c r="X75" s="40"/>
      <c r="Y75" s="40"/>
      <c r="Z75" s="40"/>
      <c r="AA75" s="88"/>
      <c r="AB75" s="40"/>
      <c r="AC75" s="42"/>
      <c r="AD75" s="40"/>
      <c r="AE75" s="88"/>
      <c r="AF75" s="88"/>
      <c r="AG75" s="40"/>
      <c r="AH75" s="63"/>
      <c r="AI75" s="29"/>
      <c r="AJ75" s="43"/>
    </row>
    <row r="76" ht="15.75" customHeight="1">
      <c r="A76" s="55" t="s">
        <v>157</v>
      </c>
      <c r="B76" s="55"/>
      <c r="C76" s="71"/>
      <c r="D76" s="71"/>
      <c r="E76" s="71"/>
      <c r="F76" s="142"/>
      <c r="G76" s="39"/>
      <c r="H76" s="39"/>
      <c r="I76" s="71"/>
      <c r="J76" s="55"/>
      <c r="K76" s="55"/>
      <c r="L76" s="55"/>
      <c r="M76" s="39"/>
      <c r="N76" s="39"/>
      <c r="O76" s="39"/>
      <c r="P76" s="39"/>
      <c r="Q76" s="39"/>
      <c r="R76" s="39">
        <f>SUM(R71-N71)/N71</f>
        <v>217126.6277</v>
      </c>
      <c r="S76" s="39"/>
      <c r="T76" s="39">
        <f>SUM(T71-P71)/P71</f>
        <v>0.1172401144</v>
      </c>
      <c r="U76" s="40"/>
      <c r="V76" s="40"/>
      <c r="W76" s="39" t="str">
        <f>SUM(W71-S71)/S71</f>
        <v>#DIV/0!</v>
      </c>
      <c r="X76" s="40"/>
      <c r="Y76" s="40"/>
      <c r="Z76" s="40"/>
      <c r="AA76" s="39"/>
      <c r="AB76" s="40"/>
      <c r="AC76" s="42"/>
      <c r="AD76" s="40"/>
      <c r="AE76" s="39"/>
      <c r="AF76" s="39"/>
      <c r="AG76" s="40"/>
      <c r="AH76" s="29"/>
      <c r="AI76" s="29"/>
      <c r="AJ76" s="39"/>
    </row>
    <row r="77" ht="15.75" customHeight="1">
      <c r="A77" s="43"/>
      <c r="B77" s="43"/>
      <c r="C77" s="15"/>
      <c r="D77" s="15"/>
      <c r="E77" s="15"/>
      <c r="F77" s="146"/>
      <c r="G77" s="139"/>
      <c r="H77" s="139"/>
      <c r="I77" s="15"/>
      <c r="J77" s="43"/>
      <c r="K77" s="43"/>
      <c r="L77" s="43"/>
      <c r="M77" s="61"/>
      <c r="N77" s="139"/>
      <c r="O77" s="139"/>
      <c r="P77" s="88">
        <f>SUM(P71-P75)</f>
        <v>-20004.91326</v>
      </c>
      <c r="Q77" s="43"/>
      <c r="R77" s="88">
        <f>SUM(R71-R75)</f>
        <v>3660.027676</v>
      </c>
      <c r="S77" s="43"/>
      <c r="T77" s="88">
        <f>SUM(T71-T75)</f>
        <v>8002.580229</v>
      </c>
      <c r="U77" s="40"/>
      <c r="V77" s="40"/>
      <c r="W77" s="88">
        <f>SUM(W71-W75)</f>
        <v>14279.29537</v>
      </c>
      <c r="X77" s="40"/>
      <c r="Y77" s="40"/>
      <c r="Z77" s="40"/>
      <c r="AA77" s="88"/>
      <c r="AB77" s="40"/>
      <c r="AC77" s="42"/>
      <c r="AD77" s="40"/>
      <c r="AE77" s="88"/>
      <c r="AF77" s="88"/>
      <c r="AG77" s="40"/>
      <c r="AH77" s="63"/>
      <c r="AI77" s="29"/>
      <c r="AJ77" s="43"/>
    </row>
    <row r="78" ht="15.75" customHeight="1">
      <c r="A78" s="147" t="s">
        <v>158</v>
      </c>
      <c r="B78" s="43"/>
      <c r="C78" s="15"/>
      <c r="D78" s="15"/>
      <c r="E78" s="15"/>
      <c r="F78" s="146"/>
      <c r="G78" s="139"/>
      <c r="H78" s="139"/>
      <c r="I78" s="15"/>
      <c r="J78" s="43"/>
      <c r="K78" s="43"/>
      <c r="L78" s="43"/>
      <c r="M78" s="61"/>
      <c r="N78" s="139"/>
      <c r="O78" s="139"/>
      <c r="P78" s="53"/>
      <c r="Q78" s="43"/>
      <c r="R78" s="43"/>
      <c r="S78" s="43"/>
      <c r="T78" s="43"/>
      <c r="U78" s="40">
        <f>MEDIAN(U13:U68)</f>
        <v>1.412701501</v>
      </c>
      <c r="V78" s="40"/>
      <c r="W78" s="43"/>
      <c r="X78" s="40">
        <f>MEDIAN(X13:X68)</f>
        <v>1.430098763</v>
      </c>
      <c r="Y78" s="40"/>
      <c r="Z78" s="40"/>
      <c r="AA78" s="40"/>
      <c r="AB78" s="40">
        <f>MEDIAN(AB13:AB68)</f>
        <v>1.599390425</v>
      </c>
      <c r="AC78" s="42"/>
      <c r="AD78" s="40"/>
      <c r="AE78" s="40"/>
      <c r="AF78" s="40"/>
      <c r="AG78" s="40">
        <f t="shared" ref="AG78:AI78" si="55">MEDIAN(AG13:AG68)</f>
        <v>1.627608249</v>
      </c>
      <c r="AH78" s="40">
        <f t="shared" si="55"/>
        <v>139.0006986</v>
      </c>
      <c r="AI78" s="40">
        <f t="shared" si="55"/>
        <v>0.08261456186</v>
      </c>
      <c r="AJ78" s="40"/>
    </row>
    <row r="79" ht="15.75" customHeight="1">
      <c r="A79" s="147" t="s">
        <v>159</v>
      </c>
      <c r="B79" s="43"/>
      <c r="C79" s="15"/>
      <c r="D79" s="15"/>
      <c r="E79" s="15"/>
      <c r="F79" s="146"/>
      <c r="G79" s="139"/>
      <c r="H79" s="139"/>
      <c r="I79" s="15"/>
      <c r="J79" s="43"/>
      <c r="K79" s="43"/>
      <c r="L79" s="43"/>
      <c r="M79" s="61"/>
      <c r="N79" s="139"/>
      <c r="O79" s="139"/>
      <c r="P79" s="53"/>
      <c r="Q79" s="43"/>
      <c r="R79" s="43"/>
      <c r="S79" s="43"/>
      <c r="T79" s="43"/>
      <c r="U79" s="40">
        <f>MIN(U13:U68)</f>
        <v>0.4954184504</v>
      </c>
      <c r="V79" s="40"/>
      <c r="W79" s="43"/>
      <c r="X79" s="40">
        <f>MIN(X13:X68)</f>
        <v>0.5057940408</v>
      </c>
      <c r="Y79" s="40"/>
      <c r="Z79" s="40"/>
      <c r="AA79" s="40"/>
      <c r="AB79" s="40">
        <f>MIN(AB13:AB68)</f>
        <v>0.5620297924</v>
      </c>
      <c r="AC79" s="42"/>
      <c r="AD79" s="40"/>
      <c r="AE79" s="40"/>
      <c r="AF79" s="40"/>
      <c r="AG79" s="40">
        <f t="shared" ref="AG79:AI79" si="56">MIN(AG13:AG68)</f>
        <v>0.6108926076</v>
      </c>
      <c r="AH79" s="40">
        <f t="shared" si="56"/>
        <v>-1492.304482</v>
      </c>
      <c r="AI79" s="40">
        <f t="shared" si="56"/>
        <v>-1</v>
      </c>
      <c r="AJ79" s="40"/>
    </row>
    <row r="80" ht="15.75" customHeight="1">
      <c r="A80" s="147" t="s">
        <v>160</v>
      </c>
      <c r="B80" s="43"/>
      <c r="C80" s="15"/>
      <c r="D80" s="15"/>
      <c r="E80" s="15"/>
      <c r="F80" s="146"/>
      <c r="G80" s="139"/>
      <c r="H80" s="139"/>
      <c r="I80" s="15"/>
      <c r="J80" s="43"/>
      <c r="K80" s="43"/>
      <c r="L80" s="43"/>
      <c r="M80" s="61"/>
      <c r="N80" s="139"/>
      <c r="O80" s="139"/>
      <c r="P80" s="53"/>
      <c r="Q80" s="43"/>
      <c r="R80" s="43"/>
      <c r="S80" s="43"/>
      <c r="T80" s="43"/>
      <c r="U80" s="40">
        <f>MAX(U13:U68)</f>
        <v>14.60593225</v>
      </c>
      <c r="V80" s="40"/>
      <c r="W80" s="43"/>
      <c r="X80" s="40">
        <f>MAX(X13:X68)</f>
        <v>14.78580269</v>
      </c>
      <c r="Y80" s="40"/>
      <c r="Z80" s="40"/>
      <c r="AA80" s="40"/>
      <c r="AB80" s="40">
        <f>MAX(AB13:AB68)</f>
        <v>14.77344036</v>
      </c>
      <c r="AC80" s="42"/>
      <c r="AD80" s="40"/>
      <c r="AE80" s="40"/>
      <c r="AF80" s="40"/>
      <c r="AG80" s="40">
        <f t="shared" ref="AG80:AI80" si="57">MAX(AG13:AG68)</f>
        <v>16.43019018</v>
      </c>
      <c r="AH80" s="40">
        <f t="shared" si="57"/>
        <v>1872.674754</v>
      </c>
      <c r="AI80" s="40">
        <f t="shared" si="57"/>
        <v>0.1929405777</v>
      </c>
      <c r="AJ80" s="40"/>
    </row>
    <row r="81" ht="15.75" customHeight="1">
      <c r="A81" s="148" t="s">
        <v>161</v>
      </c>
      <c r="B81" s="43"/>
      <c r="C81" s="15"/>
      <c r="D81" s="15"/>
      <c r="E81" s="15"/>
      <c r="F81" s="146"/>
      <c r="G81" s="139"/>
      <c r="H81" s="139"/>
      <c r="I81" s="15"/>
      <c r="J81" s="43"/>
      <c r="K81" s="43"/>
      <c r="L81" s="43"/>
      <c r="M81" s="61"/>
      <c r="N81" s="139"/>
      <c r="O81" s="139"/>
      <c r="P81" s="53"/>
      <c r="Q81" s="43"/>
      <c r="R81" s="43"/>
      <c r="S81" s="43"/>
      <c r="T81" s="43"/>
      <c r="U81" s="40"/>
      <c r="V81" s="40"/>
      <c r="W81" s="43"/>
      <c r="X81" s="40"/>
      <c r="Y81" s="40"/>
      <c r="Z81" s="40"/>
      <c r="AA81" s="40"/>
      <c r="AB81" s="40"/>
      <c r="AC81" s="42"/>
      <c r="AD81" s="40"/>
      <c r="AE81" s="40"/>
      <c r="AF81" s="40"/>
      <c r="AG81" s="40"/>
      <c r="AH81" s="30"/>
      <c r="AI81" s="29"/>
      <c r="AJ81" s="40"/>
    </row>
    <row r="82" ht="15.75" customHeight="1">
      <c r="A82" s="148" t="s">
        <v>162</v>
      </c>
      <c r="B82" s="43"/>
      <c r="C82" s="15"/>
      <c r="D82" s="15"/>
      <c r="E82" s="15"/>
      <c r="F82" s="146"/>
      <c r="G82" s="139"/>
      <c r="H82" s="139"/>
      <c r="I82" s="15"/>
      <c r="J82" s="43"/>
      <c r="K82" s="43"/>
      <c r="L82" s="43"/>
      <c r="M82" s="61"/>
      <c r="N82" s="139"/>
      <c r="O82" s="139"/>
      <c r="P82" s="53"/>
      <c r="Q82" s="43"/>
      <c r="R82" s="43"/>
      <c r="S82" s="43"/>
      <c r="T82" s="43"/>
      <c r="U82" s="40"/>
      <c r="V82" s="40"/>
      <c r="W82" s="43"/>
      <c r="X82" s="40"/>
      <c r="Y82" s="40"/>
      <c r="Z82" s="40"/>
      <c r="AA82" s="40"/>
      <c r="AB82" s="40"/>
      <c r="AC82" s="42"/>
      <c r="AD82" s="40"/>
      <c r="AE82" s="40"/>
      <c r="AF82" s="40"/>
      <c r="AG82" s="40"/>
      <c r="AH82" s="30"/>
      <c r="AI82" s="29"/>
      <c r="AJ82" s="40"/>
    </row>
    <row r="83" ht="15.75" customHeight="1">
      <c r="A83" s="148"/>
      <c r="B83" s="43"/>
      <c r="C83" s="15"/>
      <c r="D83" s="15"/>
      <c r="E83" s="15"/>
      <c r="F83" s="146"/>
      <c r="G83" s="139"/>
      <c r="H83" s="139"/>
      <c r="I83" s="15"/>
      <c r="J83" s="43"/>
      <c r="K83" s="43"/>
      <c r="L83" s="43"/>
      <c r="M83" s="61"/>
      <c r="N83" s="139"/>
      <c r="O83" s="139"/>
      <c r="P83" s="53"/>
      <c r="Q83" s="43"/>
      <c r="R83" s="43"/>
      <c r="S83" s="43"/>
      <c r="T83" s="43"/>
      <c r="U83" s="40"/>
      <c r="V83" s="40"/>
      <c r="W83" s="43"/>
      <c r="X83" s="40"/>
      <c r="Y83" s="40"/>
      <c r="Z83" s="40"/>
      <c r="AA83" s="40"/>
      <c r="AB83" s="40"/>
      <c r="AC83" s="42"/>
      <c r="AD83" s="40"/>
      <c r="AE83" s="40"/>
      <c r="AF83" s="40"/>
      <c r="AG83" s="40"/>
      <c r="AH83" s="30"/>
      <c r="AI83" s="29"/>
      <c r="AJ83" s="40"/>
    </row>
    <row r="84" ht="15.75" customHeight="1">
      <c r="A84" s="149" t="s">
        <v>163</v>
      </c>
      <c r="B84" s="150" t="s">
        <v>164</v>
      </c>
      <c r="C84" s="151"/>
      <c r="D84" s="151"/>
      <c r="E84" s="61">
        <f t="shared" ref="E84:F84" si="58">SUM(E13,E15,E21,E31,E46,E53,E54,E57,E63,E68,E62)</f>
        <v>54837.66667</v>
      </c>
      <c r="F84" s="61">
        <f t="shared" si="58"/>
        <v>54326</v>
      </c>
      <c r="G84" s="139"/>
      <c r="H84" s="139"/>
      <c r="I84" s="151"/>
      <c r="J84" s="149"/>
      <c r="K84" s="149"/>
      <c r="L84" s="149"/>
      <c r="M84" s="61">
        <f>SUM(M13,M15,M21,M31,M46,M53,M54,M57,M63,M68,M62)</f>
        <v>16112.33333</v>
      </c>
      <c r="N84" s="139"/>
      <c r="O84" s="139"/>
      <c r="P84" s="61">
        <f>SUM(P13,P15,P21,P31,P46,P53,P54,P57,P63,P68,P62)</f>
        <v>43276.94973</v>
      </c>
      <c r="Q84" s="43"/>
      <c r="R84" s="61">
        <f>SUM(R13,R15,R21,R31,R46,R53,R54,R57,R63,R68,R62)</f>
        <v>46089.95146</v>
      </c>
      <c r="S84" s="43"/>
      <c r="T84" s="61">
        <f>SUM(T13,T15,T21,T31,T46,T53,T54,T57,T63,T68,T62)</f>
        <v>47011.75049</v>
      </c>
      <c r="U84" s="40"/>
      <c r="V84" s="40"/>
      <c r="W84" s="61">
        <f>SUM(W13,W15,W21,W31,W46,W53,W54,W57,W63,W68,W62)</f>
        <v>47980.52537</v>
      </c>
      <c r="X84" s="40"/>
      <c r="Y84" s="40"/>
      <c r="Z84" s="40"/>
      <c r="AA84" s="61">
        <f>SUM(AA13,AA15,AA21,AA31,AA46,AA53,AA54,AA57,AA63,AA68,AA62)</f>
        <v>53163.10065</v>
      </c>
      <c r="AB84" s="40"/>
      <c r="AC84" s="42"/>
      <c r="AD84" s="40"/>
      <c r="AE84" s="61"/>
      <c r="AF84" s="61">
        <f>SUM(AF13,AF15,AF21,AF31,AF46,AF53,AF54,AF57,AF63,AF68,AF62)</f>
        <v>56968.28083</v>
      </c>
      <c r="AG84" s="40"/>
      <c r="AH84" s="63">
        <f>SUM(AF84-T84)</f>
        <v>9956.530337</v>
      </c>
      <c r="AI84" s="29">
        <f>SUM(AF84-T84)/T84</f>
        <v>0.2117881218</v>
      </c>
      <c r="AJ84" s="40"/>
    </row>
    <row r="85" ht="15.75" customHeight="1">
      <c r="A85" s="43"/>
      <c r="B85" s="43"/>
      <c r="C85" s="15"/>
      <c r="D85" s="15"/>
      <c r="E85" s="15"/>
      <c r="F85" s="146"/>
      <c r="G85" s="139"/>
      <c r="H85" s="139"/>
      <c r="I85" s="15"/>
      <c r="J85" s="43"/>
      <c r="K85" s="43"/>
      <c r="L85" s="43"/>
      <c r="M85" s="61"/>
      <c r="N85" s="139"/>
      <c r="O85" s="139"/>
      <c r="P85" s="53"/>
      <c r="Q85" s="43"/>
      <c r="R85" s="43"/>
      <c r="S85" s="43"/>
      <c r="T85" s="43"/>
      <c r="U85" s="40"/>
      <c r="V85" s="40"/>
      <c r="W85" s="43"/>
      <c r="X85" s="40"/>
      <c r="Y85" s="40"/>
      <c r="Z85" s="40"/>
      <c r="AA85" s="40"/>
      <c r="AB85" s="40"/>
      <c r="AC85" s="42"/>
      <c r="AD85" s="40"/>
      <c r="AE85" s="40"/>
      <c r="AF85" s="40"/>
      <c r="AG85" s="40"/>
      <c r="AH85" s="30"/>
      <c r="AI85" s="29"/>
      <c r="AJ85" s="40"/>
    </row>
    <row r="86" ht="15.75" customHeight="1">
      <c r="A86" s="43"/>
      <c r="B86" s="43"/>
      <c r="C86" s="15"/>
      <c r="D86" s="15"/>
      <c r="E86" s="15"/>
      <c r="F86" s="146"/>
      <c r="G86" s="139"/>
      <c r="H86" s="139"/>
      <c r="I86" s="15"/>
      <c r="J86" s="43"/>
      <c r="K86" s="43"/>
      <c r="L86" s="43"/>
      <c r="M86" s="61"/>
      <c r="N86" s="139"/>
      <c r="O86" s="139"/>
      <c r="P86" s="53"/>
      <c r="Q86" s="43"/>
      <c r="R86" s="43"/>
      <c r="S86" s="43"/>
      <c r="T86" s="43"/>
      <c r="U86" s="40"/>
      <c r="V86" s="40"/>
      <c r="W86" s="43"/>
      <c r="X86" s="40"/>
      <c r="Y86" s="40"/>
      <c r="Z86" s="40"/>
      <c r="AA86" s="61">
        <f>countif(AA13:AA68,"&gt;10000")</f>
        <v>11</v>
      </c>
      <c r="AB86" s="40"/>
      <c r="AC86" s="42"/>
      <c r="AD86" s="40"/>
      <c r="AE86" s="40"/>
      <c r="AF86" s="61">
        <f>countif(AF13:AF68,"&gt;10000")</f>
        <v>11</v>
      </c>
      <c r="AG86" s="40"/>
      <c r="AH86" s="30"/>
      <c r="AI86" s="29"/>
      <c r="AJ86" s="40"/>
    </row>
    <row r="87" ht="15.75" customHeight="1">
      <c r="A87" s="43"/>
      <c r="B87" s="43"/>
      <c r="C87" s="146"/>
      <c r="D87" s="15"/>
      <c r="E87" s="15"/>
      <c r="F87" s="146"/>
      <c r="G87" s="139"/>
      <c r="H87" s="139"/>
      <c r="I87" s="15"/>
      <c r="J87" s="43"/>
      <c r="K87" s="43"/>
      <c r="L87" s="43"/>
      <c r="M87" s="61"/>
      <c r="N87" s="139"/>
      <c r="O87" s="139"/>
      <c r="P87" s="53"/>
      <c r="Q87" s="43"/>
      <c r="R87" s="43"/>
      <c r="S87" s="43"/>
      <c r="T87" s="43"/>
      <c r="U87" s="40"/>
      <c r="V87" s="40"/>
      <c r="W87" s="43"/>
      <c r="X87" s="40"/>
      <c r="Y87" s="40"/>
      <c r="Z87" s="40"/>
      <c r="AA87" s="40"/>
      <c r="AB87" s="40"/>
      <c r="AC87" s="42"/>
      <c r="AD87" s="40"/>
      <c r="AE87" s="40"/>
      <c r="AF87" s="40"/>
      <c r="AG87" s="40"/>
      <c r="AH87" s="30"/>
      <c r="AI87" s="29"/>
      <c r="AJ87" s="40"/>
    </row>
    <row r="88" ht="15.75" customHeight="1">
      <c r="A88" s="70" t="s">
        <v>45</v>
      </c>
      <c r="B88" s="43"/>
      <c r="C88" s="146">
        <f>COUNTIF($C$13:$C$68,"*MODERATE*")</f>
        <v>2</v>
      </c>
      <c r="D88" s="152">
        <f t="shared" ref="D88:D99" si="59">sum(C88/$C$100)</f>
        <v>0.03703703704</v>
      </c>
      <c r="E88" s="15"/>
      <c r="F88" s="146"/>
      <c r="G88" s="139"/>
      <c r="H88" s="139"/>
      <c r="I88" s="15"/>
      <c r="J88" s="43"/>
      <c r="K88" s="43"/>
      <c r="L88" s="43"/>
      <c r="M88" s="61"/>
      <c r="N88" s="139"/>
      <c r="O88" s="139"/>
      <c r="P88" s="145"/>
      <c r="Q88" s="43"/>
      <c r="R88" s="88"/>
      <c r="S88" s="43"/>
      <c r="T88" s="88"/>
      <c r="U88" s="40"/>
      <c r="V88" s="40"/>
      <c r="W88" s="88"/>
      <c r="X88" s="40"/>
      <c r="Y88" s="40"/>
      <c r="Z88" s="40"/>
      <c r="AA88" s="40"/>
      <c r="AB88" s="40"/>
      <c r="AC88" s="42"/>
      <c r="AD88" s="40"/>
      <c r="AE88" s="40"/>
      <c r="AF88" s="40"/>
      <c r="AG88" s="40"/>
      <c r="AH88" s="30"/>
      <c r="AI88" s="29"/>
      <c r="AJ88" s="40"/>
    </row>
    <row r="89" ht="15.75" customHeight="1">
      <c r="A89" s="70" t="s">
        <v>48</v>
      </c>
      <c r="B89" s="43"/>
      <c r="C89" s="146">
        <f>COUNTIF($C$13:$C$68,"*SMALL*")</f>
        <v>2</v>
      </c>
      <c r="D89" s="152">
        <f t="shared" si="59"/>
        <v>0.03703703704</v>
      </c>
      <c r="E89" s="15"/>
      <c r="F89" s="146"/>
      <c r="G89" s="139"/>
      <c r="H89" s="139"/>
      <c r="I89" s="15"/>
      <c r="J89" s="43"/>
      <c r="K89" s="43"/>
      <c r="L89" s="43"/>
      <c r="M89" s="61"/>
      <c r="N89" s="139"/>
      <c r="O89" s="139"/>
      <c r="P89" s="145"/>
      <c r="Q89" s="43"/>
      <c r="R89" s="88"/>
      <c r="S89" s="43"/>
      <c r="T89" s="88"/>
      <c r="U89" s="40"/>
      <c r="V89" s="40"/>
      <c r="W89" s="88"/>
      <c r="X89" s="40"/>
      <c r="Y89" s="40"/>
      <c r="Z89" s="40"/>
      <c r="AA89" s="40"/>
      <c r="AB89" s="40"/>
      <c r="AC89" s="42"/>
      <c r="AD89" s="40"/>
      <c r="AE89" s="40"/>
      <c r="AF89" s="40"/>
      <c r="AG89" s="40"/>
      <c r="AH89" s="30"/>
      <c r="AI89" s="29"/>
      <c r="AJ89" s="40"/>
    </row>
    <row r="90" ht="15.75" customHeight="1">
      <c r="A90" s="50" t="s">
        <v>59</v>
      </c>
      <c r="B90" s="43"/>
      <c r="C90" s="146">
        <f>COUNTIF($C$13:$C$68,"*ILL*")</f>
        <v>6</v>
      </c>
      <c r="D90" s="152">
        <f t="shared" si="59"/>
        <v>0.1111111111</v>
      </c>
      <c r="E90" s="15"/>
      <c r="F90" s="146"/>
      <c r="G90" s="139"/>
      <c r="H90" s="139"/>
      <c r="I90" s="15"/>
      <c r="J90" s="43"/>
      <c r="K90" s="43"/>
      <c r="L90" s="43"/>
      <c r="M90" s="61"/>
      <c r="N90" s="139"/>
      <c r="O90" s="139"/>
      <c r="P90" s="145"/>
      <c r="Q90" s="43"/>
      <c r="R90" s="88"/>
      <c r="S90" s="43"/>
      <c r="T90" s="88"/>
      <c r="U90" s="40"/>
      <c r="V90" s="40"/>
      <c r="W90" s="88"/>
      <c r="X90" s="40"/>
      <c r="Y90" s="40"/>
      <c r="Z90" s="40"/>
      <c r="AA90" s="40"/>
      <c r="AB90" s="40"/>
      <c r="AC90" s="42"/>
      <c r="AD90" s="40"/>
      <c r="AE90" s="40"/>
      <c r="AF90" s="40"/>
      <c r="AG90" s="40"/>
      <c r="AH90" s="30"/>
      <c r="AI90" s="29"/>
      <c r="AJ90" s="40"/>
    </row>
    <row r="91" ht="15.75" customHeight="1">
      <c r="A91" s="67" t="s">
        <v>39</v>
      </c>
      <c r="B91" s="43"/>
      <c r="C91" s="146">
        <f>COUNTIF($C$13:$C$68,"*Public  (750-2K)*")</f>
        <v>9</v>
      </c>
      <c r="D91" s="152">
        <f t="shared" si="59"/>
        <v>0.1666666667</v>
      </c>
      <c r="E91" s="15"/>
      <c r="F91" s="146"/>
      <c r="G91" s="139"/>
      <c r="H91" s="139"/>
      <c r="I91" s="15"/>
      <c r="J91" s="43"/>
      <c r="K91" s="43"/>
      <c r="L91" s="43"/>
      <c r="M91" s="61"/>
      <c r="N91" s="139"/>
      <c r="O91" s="139"/>
      <c r="P91" s="145"/>
      <c r="Q91" s="43"/>
      <c r="R91" s="88"/>
      <c r="S91" s="43"/>
      <c r="T91" s="88"/>
      <c r="U91" s="40"/>
      <c r="V91" s="40"/>
      <c r="W91" s="88"/>
      <c r="X91" s="40"/>
      <c r="Y91" s="40"/>
      <c r="Z91" s="40"/>
      <c r="AA91" s="40"/>
      <c r="AB91" s="40"/>
      <c r="AC91" s="42"/>
      <c r="AD91" s="40"/>
      <c r="AE91" s="40"/>
      <c r="AF91" s="40"/>
      <c r="AG91" s="40"/>
      <c r="AH91" s="30"/>
      <c r="AI91" s="29"/>
      <c r="AJ91" s="40"/>
    </row>
    <row r="92" ht="15.75" customHeight="1">
      <c r="A92" s="49" t="s">
        <v>34</v>
      </c>
      <c r="B92" s="43"/>
      <c r="C92" s="146">
        <f>COUNTIF($C$13:$C$68,"*Public (&lt; 750)*")</f>
        <v>6</v>
      </c>
      <c r="D92" s="152">
        <f t="shared" si="59"/>
        <v>0.1111111111</v>
      </c>
      <c r="E92" s="15"/>
      <c r="F92" s="146"/>
      <c r="G92" s="139"/>
      <c r="H92" s="139"/>
      <c r="I92" s="15"/>
      <c r="J92" s="43"/>
      <c r="K92" s="43"/>
      <c r="L92" s="43"/>
      <c r="M92" s="61"/>
      <c r="N92" s="139"/>
      <c r="O92" s="139"/>
      <c r="P92" s="145"/>
      <c r="Q92" s="43"/>
      <c r="R92" s="88"/>
      <c r="S92" s="43"/>
      <c r="T92" s="88"/>
      <c r="U92" s="40"/>
      <c r="V92" s="40"/>
      <c r="W92" s="88"/>
      <c r="X92" s="40"/>
      <c r="Y92" s="40"/>
      <c r="Z92" s="40"/>
      <c r="AA92" s="40"/>
      <c r="AB92" s="40"/>
      <c r="AC92" s="42"/>
      <c r="AD92" s="40"/>
      <c r="AE92" s="40"/>
      <c r="AF92" s="40"/>
      <c r="AG92" s="40"/>
      <c r="AH92" s="30"/>
      <c r="AI92" s="29"/>
      <c r="AJ92" s="40"/>
    </row>
    <row r="93" ht="15.75" customHeight="1">
      <c r="A93" s="79" t="s">
        <v>62</v>
      </c>
      <c r="B93" s="43"/>
      <c r="C93" s="146">
        <f>COUNTIF($C$13:$C$68,"*2K - 4K*")</f>
        <v>6</v>
      </c>
      <c r="D93" s="152">
        <f t="shared" si="59"/>
        <v>0.1111111111</v>
      </c>
      <c r="E93" s="15"/>
      <c r="F93" s="146"/>
      <c r="G93" s="139"/>
      <c r="H93" s="139"/>
      <c r="I93" s="15"/>
      <c r="J93" s="43"/>
      <c r="K93" s="43"/>
      <c r="L93" s="43"/>
      <c r="M93" s="61"/>
      <c r="N93" s="139"/>
      <c r="O93" s="139"/>
      <c r="P93" s="145"/>
      <c r="Q93" s="43"/>
      <c r="R93" s="88"/>
      <c r="S93" s="43"/>
      <c r="T93" s="88"/>
      <c r="U93" s="40"/>
      <c r="V93" s="40"/>
      <c r="W93" s="88"/>
      <c r="X93" s="40"/>
      <c r="Y93" s="40"/>
      <c r="Z93" s="40"/>
      <c r="AA93" s="40"/>
      <c r="AB93" s="40"/>
      <c r="AC93" s="42"/>
      <c r="AD93" s="40"/>
      <c r="AE93" s="40"/>
      <c r="AF93" s="40"/>
      <c r="AG93" s="40"/>
      <c r="AH93" s="30"/>
      <c r="AI93" s="29"/>
      <c r="AJ93" s="40"/>
    </row>
    <row r="94" ht="15.75" customHeight="1">
      <c r="A94" s="84" t="s">
        <v>71</v>
      </c>
      <c r="B94" s="43"/>
      <c r="C94" s="146">
        <f>COUNTIF($C$13:$C$68,"*4K - 7500*")</f>
        <v>2</v>
      </c>
      <c r="D94" s="152">
        <f t="shared" si="59"/>
        <v>0.03703703704</v>
      </c>
      <c r="E94" s="15"/>
      <c r="F94" s="146"/>
      <c r="G94" s="139"/>
      <c r="H94" s="139"/>
      <c r="I94" s="15"/>
      <c r="J94" s="43"/>
      <c r="K94" s="43"/>
      <c r="L94" s="43"/>
      <c r="M94" s="61"/>
      <c r="N94" s="139"/>
      <c r="O94" s="139"/>
      <c r="P94" s="145"/>
      <c r="Q94" s="43"/>
      <c r="R94" s="88"/>
      <c r="S94" s="43"/>
      <c r="T94" s="88"/>
      <c r="U94" s="40"/>
      <c r="V94" s="40"/>
      <c r="W94" s="88"/>
      <c r="X94" s="40"/>
      <c r="Y94" s="40"/>
      <c r="Z94" s="40"/>
      <c r="AA94" s="40"/>
      <c r="AB94" s="40"/>
      <c r="AC94" s="42"/>
      <c r="AD94" s="40"/>
      <c r="AE94" s="40"/>
      <c r="AF94" s="40"/>
      <c r="AG94" s="40"/>
      <c r="AH94" s="30"/>
      <c r="AI94" s="29"/>
      <c r="AJ94" s="40"/>
    </row>
    <row r="95" ht="15.75" customHeight="1">
      <c r="A95" s="107" t="s">
        <v>107</v>
      </c>
      <c r="B95" s="43"/>
      <c r="C95" s="146">
        <f>COUNTIF($C$13:$C$68,"*Public (7.5K - 15K)*")</f>
        <v>4</v>
      </c>
      <c r="D95" s="152">
        <f t="shared" si="59"/>
        <v>0.07407407407</v>
      </c>
      <c r="E95" s="15"/>
      <c r="F95" s="146"/>
      <c r="G95" s="139"/>
      <c r="H95" s="139"/>
      <c r="I95" s="15"/>
      <c r="J95" s="43"/>
      <c r="K95" s="43"/>
      <c r="L95" s="43"/>
      <c r="M95" s="61"/>
      <c r="N95" s="139"/>
      <c r="O95" s="139"/>
      <c r="P95" s="145"/>
      <c r="Q95" s="43"/>
      <c r="R95" s="88"/>
      <c r="S95" s="43"/>
      <c r="T95" s="88"/>
      <c r="U95" s="40"/>
      <c r="V95" s="40"/>
      <c r="W95" s="88"/>
      <c r="X95" s="40"/>
      <c r="Y95" s="40"/>
      <c r="Z95" s="40"/>
      <c r="AA95" s="40"/>
      <c r="AB95" s="40"/>
      <c r="AC95" s="42"/>
      <c r="AD95" s="40"/>
      <c r="AE95" s="40"/>
      <c r="AF95" s="40"/>
      <c r="AG95" s="40"/>
      <c r="AH95" s="30"/>
      <c r="AI95" s="29"/>
      <c r="AJ95" s="40"/>
    </row>
    <row r="96" ht="15.75" customHeight="1">
      <c r="A96" s="70" t="s">
        <v>42</v>
      </c>
      <c r="B96" s="43"/>
      <c r="C96" s="146">
        <f>COUNTIF($C$13:$C$68,"*30K*")</f>
        <v>7</v>
      </c>
      <c r="D96" s="152">
        <f t="shared" si="59"/>
        <v>0.1296296296</v>
      </c>
      <c r="E96" s="15"/>
      <c r="F96" s="146"/>
      <c r="G96" s="139"/>
      <c r="H96" s="139"/>
      <c r="I96" s="15"/>
      <c r="J96" s="43"/>
      <c r="K96" s="43"/>
      <c r="L96" s="43"/>
      <c r="M96" s="61"/>
      <c r="N96" s="139"/>
      <c r="O96" s="139"/>
      <c r="P96" s="145"/>
      <c r="Q96" s="43"/>
      <c r="R96" s="88"/>
      <c r="S96" s="43"/>
      <c r="T96" s="88"/>
      <c r="U96" s="40"/>
      <c r="V96" s="40"/>
      <c r="W96" s="88"/>
      <c r="X96" s="40"/>
      <c r="Y96" s="40"/>
      <c r="Z96" s="40"/>
      <c r="AA96" s="40"/>
      <c r="AB96" s="40"/>
      <c r="AC96" s="42"/>
      <c r="AD96" s="40"/>
      <c r="AE96" s="40"/>
      <c r="AF96" s="40"/>
      <c r="AG96" s="40"/>
      <c r="AH96" s="30"/>
      <c r="AI96" s="29"/>
      <c r="AJ96" s="40"/>
    </row>
    <row r="97" ht="15.75" customHeight="1">
      <c r="A97" s="77" t="s">
        <v>51</v>
      </c>
      <c r="B97" s="43"/>
      <c r="C97" s="146">
        <f>COUNTIF($C$13:$C$68,"*Schools (&lt; 500)*")</f>
        <v>5</v>
      </c>
      <c r="D97" s="152">
        <f t="shared" si="59"/>
        <v>0.09259259259</v>
      </c>
      <c r="E97" s="15"/>
      <c r="F97" s="146"/>
      <c r="G97" s="139"/>
      <c r="H97" s="139"/>
      <c r="I97" s="15"/>
      <c r="J97" s="43"/>
      <c r="K97" s="43"/>
      <c r="L97" s="43"/>
      <c r="M97" s="61"/>
      <c r="N97" s="139"/>
      <c r="O97" s="139"/>
      <c r="P97" s="145"/>
      <c r="Q97" s="43"/>
      <c r="R97" s="88"/>
      <c r="S97" s="43"/>
      <c r="T97" s="88"/>
      <c r="U97" s="40"/>
      <c r="V97" s="40"/>
      <c r="W97" s="88"/>
      <c r="X97" s="40"/>
      <c r="Y97" s="40"/>
      <c r="Z97" s="40"/>
      <c r="AA97" s="40"/>
      <c r="AB97" s="40"/>
      <c r="AC97" s="42"/>
      <c r="AD97" s="40"/>
      <c r="AE97" s="40"/>
      <c r="AF97" s="40"/>
      <c r="AG97" s="40"/>
      <c r="AH97" s="30"/>
      <c r="AI97" s="29"/>
      <c r="AJ97" s="40"/>
    </row>
    <row r="98" ht="15.75" customHeight="1">
      <c r="A98" s="77" t="s">
        <v>54</v>
      </c>
      <c r="B98" s="43"/>
      <c r="C98" s="146">
        <f>COUNTIF($C$13:$C$68,"*Schools (&lt;100)*")</f>
        <v>3</v>
      </c>
      <c r="D98" s="152">
        <f t="shared" si="59"/>
        <v>0.05555555556</v>
      </c>
      <c r="E98" s="15"/>
      <c r="F98" s="146"/>
      <c r="G98" s="139"/>
      <c r="H98" s="139"/>
      <c r="I98" s="15"/>
      <c r="J98" s="43"/>
      <c r="K98" s="43"/>
      <c r="L98" s="43"/>
      <c r="M98" s="61"/>
      <c r="N98" s="139"/>
      <c r="O98" s="139"/>
      <c r="P98" s="145"/>
      <c r="Q98" s="43"/>
      <c r="R98" s="88"/>
      <c r="S98" s="43"/>
      <c r="T98" s="88"/>
      <c r="U98" s="40"/>
      <c r="V98" s="40"/>
      <c r="W98" s="88"/>
      <c r="X98" s="40"/>
      <c r="Y98" s="40"/>
      <c r="Z98" s="40"/>
      <c r="AA98" s="40"/>
      <c r="AB98" s="40"/>
      <c r="AC98" s="42"/>
      <c r="AD98" s="40"/>
      <c r="AE98" s="40"/>
      <c r="AF98" s="40"/>
      <c r="AG98" s="40"/>
      <c r="AH98" s="30"/>
      <c r="AI98" s="29"/>
      <c r="AJ98" s="40"/>
    </row>
    <row r="99" ht="15.75" customHeight="1">
      <c r="A99" s="89" t="s">
        <v>90</v>
      </c>
      <c r="B99" s="43"/>
      <c r="C99" s="146">
        <f>COUNTIF($C$13:$C$68,"*&gt; 500*")</f>
        <v>2</v>
      </c>
      <c r="D99" s="152">
        <f t="shared" si="59"/>
        <v>0.03703703704</v>
      </c>
      <c r="E99" s="15"/>
      <c r="F99" s="146"/>
      <c r="G99" s="139"/>
      <c r="H99" s="139"/>
      <c r="I99" s="15"/>
      <c r="J99" s="43"/>
      <c r="K99" s="43"/>
      <c r="L99" s="43"/>
      <c r="M99" s="61"/>
      <c r="N99" s="139"/>
      <c r="O99" s="139"/>
      <c r="P99" s="145"/>
      <c r="Q99" s="43"/>
      <c r="R99" s="88"/>
      <c r="S99" s="43"/>
      <c r="T99" s="88"/>
      <c r="U99" s="40"/>
      <c r="V99" s="40"/>
      <c r="W99" s="88"/>
      <c r="X99" s="40"/>
      <c r="Y99" s="40"/>
      <c r="Z99" s="40"/>
      <c r="AA99" s="40"/>
      <c r="AB99" s="40"/>
      <c r="AC99" s="42"/>
      <c r="AD99" s="40"/>
      <c r="AE99" s="40"/>
      <c r="AF99" s="40"/>
      <c r="AG99" s="40"/>
      <c r="AH99" s="30"/>
      <c r="AI99" s="29"/>
      <c r="AJ99" s="40"/>
    </row>
    <row r="100" ht="15.75" customHeight="1">
      <c r="A100" s="43"/>
      <c r="B100" s="43"/>
      <c r="C100" s="112">
        <f>SUM(C88:C99)</f>
        <v>54</v>
      </c>
      <c r="D100" s="15"/>
      <c r="E100" s="15"/>
      <c r="F100" s="146"/>
      <c r="G100" s="139"/>
      <c r="H100" s="139"/>
      <c r="I100" s="15"/>
      <c r="J100" s="43"/>
      <c r="K100" s="43"/>
      <c r="L100" s="43"/>
      <c r="M100" s="61"/>
      <c r="N100" s="139"/>
      <c r="O100" s="139"/>
      <c r="P100" s="145"/>
      <c r="Q100" s="43"/>
      <c r="R100" s="88"/>
      <c r="S100" s="43"/>
      <c r="T100" s="88"/>
      <c r="U100" s="40"/>
      <c r="V100" s="40"/>
      <c r="W100" s="88"/>
      <c r="X100" s="40"/>
      <c r="Y100" s="40"/>
      <c r="Z100" s="40"/>
      <c r="AA100" s="40"/>
      <c r="AB100" s="40"/>
      <c r="AC100" s="42"/>
      <c r="AD100" s="40"/>
      <c r="AE100" s="40"/>
      <c r="AF100" s="40"/>
      <c r="AG100" s="40"/>
      <c r="AH100" s="30"/>
      <c r="AI100" s="29"/>
      <c r="AJ100" s="40"/>
    </row>
    <row r="101" ht="15.75" customHeight="1">
      <c r="A101" s="43"/>
      <c r="B101" s="43"/>
      <c r="C101" s="146"/>
      <c r="D101" s="15"/>
      <c r="E101" s="15"/>
      <c r="F101" s="146"/>
      <c r="G101" s="139"/>
      <c r="H101" s="139"/>
      <c r="I101" s="15"/>
      <c r="J101" s="43"/>
      <c r="K101" s="43"/>
      <c r="L101" s="43"/>
      <c r="M101" s="61"/>
      <c r="N101" s="139"/>
      <c r="O101" s="139"/>
      <c r="P101" s="145"/>
      <c r="Q101" s="43"/>
      <c r="R101" s="88"/>
      <c r="S101" s="43"/>
      <c r="T101" s="88"/>
      <c r="U101" s="40"/>
      <c r="V101" s="40"/>
      <c r="W101" s="88"/>
      <c r="X101" s="40"/>
      <c r="Y101" s="40"/>
      <c r="Z101" s="40"/>
      <c r="AA101" s="40"/>
      <c r="AB101" s="40"/>
      <c r="AC101" s="42"/>
      <c r="AD101" s="40"/>
      <c r="AE101" s="40"/>
      <c r="AF101" s="40"/>
      <c r="AG101" s="40"/>
      <c r="AH101" s="30"/>
      <c r="AI101" s="29"/>
      <c r="AJ101" s="40"/>
    </row>
    <row r="102" ht="15.75" customHeight="1">
      <c r="A102" s="43"/>
      <c r="B102" s="43"/>
      <c r="E102" s="112">
        <v>13.0</v>
      </c>
      <c r="G102" s="153">
        <v>11.0</v>
      </c>
      <c r="H102" s="139"/>
      <c r="I102" s="15"/>
      <c r="J102" s="43"/>
      <c r="K102" s="43"/>
      <c r="L102" s="43"/>
      <c r="M102" s="61"/>
      <c r="N102" s="139"/>
      <c r="O102" s="139"/>
      <c r="P102" s="145"/>
      <c r="Q102" s="43"/>
      <c r="R102" s="88"/>
      <c r="S102" s="43"/>
      <c r="T102" s="88"/>
      <c r="U102" s="40"/>
      <c r="V102" s="40"/>
      <c r="W102" s="88"/>
      <c r="X102" s="40"/>
      <c r="Y102" s="40"/>
      <c r="Z102" s="40"/>
      <c r="AA102" s="40"/>
      <c r="AB102" s="40"/>
      <c r="AC102" s="42"/>
      <c r="AD102" s="40"/>
      <c r="AE102" s="40"/>
      <c r="AF102" s="40"/>
      <c r="AG102" s="40"/>
      <c r="AH102" s="30"/>
      <c r="AI102" s="29"/>
      <c r="AJ102" s="40"/>
    </row>
    <row r="103" ht="15.75" customHeight="1">
      <c r="A103" s="154" t="s">
        <v>165</v>
      </c>
      <c r="B103" s="43"/>
      <c r="E103" s="152">
        <f>sum(1/13)</f>
        <v>0.07692307692</v>
      </c>
      <c r="F103" s="155">
        <v>1.0</v>
      </c>
      <c r="G103" s="152">
        <f>sum(F103/F110)</f>
        <v>0.09090909091</v>
      </c>
      <c r="H103" s="139"/>
      <c r="I103" s="15"/>
      <c r="J103" s="43"/>
      <c r="K103" s="43"/>
      <c r="L103" s="43"/>
      <c r="M103" s="61"/>
      <c r="N103" s="139"/>
      <c r="O103" s="139"/>
      <c r="P103" s="145"/>
      <c r="Q103" s="43"/>
      <c r="R103" s="88"/>
      <c r="S103" s="43"/>
      <c r="T103" s="88"/>
      <c r="U103" s="40"/>
      <c r="V103" s="40"/>
      <c r="W103" s="88"/>
      <c r="X103" s="40"/>
      <c r="Y103" s="40"/>
      <c r="Z103" s="40"/>
      <c r="AA103" s="40"/>
      <c r="AB103" s="40"/>
      <c r="AC103" s="42"/>
      <c r="AD103" s="40"/>
      <c r="AE103" s="40"/>
      <c r="AF103" s="40"/>
      <c r="AG103" s="40"/>
      <c r="AH103" s="30"/>
      <c r="AI103" s="29"/>
      <c r="AJ103" s="40"/>
    </row>
    <row r="104" ht="15.75" customHeight="1">
      <c r="A104" s="156" t="s">
        <v>166</v>
      </c>
      <c r="B104" s="43"/>
      <c r="C104" s="146">
        <f t="shared" ref="C104:D104" si="60">sum(C97:C99)</f>
        <v>10</v>
      </c>
      <c r="D104" s="152">
        <f t="shared" si="60"/>
        <v>0.1851851852</v>
      </c>
      <c r="E104" s="157">
        <f>sum(2/13)</f>
        <v>0.1538461538</v>
      </c>
      <c r="F104" s="158">
        <v>1.0</v>
      </c>
      <c r="G104" s="159">
        <f>sum(F104/G102)</f>
        <v>0.09090909091</v>
      </c>
      <c r="H104" s="39">
        <f t="shared" ref="H104:H109" si="62">sum(G104-D104)</f>
        <v>-0.09427609428</v>
      </c>
      <c r="I104" s="15"/>
      <c r="J104" s="43"/>
      <c r="K104" s="43"/>
      <c r="L104" s="43"/>
      <c r="M104" s="61"/>
      <c r="N104" s="139"/>
      <c r="O104" s="139"/>
      <c r="P104" s="145"/>
      <c r="Q104" s="43"/>
      <c r="R104" s="88"/>
      <c r="S104" s="43"/>
      <c r="T104" s="88"/>
      <c r="U104" s="40"/>
      <c r="V104" s="40"/>
      <c r="W104" s="88"/>
      <c r="X104" s="40"/>
      <c r="Y104" s="40"/>
      <c r="Z104" s="40"/>
      <c r="AA104" s="40"/>
      <c r="AB104" s="40"/>
      <c r="AC104" s="42"/>
      <c r="AD104" s="40"/>
      <c r="AE104" s="40"/>
      <c r="AF104" s="40"/>
      <c r="AG104" s="40"/>
      <c r="AH104" s="30"/>
      <c r="AI104" s="29"/>
      <c r="AJ104" s="40"/>
    </row>
    <row r="105" ht="15.75" customHeight="1">
      <c r="A105" s="160" t="s">
        <v>167</v>
      </c>
      <c r="B105" s="43"/>
      <c r="C105" s="146">
        <f t="shared" ref="C105:D105" si="61">sum(C91:C92,C93)</f>
        <v>21</v>
      </c>
      <c r="D105" s="152">
        <f t="shared" si="61"/>
        <v>0.3888888889</v>
      </c>
      <c r="E105" s="161">
        <f>sum(3/13)</f>
        <v>0.2307692308</v>
      </c>
      <c r="F105" s="155">
        <v>3.0</v>
      </c>
      <c r="G105" s="162">
        <f>sum(F105/G102)</f>
        <v>0.2727272727</v>
      </c>
      <c r="H105" s="39">
        <f t="shared" si="62"/>
        <v>-0.1161616162</v>
      </c>
      <c r="I105" s="15"/>
      <c r="J105" s="43"/>
      <c r="K105" s="43"/>
      <c r="L105" s="43"/>
      <c r="M105" s="61"/>
      <c r="N105" s="139"/>
      <c r="O105" s="139"/>
      <c r="P105" s="145"/>
      <c r="Q105" s="43"/>
      <c r="R105" s="88"/>
      <c r="S105" s="43"/>
      <c r="T105" s="88"/>
      <c r="U105" s="40"/>
      <c r="V105" s="40"/>
      <c r="W105" s="88"/>
      <c r="X105" s="40"/>
      <c r="Y105" s="40"/>
      <c r="Z105" s="40"/>
      <c r="AA105" s="40"/>
      <c r="AB105" s="40"/>
      <c r="AC105" s="42"/>
      <c r="AD105" s="40"/>
      <c r="AE105" s="40"/>
      <c r="AF105" s="40"/>
      <c r="AG105" s="40"/>
      <c r="AH105" s="30"/>
      <c r="AI105" s="29"/>
      <c r="AJ105" s="40"/>
    </row>
    <row r="106" ht="15.75" customHeight="1">
      <c r="A106" s="163" t="s">
        <v>168</v>
      </c>
      <c r="B106" s="43"/>
      <c r="C106" s="146">
        <f t="shared" ref="C106:D106" si="63">sum(C94:C95)</f>
        <v>6</v>
      </c>
      <c r="D106" s="152">
        <f t="shared" si="63"/>
        <v>0.1111111111</v>
      </c>
      <c r="E106" s="164">
        <f>sum(2/13)</f>
        <v>0.1538461538</v>
      </c>
      <c r="F106" s="155">
        <v>2.0</v>
      </c>
      <c r="G106" s="152">
        <f>sum(F106/G102)</f>
        <v>0.1818181818</v>
      </c>
      <c r="H106" s="39">
        <f t="shared" si="62"/>
        <v>0.07070707071</v>
      </c>
      <c r="I106" s="15"/>
      <c r="J106" s="43"/>
      <c r="K106" s="43"/>
      <c r="L106" s="43"/>
      <c r="M106" s="61"/>
      <c r="N106" s="139"/>
      <c r="O106" s="139"/>
      <c r="P106" s="145"/>
      <c r="Q106" s="43"/>
      <c r="R106" s="88"/>
      <c r="S106" s="43"/>
      <c r="T106" s="88"/>
      <c r="U106" s="40"/>
      <c r="V106" s="40"/>
      <c r="W106" s="88"/>
      <c r="X106" s="40"/>
      <c r="Y106" s="40"/>
      <c r="Z106" s="40"/>
      <c r="AA106" s="40"/>
      <c r="AB106" s="40"/>
      <c r="AC106" s="42"/>
      <c r="AD106" s="40"/>
      <c r="AE106" s="40"/>
      <c r="AF106" s="40"/>
      <c r="AG106" s="40"/>
      <c r="AH106" s="30"/>
      <c r="AI106" s="29"/>
      <c r="AJ106" s="40"/>
    </row>
    <row r="107" ht="15.75" customHeight="1">
      <c r="A107" s="165" t="s">
        <v>169</v>
      </c>
      <c r="B107" s="43"/>
      <c r="C107" s="146">
        <f t="shared" ref="C107:D107" si="64">sum(C96)</f>
        <v>7</v>
      </c>
      <c r="D107" s="152">
        <f t="shared" si="64"/>
        <v>0.1296296296</v>
      </c>
      <c r="E107" s="166">
        <f>sum(3/13)</f>
        <v>0.2307692308</v>
      </c>
      <c r="F107" s="158">
        <v>2.0</v>
      </c>
      <c r="G107" s="159">
        <f>sum(F107/G102)</f>
        <v>0.1818181818</v>
      </c>
      <c r="H107" s="39">
        <f t="shared" si="62"/>
        <v>0.05218855219</v>
      </c>
      <c r="I107" s="15"/>
      <c r="J107" s="43"/>
      <c r="K107" s="43"/>
      <c r="L107" s="43"/>
      <c r="M107" s="61"/>
      <c r="N107" s="139"/>
      <c r="O107" s="139"/>
      <c r="P107" s="145"/>
      <c r="Q107" s="43"/>
      <c r="R107" s="88"/>
      <c r="S107" s="43"/>
      <c r="T107" s="88"/>
      <c r="U107" s="40"/>
      <c r="V107" s="40"/>
      <c r="W107" s="88"/>
      <c r="X107" s="40"/>
      <c r="Y107" s="40"/>
      <c r="Z107" s="40"/>
      <c r="AA107" s="40"/>
      <c r="AB107" s="40"/>
      <c r="AC107" s="42"/>
      <c r="AD107" s="40"/>
      <c r="AE107" s="40"/>
      <c r="AF107" s="40"/>
      <c r="AG107" s="40"/>
      <c r="AH107" s="30"/>
      <c r="AI107" s="29"/>
      <c r="AJ107" s="40"/>
    </row>
    <row r="108" ht="15.75" customHeight="1">
      <c r="A108" s="167" t="s">
        <v>170</v>
      </c>
      <c r="B108" s="43"/>
      <c r="C108" s="146">
        <f t="shared" ref="C108:D108" si="65">sum(C88:C89)</f>
        <v>4</v>
      </c>
      <c r="D108" s="152">
        <f t="shared" si="65"/>
        <v>0.07407407407</v>
      </c>
      <c r="E108" s="168">
        <f t="shared" ref="E108:E109" si="67">sum(1/13)</f>
        <v>0.07692307692</v>
      </c>
      <c r="F108" s="155">
        <v>1.0</v>
      </c>
      <c r="G108" s="152">
        <f>sum(F108/G102)</f>
        <v>0.09090909091</v>
      </c>
      <c r="H108" s="39">
        <f t="shared" si="62"/>
        <v>0.01683501684</v>
      </c>
      <c r="I108" s="15"/>
      <c r="J108" s="43"/>
      <c r="K108" s="43"/>
      <c r="L108" s="43"/>
      <c r="M108" s="61"/>
      <c r="N108" s="139"/>
      <c r="O108" s="139"/>
      <c r="P108" s="145"/>
      <c r="Q108" s="43"/>
      <c r="R108" s="88"/>
      <c r="S108" s="43"/>
      <c r="T108" s="88"/>
      <c r="U108" s="40"/>
      <c r="V108" s="40"/>
      <c r="W108" s="88"/>
      <c r="X108" s="40"/>
      <c r="Y108" s="40"/>
      <c r="Z108" s="40"/>
      <c r="AA108" s="40"/>
      <c r="AB108" s="40"/>
      <c r="AC108" s="42"/>
      <c r="AD108" s="40"/>
      <c r="AE108" s="40"/>
      <c r="AF108" s="40"/>
      <c r="AG108" s="40"/>
      <c r="AH108" s="30"/>
      <c r="AI108" s="29"/>
      <c r="AJ108" s="40"/>
    </row>
    <row r="109" ht="15.75" customHeight="1">
      <c r="A109" s="169" t="s">
        <v>171</v>
      </c>
      <c r="B109" s="43"/>
      <c r="C109" s="146">
        <f t="shared" ref="C109:D109" si="66">C90</f>
        <v>6</v>
      </c>
      <c r="D109" s="152">
        <f t="shared" si="66"/>
        <v>0.1111111111</v>
      </c>
      <c r="E109" s="168">
        <f t="shared" si="67"/>
        <v>0.07692307692</v>
      </c>
      <c r="F109" s="155">
        <v>1.0</v>
      </c>
      <c r="G109" s="152">
        <f>sum(F109/G102)</f>
        <v>0.09090909091</v>
      </c>
      <c r="H109" s="170">
        <f t="shared" si="62"/>
        <v>-0.0202020202</v>
      </c>
      <c r="I109" s="15"/>
      <c r="J109" s="43"/>
      <c r="K109" s="43"/>
      <c r="L109" s="43"/>
      <c r="M109" s="61"/>
      <c r="N109" s="139"/>
      <c r="O109" s="139"/>
      <c r="P109" s="145"/>
      <c r="Q109" s="43"/>
      <c r="R109" s="88"/>
      <c r="S109" s="43"/>
      <c r="T109" s="88"/>
      <c r="U109" s="40"/>
      <c r="V109" s="40"/>
      <c r="W109" s="88"/>
      <c r="X109" s="40"/>
      <c r="Y109" s="40"/>
      <c r="Z109" s="40"/>
      <c r="AA109" s="40"/>
      <c r="AB109" s="40"/>
      <c r="AC109" s="42"/>
      <c r="AD109" s="40"/>
      <c r="AE109" s="40"/>
      <c r="AF109" s="40"/>
      <c r="AG109" s="40"/>
      <c r="AH109" s="30"/>
      <c r="AI109" s="29"/>
      <c r="AJ109" s="40"/>
    </row>
    <row r="110" ht="15.75" customHeight="1">
      <c r="A110" s="43"/>
      <c r="B110" s="43"/>
      <c r="C110" s="15"/>
      <c r="E110" s="112"/>
      <c r="F110" s="112">
        <f>SUM(F103:F109)</f>
        <v>11</v>
      </c>
      <c r="G110" s="139"/>
      <c r="H110" s="139"/>
      <c r="I110" s="15"/>
      <c r="J110" s="43"/>
      <c r="K110" s="43"/>
      <c r="L110" s="43"/>
      <c r="M110" s="61"/>
      <c r="N110" s="139"/>
      <c r="O110" s="139"/>
      <c r="P110" s="145"/>
      <c r="Q110" s="43"/>
      <c r="R110" s="88"/>
      <c r="S110" s="43"/>
      <c r="T110" s="88"/>
      <c r="U110" s="40"/>
      <c r="V110" s="40"/>
      <c r="W110" s="88"/>
      <c r="X110" s="40"/>
      <c r="Y110" s="40"/>
      <c r="Z110" s="40"/>
      <c r="AA110" s="40"/>
      <c r="AB110" s="40"/>
      <c r="AC110" s="42"/>
      <c r="AD110" s="40"/>
      <c r="AE110" s="40"/>
      <c r="AF110" s="40"/>
      <c r="AG110" s="40"/>
      <c r="AH110" s="30"/>
      <c r="AI110" s="29"/>
      <c r="AJ110" s="40"/>
    </row>
    <row r="111" ht="15.75" customHeight="1">
      <c r="A111" s="43"/>
      <c r="B111" s="43"/>
      <c r="C111" s="15"/>
      <c r="D111" s="15"/>
      <c r="E111" s="15"/>
      <c r="F111" s="146"/>
      <c r="G111" s="139"/>
      <c r="H111" s="139"/>
      <c r="I111" s="15"/>
      <c r="J111" s="43"/>
      <c r="K111" s="43"/>
      <c r="L111" s="43"/>
      <c r="M111" s="61"/>
      <c r="N111" s="139"/>
      <c r="O111" s="139"/>
      <c r="P111" s="145"/>
      <c r="Q111" s="43"/>
      <c r="R111" s="88"/>
      <c r="S111" s="43"/>
      <c r="T111" s="88"/>
      <c r="U111" s="40"/>
      <c r="V111" s="40"/>
      <c r="W111" s="88"/>
      <c r="X111" s="40"/>
      <c r="Y111" s="40"/>
      <c r="Z111" s="40"/>
      <c r="AA111" s="40"/>
      <c r="AB111" s="40"/>
      <c r="AC111" s="42"/>
      <c r="AD111" s="40"/>
      <c r="AE111" s="40"/>
      <c r="AF111" s="40"/>
      <c r="AG111" s="40"/>
      <c r="AH111" s="30"/>
      <c r="AI111" s="29"/>
      <c r="AJ111" s="40"/>
    </row>
    <row r="112" ht="15.75" customHeight="1">
      <c r="A112" s="43"/>
      <c r="B112" s="43"/>
      <c r="C112" s="15"/>
      <c r="D112" s="15"/>
      <c r="E112" s="15"/>
      <c r="F112" s="146"/>
      <c r="G112" s="139"/>
      <c r="H112" s="139"/>
      <c r="I112" s="15"/>
      <c r="J112" s="43"/>
      <c r="K112" s="43"/>
      <c r="L112" s="43"/>
      <c r="M112" s="61"/>
      <c r="N112" s="139"/>
      <c r="O112" s="139"/>
      <c r="P112" s="145"/>
      <c r="Q112" s="43"/>
      <c r="R112" s="88"/>
      <c r="S112" s="43"/>
      <c r="T112" s="88"/>
      <c r="U112" s="40"/>
      <c r="V112" s="40"/>
      <c r="W112" s="88"/>
      <c r="X112" s="40"/>
      <c r="Y112" s="40"/>
      <c r="Z112" s="40"/>
      <c r="AA112" s="40"/>
      <c r="AB112" s="40"/>
      <c r="AC112" s="42"/>
      <c r="AD112" s="40"/>
      <c r="AE112" s="40"/>
      <c r="AF112" s="40"/>
      <c r="AG112" s="40"/>
      <c r="AH112" s="30"/>
      <c r="AI112" s="29"/>
      <c r="AJ112" s="40"/>
    </row>
    <row r="113" ht="15.75" customHeight="1">
      <c r="A113" s="43"/>
      <c r="B113" s="43"/>
      <c r="C113" s="15"/>
      <c r="D113" s="15"/>
      <c r="E113" s="15"/>
      <c r="F113" s="146"/>
      <c r="G113" s="139"/>
      <c r="H113" s="139"/>
      <c r="I113" s="15"/>
      <c r="J113" s="43"/>
      <c r="K113" s="43"/>
      <c r="L113" s="43"/>
      <c r="M113" s="61"/>
      <c r="N113" s="139"/>
      <c r="O113" s="139"/>
      <c r="P113" s="145"/>
      <c r="Q113" s="43"/>
      <c r="R113" s="88"/>
      <c r="S113" s="43"/>
      <c r="T113" s="88"/>
      <c r="U113" s="40"/>
      <c r="V113" s="40"/>
      <c r="W113" s="88"/>
      <c r="X113" s="40"/>
      <c r="Y113" s="40"/>
      <c r="Z113" s="40"/>
      <c r="AA113" s="40"/>
      <c r="AB113" s="40"/>
      <c r="AC113" s="42"/>
      <c r="AD113" s="40"/>
      <c r="AE113" s="40"/>
      <c r="AF113" s="40"/>
      <c r="AG113" s="40"/>
      <c r="AH113" s="30"/>
      <c r="AI113" s="29"/>
      <c r="AJ113" s="40"/>
    </row>
    <row r="114" ht="15.75" customHeight="1">
      <c r="A114" s="43"/>
      <c r="B114" s="43"/>
      <c r="C114" s="15"/>
      <c r="D114" s="15"/>
      <c r="E114" s="15"/>
      <c r="F114" s="146"/>
      <c r="G114" s="139"/>
      <c r="H114" s="139"/>
      <c r="I114" s="15"/>
      <c r="J114" s="43"/>
      <c r="K114" s="43"/>
      <c r="L114" s="43"/>
      <c r="M114" s="61"/>
      <c r="N114" s="139"/>
      <c r="O114" s="139"/>
      <c r="P114" s="145"/>
      <c r="Q114" s="43"/>
      <c r="R114" s="88"/>
      <c r="S114" s="43"/>
      <c r="T114" s="88"/>
      <c r="U114" s="40"/>
      <c r="V114" s="40"/>
      <c r="W114" s="88"/>
      <c r="X114" s="40"/>
      <c r="Y114" s="40"/>
      <c r="Z114" s="40"/>
      <c r="AA114" s="40"/>
      <c r="AB114" s="40"/>
      <c r="AC114" s="42"/>
      <c r="AD114" s="40"/>
      <c r="AE114" s="40"/>
      <c r="AF114" s="40"/>
      <c r="AG114" s="40"/>
      <c r="AH114" s="30"/>
      <c r="AI114" s="29"/>
      <c r="AJ114" s="40"/>
    </row>
    <row r="115" ht="15.75" customHeight="1">
      <c r="A115" s="43"/>
      <c r="B115" s="43"/>
      <c r="C115" s="15"/>
      <c r="D115" s="15"/>
      <c r="E115" s="15"/>
      <c r="F115" s="146"/>
      <c r="G115" s="139"/>
      <c r="H115" s="139"/>
      <c r="I115" s="15"/>
      <c r="J115" s="43"/>
      <c r="K115" s="43"/>
      <c r="L115" s="43"/>
      <c r="M115" s="61"/>
      <c r="N115" s="139"/>
      <c r="O115" s="139"/>
      <c r="P115" s="145"/>
      <c r="Q115" s="43"/>
      <c r="R115" s="88"/>
      <c r="S115" s="43"/>
      <c r="T115" s="88"/>
      <c r="U115" s="40"/>
      <c r="V115" s="40"/>
      <c r="W115" s="88"/>
      <c r="X115" s="40"/>
      <c r="Y115" s="40"/>
      <c r="Z115" s="40"/>
      <c r="AA115" s="40"/>
      <c r="AB115" s="40"/>
      <c r="AC115" s="42"/>
      <c r="AD115" s="40"/>
      <c r="AE115" s="40"/>
      <c r="AF115" s="40"/>
      <c r="AG115" s="40"/>
      <c r="AH115" s="30"/>
      <c r="AI115" s="29"/>
      <c r="AJ115" s="40"/>
    </row>
    <row r="116" ht="15.75" customHeight="1">
      <c r="A116" s="43"/>
      <c r="B116" s="43"/>
      <c r="C116" s="15"/>
      <c r="D116" s="15"/>
      <c r="E116" s="15"/>
      <c r="F116" s="146"/>
      <c r="G116" s="139"/>
      <c r="H116" s="139"/>
      <c r="I116" s="15"/>
      <c r="J116" s="43"/>
      <c r="K116" s="43"/>
      <c r="L116" s="43"/>
      <c r="M116" s="61"/>
      <c r="N116" s="139"/>
      <c r="O116" s="139"/>
      <c r="P116" s="145"/>
      <c r="Q116" s="43"/>
      <c r="R116" s="88"/>
      <c r="S116" s="43"/>
      <c r="T116" s="88"/>
      <c r="U116" s="40"/>
      <c r="V116" s="40"/>
      <c r="W116" s="88"/>
      <c r="X116" s="40"/>
      <c r="Y116" s="40"/>
      <c r="Z116" s="40"/>
      <c r="AA116" s="40"/>
      <c r="AB116" s="40"/>
      <c r="AC116" s="42"/>
      <c r="AD116" s="40"/>
      <c r="AE116" s="40"/>
      <c r="AF116" s="40"/>
      <c r="AG116" s="40"/>
      <c r="AH116" s="30"/>
      <c r="AI116" s="29"/>
      <c r="AJ116" s="40"/>
    </row>
    <row r="117" ht="15.75" customHeight="1">
      <c r="A117" s="43"/>
      <c r="B117" s="43"/>
      <c r="C117" s="15"/>
      <c r="D117" s="15"/>
      <c r="E117" s="15"/>
      <c r="F117" s="146"/>
      <c r="G117" s="139"/>
      <c r="H117" s="139"/>
      <c r="I117" s="15"/>
      <c r="J117" s="43"/>
      <c r="K117" s="43"/>
      <c r="L117" s="43"/>
      <c r="M117" s="61"/>
      <c r="N117" s="139"/>
      <c r="O117" s="139"/>
      <c r="P117" s="145"/>
      <c r="Q117" s="43"/>
      <c r="R117" s="88"/>
      <c r="S117" s="43"/>
      <c r="T117" s="88"/>
      <c r="U117" s="40"/>
      <c r="V117" s="40"/>
      <c r="W117" s="88"/>
      <c r="X117" s="40"/>
      <c r="Y117" s="40"/>
      <c r="Z117" s="40"/>
      <c r="AA117" s="40"/>
      <c r="AB117" s="40"/>
      <c r="AC117" s="42"/>
      <c r="AD117" s="40"/>
      <c r="AE117" s="40"/>
      <c r="AF117" s="40"/>
      <c r="AG117" s="40"/>
      <c r="AH117" s="30"/>
      <c r="AI117" s="29"/>
      <c r="AJ117" s="40"/>
    </row>
    <row r="118" ht="15.75" customHeight="1">
      <c r="A118" s="43"/>
      <c r="B118" s="43"/>
      <c r="C118" s="15"/>
      <c r="D118" s="15"/>
      <c r="E118" s="15"/>
      <c r="F118" s="146"/>
      <c r="G118" s="139"/>
      <c r="H118" s="139"/>
      <c r="I118" s="15"/>
      <c r="J118" s="43"/>
      <c r="K118" s="43"/>
      <c r="L118" s="43"/>
      <c r="M118" s="61"/>
      <c r="N118" s="139"/>
      <c r="O118" s="139"/>
      <c r="P118" s="145"/>
      <c r="Q118" s="43"/>
      <c r="R118" s="88"/>
      <c r="S118" s="43"/>
      <c r="T118" s="88"/>
      <c r="U118" s="40"/>
      <c r="V118" s="40"/>
      <c r="W118" s="88"/>
      <c r="X118" s="40"/>
      <c r="Y118" s="40"/>
      <c r="Z118" s="40"/>
      <c r="AA118" s="40"/>
      <c r="AB118" s="40"/>
      <c r="AC118" s="42"/>
      <c r="AD118" s="40"/>
      <c r="AE118" s="40"/>
      <c r="AF118" s="40"/>
      <c r="AG118" s="40"/>
      <c r="AH118" s="30"/>
      <c r="AI118" s="29"/>
      <c r="AJ118" s="40"/>
    </row>
    <row r="119" ht="15.75" customHeight="1">
      <c r="A119" s="43"/>
      <c r="B119" s="43"/>
      <c r="C119" s="15"/>
      <c r="D119" s="15"/>
      <c r="E119" s="15"/>
      <c r="F119" s="146"/>
      <c r="G119" s="139"/>
      <c r="H119" s="139"/>
      <c r="I119" s="15"/>
      <c r="J119" s="43"/>
      <c r="K119" s="43"/>
      <c r="L119" s="43"/>
      <c r="M119" s="61"/>
      <c r="N119" s="139"/>
      <c r="O119" s="139"/>
      <c r="P119" s="145"/>
      <c r="Q119" s="43"/>
      <c r="R119" s="88"/>
      <c r="S119" s="43"/>
      <c r="T119" s="88"/>
      <c r="U119" s="40"/>
      <c r="V119" s="40"/>
      <c r="W119" s="88"/>
      <c r="X119" s="40"/>
      <c r="Y119" s="40"/>
      <c r="Z119" s="40"/>
      <c r="AA119" s="40"/>
      <c r="AB119" s="40"/>
      <c r="AC119" s="42"/>
      <c r="AD119" s="40"/>
      <c r="AE119" s="40"/>
      <c r="AF119" s="40"/>
      <c r="AG119" s="40"/>
      <c r="AH119" s="30"/>
      <c r="AI119" s="29"/>
      <c r="AJ119" s="40"/>
    </row>
    <row r="120" ht="15.75" customHeight="1">
      <c r="A120" s="43"/>
      <c r="B120" s="43"/>
      <c r="C120" s="15"/>
      <c r="D120" s="15"/>
      <c r="E120" s="15"/>
      <c r="F120" s="146"/>
      <c r="G120" s="139"/>
      <c r="H120" s="139"/>
      <c r="I120" s="15"/>
      <c r="J120" s="43"/>
      <c r="K120" s="43"/>
      <c r="L120" s="43"/>
      <c r="M120" s="61"/>
      <c r="N120" s="139"/>
      <c r="O120" s="139"/>
      <c r="P120" s="145"/>
      <c r="Q120" s="43"/>
      <c r="R120" s="88"/>
      <c r="S120" s="43"/>
      <c r="T120" s="88"/>
      <c r="U120" s="40"/>
      <c r="V120" s="40"/>
      <c r="W120" s="88"/>
      <c r="X120" s="40"/>
      <c r="Y120" s="40"/>
      <c r="Z120" s="40"/>
      <c r="AA120" s="40"/>
      <c r="AB120" s="40"/>
      <c r="AC120" s="42"/>
      <c r="AD120" s="40"/>
      <c r="AE120" s="40"/>
      <c r="AF120" s="40"/>
      <c r="AG120" s="40"/>
      <c r="AH120" s="30"/>
      <c r="AI120" s="29"/>
      <c r="AJ120" s="40"/>
    </row>
    <row r="121" ht="15.75" customHeight="1">
      <c r="A121" s="43"/>
      <c r="B121" s="43"/>
      <c r="C121" s="15"/>
      <c r="D121" s="15"/>
      <c r="E121" s="15"/>
      <c r="F121" s="146"/>
      <c r="G121" s="139"/>
      <c r="H121" s="139"/>
      <c r="I121" s="15"/>
      <c r="J121" s="43"/>
      <c r="K121" s="43"/>
      <c r="L121" s="43"/>
      <c r="M121" s="61"/>
      <c r="N121" s="139"/>
      <c r="O121" s="139"/>
      <c r="P121" s="145"/>
      <c r="Q121" s="43"/>
      <c r="R121" s="145"/>
      <c r="S121" s="43"/>
      <c r="T121" s="88"/>
      <c r="U121" s="40"/>
      <c r="V121" s="40"/>
      <c r="W121" s="88"/>
      <c r="X121" s="40"/>
      <c r="Y121" s="40"/>
      <c r="Z121" s="40"/>
      <c r="AA121" s="40"/>
      <c r="AB121" s="40"/>
      <c r="AC121" s="42"/>
      <c r="AD121" s="40"/>
      <c r="AE121" s="40"/>
      <c r="AF121" s="40"/>
      <c r="AG121" s="40"/>
      <c r="AH121" s="30"/>
      <c r="AI121" s="29"/>
      <c r="AJ121" s="40"/>
    </row>
    <row r="122" ht="15.75" customHeight="1">
      <c r="A122" s="43"/>
      <c r="B122" s="43"/>
      <c r="C122" s="15"/>
      <c r="D122" s="15"/>
      <c r="E122" s="15"/>
      <c r="F122" s="146"/>
      <c r="G122" s="139"/>
      <c r="H122" s="139"/>
      <c r="I122" s="15"/>
      <c r="J122" s="43"/>
      <c r="K122" s="43"/>
      <c r="L122" s="43"/>
      <c r="M122" s="61"/>
      <c r="N122" s="139"/>
      <c r="O122" s="139"/>
      <c r="P122" s="145"/>
      <c r="Q122" s="43"/>
      <c r="R122" s="145"/>
      <c r="S122" s="43"/>
      <c r="T122" s="88"/>
      <c r="U122" s="40"/>
      <c r="V122" s="40"/>
      <c r="W122" s="88"/>
      <c r="X122" s="40"/>
      <c r="Y122" s="40"/>
      <c r="Z122" s="40"/>
      <c r="AA122" s="40"/>
      <c r="AB122" s="40"/>
      <c r="AC122" s="42"/>
      <c r="AD122" s="40"/>
      <c r="AE122" s="40"/>
      <c r="AF122" s="40"/>
      <c r="AG122" s="40"/>
      <c r="AH122" s="30"/>
      <c r="AI122" s="29"/>
      <c r="AJ122" s="40"/>
    </row>
    <row r="123" ht="15.75" customHeight="1">
      <c r="A123" s="43"/>
      <c r="B123" s="43"/>
      <c r="C123" s="15"/>
      <c r="D123" s="15"/>
      <c r="E123" s="15"/>
      <c r="F123" s="146"/>
      <c r="G123" s="139"/>
      <c r="H123" s="139"/>
      <c r="I123" s="15"/>
      <c r="J123" s="43"/>
      <c r="K123" s="43"/>
      <c r="L123" s="43"/>
      <c r="M123" s="61"/>
      <c r="N123" s="139"/>
      <c r="O123" s="139"/>
      <c r="P123" s="145"/>
      <c r="Q123" s="43"/>
      <c r="R123" s="145"/>
      <c r="S123" s="43"/>
      <c r="T123" s="88"/>
      <c r="U123" s="40"/>
      <c r="V123" s="40"/>
      <c r="W123" s="88"/>
      <c r="X123" s="40"/>
      <c r="Y123" s="40"/>
      <c r="Z123" s="40"/>
      <c r="AA123" s="40"/>
      <c r="AB123" s="40"/>
      <c r="AC123" s="42"/>
      <c r="AD123" s="40"/>
      <c r="AE123" s="40"/>
      <c r="AF123" s="40"/>
      <c r="AG123" s="40"/>
      <c r="AH123" s="30"/>
      <c r="AI123" s="29"/>
      <c r="AJ123" s="40"/>
    </row>
    <row r="124" ht="15.75" customHeight="1">
      <c r="A124" s="43"/>
      <c r="B124" s="43"/>
      <c r="C124" s="15"/>
      <c r="D124" s="15"/>
      <c r="E124" s="15"/>
      <c r="F124" s="146"/>
      <c r="G124" s="139"/>
      <c r="H124" s="139"/>
      <c r="I124" s="15"/>
      <c r="J124" s="43"/>
      <c r="K124" s="43"/>
      <c r="L124" s="43"/>
      <c r="M124" s="61"/>
      <c r="N124" s="139"/>
      <c r="O124" s="139"/>
      <c r="P124" s="145"/>
      <c r="Q124" s="43"/>
      <c r="R124" s="145"/>
      <c r="S124" s="43"/>
      <c r="T124" s="88"/>
      <c r="U124" s="40"/>
      <c r="V124" s="40"/>
      <c r="W124" s="88"/>
      <c r="X124" s="40"/>
      <c r="Y124" s="40"/>
      <c r="Z124" s="40"/>
      <c r="AA124" s="40"/>
      <c r="AB124" s="40"/>
      <c r="AC124" s="42"/>
      <c r="AD124" s="40"/>
      <c r="AE124" s="40"/>
      <c r="AF124" s="40"/>
      <c r="AG124" s="40"/>
      <c r="AH124" s="30"/>
      <c r="AI124" s="29"/>
      <c r="AJ124" s="40"/>
    </row>
    <row r="125" ht="15.75" customHeight="1">
      <c r="A125" s="43"/>
      <c r="B125" s="43"/>
      <c r="C125" s="15"/>
      <c r="D125" s="15"/>
      <c r="E125" s="15"/>
      <c r="F125" s="146"/>
      <c r="G125" s="139"/>
      <c r="H125" s="139"/>
      <c r="I125" s="15"/>
      <c r="J125" s="43"/>
      <c r="K125" s="43"/>
      <c r="L125" s="43"/>
      <c r="M125" s="61"/>
      <c r="N125" s="139"/>
      <c r="O125" s="139"/>
      <c r="P125" s="145"/>
      <c r="Q125" s="43"/>
      <c r="R125" s="145"/>
      <c r="S125" s="43"/>
      <c r="T125" s="88"/>
      <c r="U125" s="40"/>
      <c r="V125" s="40"/>
      <c r="W125" s="88"/>
      <c r="X125" s="40"/>
      <c r="Y125" s="40"/>
      <c r="Z125" s="40"/>
      <c r="AA125" s="40"/>
      <c r="AB125" s="40"/>
      <c r="AC125" s="42"/>
      <c r="AD125" s="40"/>
      <c r="AE125" s="40"/>
      <c r="AF125" s="40"/>
      <c r="AG125" s="40"/>
      <c r="AH125" s="30"/>
      <c r="AI125" s="29"/>
      <c r="AJ125" s="40"/>
    </row>
    <row r="126" ht="15.75" customHeight="1">
      <c r="A126" s="43"/>
      <c r="B126" s="43"/>
      <c r="C126" s="15"/>
      <c r="D126" s="15"/>
      <c r="E126" s="15"/>
      <c r="F126" s="146"/>
      <c r="G126" s="139"/>
      <c r="H126" s="139"/>
      <c r="I126" s="15"/>
      <c r="J126" s="43"/>
      <c r="K126" s="43"/>
      <c r="L126" s="43"/>
      <c r="M126" s="61"/>
      <c r="N126" s="139"/>
      <c r="O126" s="139"/>
      <c r="P126" s="145"/>
      <c r="Q126" s="43"/>
      <c r="R126" s="145"/>
      <c r="S126" s="43"/>
      <c r="T126" s="88"/>
      <c r="U126" s="40"/>
      <c r="V126" s="40"/>
      <c r="W126" s="88"/>
      <c r="X126" s="40"/>
      <c r="Y126" s="40"/>
      <c r="Z126" s="40"/>
      <c r="AA126" s="40"/>
      <c r="AB126" s="40"/>
      <c r="AC126" s="42"/>
      <c r="AD126" s="40"/>
      <c r="AE126" s="40"/>
      <c r="AF126" s="40"/>
      <c r="AG126" s="40"/>
      <c r="AH126" s="30"/>
      <c r="AI126" s="29"/>
      <c r="AJ126" s="40"/>
    </row>
    <row r="127" ht="15.75" customHeight="1">
      <c r="A127" s="43"/>
      <c r="B127" s="43"/>
      <c r="C127" s="15"/>
      <c r="D127" s="15"/>
      <c r="E127" s="15"/>
      <c r="F127" s="146"/>
      <c r="G127" s="139"/>
      <c r="H127" s="139"/>
      <c r="I127" s="15"/>
      <c r="J127" s="43"/>
      <c r="K127" s="43"/>
      <c r="L127" s="43"/>
      <c r="M127" s="61"/>
      <c r="N127" s="139"/>
      <c r="O127" s="139"/>
      <c r="P127" s="145"/>
      <c r="Q127" s="43"/>
      <c r="R127" s="145"/>
      <c r="S127" s="43"/>
      <c r="T127" s="88"/>
      <c r="U127" s="40"/>
      <c r="V127" s="40"/>
      <c r="W127" s="88"/>
      <c r="X127" s="40"/>
      <c r="Y127" s="40"/>
      <c r="Z127" s="40"/>
      <c r="AA127" s="40"/>
      <c r="AB127" s="40"/>
      <c r="AC127" s="42"/>
      <c r="AD127" s="40"/>
      <c r="AE127" s="40"/>
      <c r="AF127" s="40"/>
      <c r="AG127" s="40"/>
      <c r="AH127" s="30"/>
      <c r="AI127" s="29"/>
      <c r="AJ127" s="40"/>
    </row>
    <row r="128" ht="15.75" customHeight="1">
      <c r="A128" s="43"/>
      <c r="B128" s="43"/>
      <c r="C128" s="15"/>
      <c r="D128" s="15"/>
      <c r="E128" s="15"/>
      <c r="F128" s="146"/>
      <c r="G128" s="139"/>
      <c r="H128" s="139"/>
      <c r="I128" s="15"/>
      <c r="J128" s="43"/>
      <c r="K128" s="43"/>
      <c r="L128" s="43"/>
      <c r="M128" s="61"/>
      <c r="N128" s="139"/>
      <c r="O128" s="139"/>
      <c r="P128" s="145"/>
      <c r="Q128" s="43"/>
      <c r="R128" s="145"/>
      <c r="S128" s="43"/>
      <c r="T128" s="88"/>
      <c r="U128" s="40"/>
      <c r="V128" s="40"/>
      <c r="W128" s="88"/>
      <c r="X128" s="40"/>
      <c r="Y128" s="40"/>
      <c r="Z128" s="40"/>
      <c r="AA128" s="40"/>
      <c r="AB128" s="40"/>
      <c r="AC128" s="42"/>
      <c r="AD128" s="40"/>
      <c r="AE128" s="40"/>
      <c r="AF128" s="40"/>
      <c r="AG128" s="40"/>
      <c r="AH128" s="30"/>
      <c r="AI128" s="29"/>
      <c r="AJ128" s="40"/>
    </row>
    <row r="129" ht="15.75" customHeight="1">
      <c r="A129" s="43"/>
      <c r="B129" s="43"/>
      <c r="C129" s="15"/>
      <c r="D129" s="15"/>
      <c r="E129" s="15"/>
      <c r="F129" s="146"/>
      <c r="G129" s="139"/>
      <c r="H129" s="139"/>
      <c r="I129" s="15"/>
      <c r="J129" s="43"/>
      <c r="K129" s="43"/>
      <c r="L129" s="43"/>
      <c r="M129" s="61"/>
      <c r="N129" s="139"/>
      <c r="O129" s="139"/>
      <c r="P129" s="145"/>
      <c r="Q129" s="43"/>
      <c r="R129" s="145"/>
      <c r="S129" s="43"/>
      <c r="T129" s="88"/>
      <c r="U129" s="40"/>
      <c r="V129" s="40"/>
      <c r="W129" s="88"/>
      <c r="X129" s="40"/>
      <c r="Y129" s="40"/>
      <c r="Z129" s="40"/>
      <c r="AA129" s="40"/>
      <c r="AB129" s="40"/>
      <c r="AC129" s="42"/>
      <c r="AD129" s="40"/>
      <c r="AE129" s="40"/>
      <c r="AF129" s="40"/>
      <c r="AG129" s="40"/>
      <c r="AH129" s="30"/>
      <c r="AI129" s="29"/>
      <c r="AJ129" s="40"/>
    </row>
    <row r="130" ht="15.75" customHeight="1">
      <c r="A130" s="43"/>
      <c r="B130" s="43"/>
      <c r="C130" s="15"/>
      <c r="D130" s="15"/>
      <c r="E130" s="15"/>
      <c r="F130" s="146"/>
      <c r="G130" s="139"/>
      <c r="H130" s="139"/>
      <c r="I130" s="15"/>
      <c r="J130" s="43"/>
      <c r="K130" s="43"/>
      <c r="L130" s="43"/>
      <c r="M130" s="61"/>
      <c r="N130" s="139"/>
      <c r="O130" s="139"/>
      <c r="P130" s="145"/>
      <c r="Q130" s="43"/>
      <c r="R130" s="145"/>
      <c r="S130" s="43"/>
      <c r="T130" s="88"/>
      <c r="U130" s="40"/>
      <c r="V130" s="40"/>
      <c r="W130" s="88"/>
      <c r="X130" s="40"/>
      <c r="Y130" s="40"/>
      <c r="Z130" s="40"/>
      <c r="AA130" s="40"/>
      <c r="AB130" s="40"/>
      <c r="AC130" s="42"/>
      <c r="AD130" s="40"/>
      <c r="AE130" s="40"/>
      <c r="AF130" s="40"/>
      <c r="AG130" s="40"/>
      <c r="AH130" s="30"/>
      <c r="AI130" s="29"/>
      <c r="AJ130" s="40"/>
    </row>
    <row r="131" ht="15.75" customHeight="1">
      <c r="A131" s="43"/>
      <c r="B131" s="43"/>
      <c r="C131" s="15"/>
      <c r="D131" s="15"/>
      <c r="E131" s="15"/>
      <c r="F131" s="146"/>
      <c r="G131" s="139"/>
      <c r="H131" s="139"/>
      <c r="I131" s="15"/>
      <c r="J131" s="43"/>
      <c r="K131" s="43"/>
      <c r="L131" s="43"/>
      <c r="M131" s="61"/>
      <c r="N131" s="139"/>
      <c r="O131" s="139"/>
      <c r="P131" s="145"/>
      <c r="Q131" s="43"/>
      <c r="R131" s="145"/>
      <c r="S131" s="43"/>
      <c r="T131" s="88"/>
      <c r="U131" s="40"/>
      <c r="V131" s="40"/>
      <c r="W131" s="88"/>
      <c r="X131" s="40"/>
      <c r="Y131" s="40"/>
      <c r="Z131" s="40"/>
      <c r="AA131" s="40"/>
      <c r="AB131" s="40"/>
      <c r="AC131" s="42"/>
      <c r="AD131" s="40"/>
      <c r="AE131" s="40"/>
      <c r="AF131" s="40"/>
      <c r="AG131" s="40"/>
      <c r="AH131" s="30"/>
      <c r="AI131" s="29"/>
      <c r="AJ131" s="40"/>
    </row>
    <row r="132" ht="15.75" customHeight="1">
      <c r="A132" s="43"/>
      <c r="B132" s="43"/>
      <c r="C132" s="15"/>
      <c r="D132" s="15"/>
      <c r="E132" s="15"/>
      <c r="F132" s="146"/>
      <c r="G132" s="139"/>
      <c r="H132" s="139"/>
      <c r="I132" s="15"/>
      <c r="J132" s="43"/>
      <c r="K132" s="43"/>
      <c r="L132" s="43"/>
      <c r="M132" s="61"/>
      <c r="N132" s="139"/>
      <c r="O132" s="139"/>
      <c r="P132" s="145"/>
      <c r="Q132" s="43"/>
      <c r="R132" s="145"/>
      <c r="S132" s="43"/>
      <c r="T132" s="88"/>
      <c r="U132" s="40"/>
      <c r="V132" s="40"/>
      <c r="W132" s="88"/>
      <c r="X132" s="40"/>
      <c r="Y132" s="40"/>
      <c r="Z132" s="40"/>
      <c r="AA132" s="40"/>
      <c r="AB132" s="40"/>
      <c r="AC132" s="42"/>
      <c r="AD132" s="40"/>
      <c r="AE132" s="40"/>
      <c r="AF132" s="40"/>
      <c r="AG132" s="40"/>
      <c r="AH132" s="30"/>
      <c r="AI132" s="29"/>
      <c r="AJ132" s="40"/>
    </row>
    <row r="133" ht="15.75" customHeight="1">
      <c r="A133" s="43"/>
      <c r="B133" s="43"/>
      <c r="C133" s="15"/>
      <c r="D133" s="15"/>
      <c r="E133" s="15"/>
      <c r="F133" s="146"/>
      <c r="G133" s="139"/>
      <c r="H133" s="139"/>
      <c r="I133" s="15"/>
      <c r="J133" s="43"/>
      <c r="K133" s="43"/>
      <c r="L133" s="43"/>
      <c r="M133" s="61"/>
      <c r="N133" s="139"/>
      <c r="O133" s="139"/>
      <c r="P133" s="145"/>
      <c r="Q133" s="43"/>
      <c r="R133" s="145"/>
      <c r="S133" s="43"/>
      <c r="T133" s="88"/>
      <c r="U133" s="40"/>
      <c r="V133" s="40"/>
      <c r="W133" s="88"/>
      <c r="X133" s="40"/>
      <c r="Y133" s="40"/>
      <c r="Z133" s="40"/>
      <c r="AA133" s="40"/>
      <c r="AB133" s="40"/>
      <c r="AC133" s="42"/>
      <c r="AD133" s="40"/>
      <c r="AE133" s="40"/>
      <c r="AF133" s="40"/>
      <c r="AG133" s="40"/>
      <c r="AH133" s="30"/>
      <c r="AI133" s="29"/>
      <c r="AJ133" s="40"/>
    </row>
    <row r="134" ht="15.75" customHeight="1">
      <c r="A134" s="43"/>
      <c r="B134" s="43"/>
      <c r="C134" s="15"/>
      <c r="D134" s="15"/>
      <c r="E134" s="15"/>
      <c r="F134" s="146"/>
      <c r="G134" s="139"/>
      <c r="H134" s="139"/>
      <c r="I134" s="15"/>
      <c r="J134" s="43"/>
      <c r="K134" s="43"/>
      <c r="L134" s="43"/>
      <c r="M134" s="61"/>
      <c r="N134" s="139"/>
      <c r="O134" s="139"/>
      <c r="P134" s="145"/>
      <c r="Q134" s="43"/>
      <c r="R134" s="145"/>
      <c r="S134" s="43"/>
      <c r="T134" s="88"/>
      <c r="U134" s="40"/>
      <c r="V134" s="40"/>
      <c r="W134" s="88"/>
      <c r="X134" s="40"/>
      <c r="Y134" s="40"/>
      <c r="Z134" s="40"/>
      <c r="AA134" s="40"/>
      <c r="AB134" s="40"/>
      <c r="AC134" s="42"/>
      <c r="AD134" s="40"/>
      <c r="AE134" s="40"/>
      <c r="AF134" s="40"/>
      <c r="AG134" s="40"/>
      <c r="AH134" s="30"/>
      <c r="AI134" s="29"/>
      <c r="AJ134" s="40"/>
    </row>
    <row r="135" ht="15.75" customHeight="1">
      <c r="A135" s="43"/>
      <c r="B135" s="43"/>
      <c r="C135" s="15"/>
      <c r="D135" s="15"/>
      <c r="E135" s="15"/>
      <c r="F135" s="146"/>
      <c r="G135" s="139"/>
      <c r="H135" s="139"/>
      <c r="I135" s="15"/>
      <c r="J135" s="43"/>
      <c r="K135" s="43"/>
      <c r="L135" s="43"/>
      <c r="M135" s="61"/>
      <c r="N135" s="139"/>
      <c r="O135" s="139"/>
      <c r="P135" s="145"/>
      <c r="Q135" s="43"/>
      <c r="R135" s="145"/>
      <c r="S135" s="43"/>
      <c r="T135" s="88"/>
      <c r="U135" s="40"/>
      <c r="V135" s="40"/>
      <c r="W135" s="88"/>
      <c r="X135" s="40"/>
      <c r="Y135" s="40"/>
      <c r="Z135" s="40"/>
      <c r="AA135" s="40"/>
      <c r="AB135" s="40"/>
      <c r="AC135" s="42"/>
      <c r="AD135" s="40"/>
      <c r="AE135" s="40"/>
      <c r="AF135" s="40"/>
      <c r="AG135" s="40"/>
      <c r="AH135" s="30"/>
      <c r="AI135" s="29"/>
      <c r="AJ135" s="40"/>
    </row>
    <row r="136" ht="15.75" customHeight="1">
      <c r="A136" s="43"/>
      <c r="B136" s="43"/>
      <c r="C136" s="15"/>
      <c r="D136" s="15"/>
      <c r="E136" s="15"/>
      <c r="F136" s="146"/>
      <c r="G136" s="139"/>
      <c r="H136" s="139"/>
      <c r="I136" s="15"/>
      <c r="J136" s="43"/>
      <c r="K136" s="43"/>
      <c r="L136" s="43"/>
      <c r="M136" s="61"/>
      <c r="N136" s="139"/>
      <c r="O136" s="139"/>
      <c r="P136" s="145"/>
      <c r="Q136" s="43"/>
      <c r="R136" s="145"/>
      <c r="S136" s="43"/>
      <c r="T136" s="88"/>
      <c r="U136" s="40"/>
      <c r="V136" s="40"/>
      <c r="W136" s="88"/>
      <c r="X136" s="40"/>
      <c r="Y136" s="40"/>
      <c r="Z136" s="40"/>
      <c r="AA136" s="40"/>
      <c r="AB136" s="40"/>
      <c r="AC136" s="42"/>
      <c r="AD136" s="40"/>
      <c r="AE136" s="40"/>
      <c r="AF136" s="40"/>
      <c r="AG136" s="40"/>
      <c r="AH136" s="30"/>
      <c r="AI136" s="29"/>
      <c r="AJ136" s="40"/>
    </row>
    <row r="137" ht="15.75" customHeight="1">
      <c r="A137" s="43"/>
      <c r="B137" s="43"/>
      <c r="C137" s="15"/>
      <c r="D137" s="15"/>
      <c r="E137" s="15"/>
      <c r="F137" s="146"/>
      <c r="G137" s="139"/>
      <c r="H137" s="139"/>
      <c r="I137" s="15"/>
      <c r="J137" s="43"/>
      <c r="K137" s="43"/>
      <c r="L137" s="43"/>
      <c r="M137" s="61"/>
      <c r="N137" s="139"/>
      <c r="O137" s="139"/>
      <c r="P137" s="145"/>
      <c r="Q137" s="43"/>
      <c r="R137" s="145"/>
      <c r="S137" s="43"/>
      <c r="T137" s="88"/>
      <c r="U137" s="40"/>
      <c r="V137" s="40"/>
      <c r="W137" s="88"/>
      <c r="X137" s="40"/>
      <c r="Y137" s="40"/>
      <c r="Z137" s="40"/>
      <c r="AA137" s="40"/>
      <c r="AB137" s="40"/>
      <c r="AC137" s="42"/>
      <c r="AD137" s="40"/>
      <c r="AE137" s="40"/>
      <c r="AF137" s="40"/>
      <c r="AG137" s="40"/>
      <c r="AH137" s="30"/>
      <c r="AI137" s="29"/>
      <c r="AJ137" s="40"/>
    </row>
    <row r="138" ht="15.75" customHeight="1">
      <c r="A138" s="43"/>
      <c r="B138" s="43"/>
      <c r="C138" s="15"/>
      <c r="D138" s="15"/>
      <c r="E138" s="15"/>
      <c r="F138" s="146"/>
      <c r="G138" s="139"/>
      <c r="H138" s="139"/>
      <c r="I138" s="15"/>
      <c r="J138" s="43"/>
      <c r="K138" s="43"/>
      <c r="L138" s="43"/>
      <c r="M138" s="61"/>
      <c r="N138" s="139"/>
      <c r="O138" s="139"/>
      <c r="P138" s="145"/>
      <c r="Q138" s="43"/>
      <c r="R138" s="145"/>
      <c r="S138" s="43"/>
      <c r="T138" s="88"/>
      <c r="U138" s="40"/>
      <c r="V138" s="40"/>
      <c r="W138" s="88"/>
      <c r="X138" s="40"/>
      <c r="Y138" s="40"/>
      <c r="Z138" s="40"/>
      <c r="AA138" s="40"/>
      <c r="AB138" s="40"/>
      <c r="AC138" s="42"/>
      <c r="AD138" s="40"/>
      <c r="AE138" s="40"/>
      <c r="AF138" s="40"/>
      <c r="AG138" s="40"/>
      <c r="AH138" s="30"/>
      <c r="AI138" s="29"/>
      <c r="AJ138" s="40"/>
    </row>
    <row r="139" ht="15.75" customHeight="1">
      <c r="A139" s="43"/>
      <c r="B139" s="43"/>
      <c r="C139" s="15"/>
      <c r="D139" s="15"/>
      <c r="E139" s="15"/>
      <c r="F139" s="146"/>
      <c r="G139" s="139"/>
      <c r="H139" s="139"/>
      <c r="I139" s="15"/>
      <c r="J139" s="43"/>
      <c r="K139" s="43"/>
      <c r="L139" s="43"/>
      <c r="M139" s="61"/>
      <c r="N139" s="139"/>
      <c r="O139" s="139"/>
      <c r="P139" s="145"/>
      <c r="Q139" s="43"/>
      <c r="R139" s="145"/>
      <c r="S139" s="43"/>
      <c r="T139" s="88"/>
      <c r="U139" s="40"/>
      <c r="V139" s="40"/>
      <c r="W139" s="88"/>
      <c r="X139" s="40"/>
      <c r="Y139" s="40"/>
      <c r="Z139" s="40"/>
      <c r="AA139" s="40"/>
      <c r="AB139" s="40"/>
      <c r="AC139" s="42"/>
      <c r="AD139" s="40"/>
      <c r="AE139" s="40"/>
      <c r="AF139" s="40"/>
      <c r="AG139" s="40"/>
      <c r="AH139" s="30"/>
      <c r="AI139" s="29"/>
      <c r="AJ139" s="40"/>
    </row>
    <row r="140" ht="15.75" customHeight="1">
      <c r="A140" s="43"/>
      <c r="B140" s="43"/>
      <c r="C140" s="15"/>
      <c r="D140" s="15"/>
      <c r="E140" s="15"/>
      <c r="F140" s="146"/>
      <c r="G140" s="139"/>
      <c r="H140" s="139"/>
      <c r="I140" s="15"/>
      <c r="J140" s="43"/>
      <c r="K140" s="43"/>
      <c r="L140" s="43"/>
      <c r="M140" s="61"/>
      <c r="N140" s="139"/>
      <c r="O140" s="139"/>
      <c r="P140" s="145"/>
      <c r="Q140" s="43"/>
      <c r="R140" s="145"/>
      <c r="S140" s="43"/>
      <c r="T140" s="88"/>
      <c r="U140" s="40"/>
      <c r="V140" s="40"/>
      <c r="W140" s="88"/>
      <c r="X140" s="40"/>
      <c r="Y140" s="40"/>
      <c r="Z140" s="40"/>
      <c r="AA140" s="40"/>
      <c r="AB140" s="40"/>
      <c r="AC140" s="42"/>
      <c r="AD140" s="40"/>
      <c r="AE140" s="40"/>
      <c r="AF140" s="40"/>
      <c r="AG140" s="40"/>
      <c r="AH140" s="30"/>
      <c r="AI140" s="29"/>
      <c r="AJ140" s="40"/>
    </row>
    <row r="141" ht="15.75" customHeight="1">
      <c r="A141" s="43"/>
      <c r="B141" s="43"/>
      <c r="C141" s="15"/>
      <c r="D141" s="15"/>
      <c r="E141" s="15"/>
      <c r="F141" s="146"/>
      <c r="G141" s="139"/>
      <c r="H141" s="139"/>
      <c r="I141" s="15"/>
      <c r="J141" s="43"/>
      <c r="K141" s="43"/>
      <c r="L141" s="43"/>
      <c r="M141" s="61"/>
      <c r="N141" s="139"/>
      <c r="O141" s="139"/>
      <c r="P141" s="145"/>
      <c r="Q141" s="43"/>
      <c r="R141" s="145"/>
      <c r="S141" s="43"/>
      <c r="T141" s="88"/>
      <c r="U141" s="40"/>
      <c r="V141" s="40"/>
      <c r="W141" s="88"/>
      <c r="X141" s="40"/>
      <c r="Y141" s="40"/>
      <c r="Z141" s="40"/>
      <c r="AA141" s="40"/>
      <c r="AB141" s="40"/>
      <c r="AC141" s="42"/>
      <c r="AD141" s="40"/>
      <c r="AE141" s="40"/>
      <c r="AF141" s="40"/>
      <c r="AG141" s="40"/>
      <c r="AH141" s="30"/>
      <c r="AI141" s="29"/>
      <c r="AJ141" s="40"/>
    </row>
    <row r="142" ht="15.75" customHeight="1">
      <c r="A142" s="43"/>
      <c r="B142" s="43"/>
      <c r="C142" s="15"/>
      <c r="D142" s="15"/>
      <c r="E142" s="15"/>
      <c r="F142" s="146"/>
      <c r="G142" s="139"/>
      <c r="H142" s="139"/>
      <c r="I142" s="15"/>
      <c r="J142" s="43"/>
      <c r="K142" s="43"/>
      <c r="L142" s="43"/>
      <c r="M142" s="61"/>
      <c r="N142" s="139"/>
      <c r="O142" s="139"/>
      <c r="P142" s="145"/>
      <c r="Q142" s="43"/>
      <c r="R142" s="145"/>
      <c r="S142" s="43"/>
      <c r="T142" s="88"/>
      <c r="U142" s="40"/>
      <c r="V142" s="40"/>
      <c r="W142" s="88"/>
      <c r="X142" s="40"/>
      <c r="Y142" s="40"/>
      <c r="Z142" s="40"/>
      <c r="AA142" s="40"/>
      <c r="AB142" s="40"/>
      <c r="AC142" s="42"/>
      <c r="AD142" s="40"/>
      <c r="AE142" s="40"/>
      <c r="AF142" s="40"/>
      <c r="AG142" s="40"/>
      <c r="AH142" s="30"/>
      <c r="AI142" s="29"/>
      <c r="AJ142" s="40"/>
    </row>
    <row r="143" ht="15.75" customHeight="1">
      <c r="A143" s="43"/>
      <c r="B143" s="43"/>
      <c r="C143" s="15"/>
      <c r="D143" s="15"/>
      <c r="E143" s="15"/>
      <c r="F143" s="146"/>
      <c r="G143" s="139"/>
      <c r="H143" s="139"/>
      <c r="I143" s="15"/>
      <c r="J143" s="43"/>
      <c r="K143" s="43"/>
      <c r="L143" s="43"/>
      <c r="M143" s="61"/>
      <c r="N143" s="139"/>
      <c r="O143" s="139"/>
      <c r="P143" s="145"/>
      <c r="Q143" s="43"/>
      <c r="R143" s="145"/>
      <c r="S143" s="43"/>
      <c r="T143" s="88"/>
      <c r="U143" s="40"/>
      <c r="V143" s="40"/>
      <c r="W143" s="88"/>
      <c r="X143" s="40"/>
      <c r="Y143" s="40"/>
      <c r="Z143" s="40"/>
      <c r="AA143" s="40"/>
      <c r="AB143" s="40"/>
      <c r="AC143" s="42"/>
      <c r="AD143" s="40"/>
      <c r="AE143" s="40"/>
      <c r="AF143" s="40"/>
      <c r="AG143" s="40"/>
      <c r="AH143" s="30"/>
      <c r="AI143" s="29"/>
      <c r="AJ143" s="40"/>
    </row>
    <row r="144" ht="15.75" customHeight="1">
      <c r="A144" s="43"/>
      <c r="B144" s="43"/>
      <c r="C144" s="15"/>
      <c r="D144" s="15"/>
      <c r="E144" s="15"/>
      <c r="F144" s="146"/>
      <c r="G144" s="139"/>
      <c r="H144" s="139"/>
      <c r="I144" s="15"/>
      <c r="J144" s="43"/>
      <c r="K144" s="43"/>
      <c r="L144" s="43"/>
      <c r="M144" s="61"/>
      <c r="N144" s="139"/>
      <c r="O144" s="139"/>
      <c r="P144" s="145"/>
      <c r="Q144" s="43"/>
      <c r="R144" s="145"/>
      <c r="S144" s="43"/>
      <c r="T144" s="88"/>
      <c r="U144" s="40"/>
      <c r="V144" s="40"/>
      <c r="W144" s="88"/>
      <c r="X144" s="40"/>
      <c r="Y144" s="40"/>
      <c r="Z144" s="40"/>
      <c r="AA144" s="40"/>
      <c r="AB144" s="40"/>
      <c r="AC144" s="42"/>
      <c r="AD144" s="40"/>
      <c r="AE144" s="40"/>
      <c r="AF144" s="40"/>
      <c r="AG144" s="40"/>
      <c r="AH144" s="30"/>
      <c r="AI144" s="29"/>
      <c r="AJ144" s="40"/>
    </row>
    <row r="145" ht="15.75" customHeight="1">
      <c r="A145" s="43"/>
      <c r="B145" s="43"/>
      <c r="C145" s="15"/>
      <c r="D145" s="15"/>
      <c r="E145" s="15"/>
      <c r="F145" s="146"/>
      <c r="G145" s="139"/>
      <c r="H145" s="139"/>
      <c r="I145" s="15"/>
      <c r="J145" s="43"/>
      <c r="K145" s="43"/>
      <c r="L145" s="43"/>
      <c r="M145" s="61"/>
      <c r="N145" s="139"/>
      <c r="O145" s="139"/>
      <c r="P145" s="145"/>
      <c r="Q145" s="43"/>
      <c r="R145" s="145"/>
      <c r="S145" s="43"/>
      <c r="T145" s="88"/>
      <c r="U145" s="40"/>
      <c r="V145" s="40"/>
      <c r="W145" s="88"/>
      <c r="X145" s="40"/>
      <c r="Y145" s="40"/>
      <c r="Z145" s="40"/>
      <c r="AA145" s="40"/>
      <c r="AB145" s="40"/>
      <c r="AC145" s="42"/>
      <c r="AD145" s="40"/>
      <c r="AE145" s="40"/>
      <c r="AF145" s="40"/>
      <c r="AG145" s="40"/>
      <c r="AH145" s="30"/>
      <c r="AI145" s="29"/>
      <c r="AJ145" s="40"/>
    </row>
    <row r="146" ht="15.75" customHeight="1">
      <c r="A146" s="43"/>
      <c r="B146" s="43"/>
      <c r="C146" s="15"/>
      <c r="D146" s="15"/>
      <c r="E146" s="15"/>
      <c r="F146" s="146"/>
      <c r="G146" s="139"/>
      <c r="H146" s="139"/>
      <c r="I146" s="15"/>
      <c r="J146" s="43"/>
      <c r="K146" s="43"/>
      <c r="L146" s="43"/>
      <c r="M146" s="61"/>
      <c r="N146" s="139"/>
      <c r="O146" s="139"/>
      <c r="P146" s="145"/>
      <c r="Q146" s="43"/>
      <c r="R146" s="145"/>
      <c r="S146" s="43"/>
      <c r="T146" s="88"/>
      <c r="U146" s="40"/>
      <c r="V146" s="40"/>
      <c r="W146" s="88"/>
      <c r="X146" s="40"/>
      <c r="Y146" s="40"/>
      <c r="Z146" s="40"/>
      <c r="AA146" s="40"/>
      <c r="AB146" s="40"/>
      <c r="AC146" s="42"/>
      <c r="AD146" s="40"/>
      <c r="AE146" s="40"/>
      <c r="AF146" s="40"/>
      <c r="AG146" s="40"/>
      <c r="AH146" s="30"/>
      <c r="AI146" s="29"/>
      <c r="AJ146" s="40"/>
    </row>
    <row r="147" ht="15.75" customHeight="1">
      <c r="A147" s="43"/>
      <c r="B147" s="43"/>
      <c r="C147" s="15"/>
      <c r="D147" s="15"/>
      <c r="E147" s="15"/>
      <c r="F147" s="146"/>
      <c r="G147" s="139"/>
      <c r="H147" s="139"/>
      <c r="I147" s="15"/>
      <c r="J147" s="43"/>
      <c r="K147" s="43"/>
      <c r="L147" s="43"/>
      <c r="M147" s="61"/>
      <c r="N147" s="139"/>
      <c r="O147" s="139"/>
      <c r="P147" s="145"/>
      <c r="Q147" s="43"/>
      <c r="R147" s="145"/>
      <c r="S147" s="43"/>
      <c r="T147" s="88"/>
      <c r="U147" s="40"/>
      <c r="V147" s="40"/>
      <c r="W147" s="88"/>
      <c r="X147" s="40"/>
      <c r="Y147" s="40"/>
      <c r="Z147" s="40"/>
      <c r="AA147" s="40"/>
      <c r="AB147" s="40"/>
      <c r="AC147" s="42"/>
      <c r="AD147" s="40"/>
      <c r="AE147" s="40"/>
      <c r="AF147" s="40"/>
      <c r="AG147" s="40"/>
      <c r="AH147" s="30"/>
      <c r="AI147" s="29"/>
      <c r="AJ147" s="40"/>
    </row>
    <row r="148" ht="15.75" customHeight="1">
      <c r="A148" s="43"/>
      <c r="B148" s="43"/>
      <c r="C148" s="15"/>
      <c r="D148" s="15"/>
      <c r="E148" s="15"/>
      <c r="F148" s="146"/>
      <c r="G148" s="139"/>
      <c r="H148" s="139"/>
      <c r="I148" s="15"/>
      <c r="J148" s="43"/>
      <c r="K148" s="43"/>
      <c r="L148" s="43"/>
      <c r="M148" s="61"/>
      <c r="N148" s="139"/>
      <c r="O148" s="139"/>
      <c r="P148" s="145"/>
      <c r="Q148" s="43"/>
      <c r="R148" s="145"/>
      <c r="S148" s="43"/>
      <c r="T148" s="88"/>
      <c r="U148" s="40"/>
      <c r="V148" s="40"/>
      <c r="W148" s="88"/>
      <c r="X148" s="40"/>
      <c r="Y148" s="40"/>
      <c r="Z148" s="40"/>
      <c r="AA148" s="40"/>
      <c r="AB148" s="40"/>
      <c r="AC148" s="42"/>
      <c r="AD148" s="40"/>
      <c r="AE148" s="40"/>
      <c r="AF148" s="40"/>
      <c r="AG148" s="40"/>
      <c r="AH148" s="30"/>
      <c r="AI148" s="29"/>
      <c r="AJ148" s="40"/>
    </row>
    <row r="149" ht="15.75" customHeight="1">
      <c r="A149" s="43"/>
      <c r="B149" s="43"/>
      <c r="C149" s="15"/>
      <c r="D149" s="15"/>
      <c r="E149" s="15"/>
      <c r="F149" s="146"/>
      <c r="G149" s="139"/>
      <c r="H149" s="139"/>
      <c r="I149" s="15"/>
      <c r="J149" s="43"/>
      <c r="K149" s="43"/>
      <c r="L149" s="43"/>
      <c r="M149" s="61"/>
      <c r="N149" s="139"/>
      <c r="O149" s="139"/>
      <c r="P149" s="145"/>
      <c r="Q149" s="43"/>
      <c r="R149" s="145"/>
      <c r="S149" s="43"/>
      <c r="T149" s="88"/>
      <c r="U149" s="40"/>
      <c r="V149" s="40"/>
      <c r="W149" s="88"/>
      <c r="X149" s="40"/>
      <c r="Y149" s="40"/>
      <c r="Z149" s="40"/>
      <c r="AA149" s="40"/>
      <c r="AB149" s="40"/>
      <c r="AC149" s="42"/>
      <c r="AD149" s="40"/>
      <c r="AE149" s="40"/>
      <c r="AF149" s="40"/>
      <c r="AG149" s="40"/>
      <c r="AH149" s="30"/>
      <c r="AI149" s="29"/>
      <c r="AJ149" s="40"/>
    </row>
    <row r="150" ht="15.75" customHeight="1">
      <c r="A150" s="43"/>
      <c r="B150" s="43"/>
      <c r="C150" s="15"/>
      <c r="D150" s="15"/>
      <c r="E150" s="15"/>
      <c r="F150" s="146"/>
      <c r="G150" s="139"/>
      <c r="H150" s="139"/>
      <c r="I150" s="15"/>
      <c r="J150" s="43"/>
      <c r="K150" s="43"/>
      <c r="L150" s="43"/>
      <c r="M150" s="61"/>
      <c r="N150" s="139"/>
      <c r="O150" s="139"/>
      <c r="P150" s="145"/>
      <c r="Q150" s="43"/>
      <c r="R150" s="145"/>
      <c r="S150" s="43"/>
      <c r="T150" s="88"/>
      <c r="U150" s="40"/>
      <c r="V150" s="40"/>
      <c r="W150" s="88"/>
      <c r="X150" s="40"/>
      <c r="Y150" s="40"/>
      <c r="Z150" s="40"/>
      <c r="AA150" s="40"/>
      <c r="AB150" s="40"/>
      <c r="AC150" s="42"/>
      <c r="AD150" s="40"/>
      <c r="AE150" s="40"/>
      <c r="AF150" s="40"/>
      <c r="AG150" s="40"/>
      <c r="AH150" s="30"/>
      <c r="AI150" s="29"/>
      <c r="AJ150" s="40"/>
    </row>
    <row r="151" ht="15.75" customHeight="1">
      <c r="A151" s="43"/>
      <c r="B151" s="43"/>
      <c r="C151" s="15"/>
      <c r="D151" s="15"/>
      <c r="E151" s="15"/>
      <c r="F151" s="146"/>
      <c r="G151" s="139"/>
      <c r="H151" s="139"/>
      <c r="I151" s="15"/>
      <c r="J151" s="43"/>
      <c r="K151" s="43"/>
      <c r="L151" s="43"/>
      <c r="M151" s="61"/>
      <c r="N151" s="139"/>
      <c r="O151" s="139"/>
      <c r="P151" s="145"/>
      <c r="Q151" s="43"/>
      <c r="R151" s="145"/>
      <c r="S151" s="43"/>
      <c r="T151" s="88"/>
      <c r="U151" s="40"/>
      <c r="V151" s="40"/>
      <c r="W151" s="88"/>
      <c r="X151" s="40"/>
      <c r="Y151" s="40"/>
      <c r="Z151" s="40"/>
      <c r="AA151" s="40"/>
      <c r="AB151" s="40"/>
      <c r="AC151" s="42"/>
      <c r="AD151" s="40"/>
      <c r="AE151" s="40"/>
      <c r="AF151" s="40"/>
      <c r="AG151" s="40"/>
      <c r="AH151" s="30"/>
      <c r="AI151" s="29"/>
      <c r="AJ151" s="40"/>
    </row>
    <row r="152" ht="15.75" customHeight="1">
      <c r="A152" s="43"/>
      <c r="B152" s="43"/>
      <c r="C152" s="15"/>
      <c r="D152" s="15"/>
      <c r="E152" s="15"/>
      <c r="F152" s="146"/>
      <c r="G152" s="139"/>
      <c r="H152" s="139"/>
      <c r="I152" s="15"/>
      <c r="J152" s="43"/>
      <c r="K152" s="43"/>
      <c r="L152" s="43"/>
      <c r="M152" s="61"/>
      <c r="N152" s="139"/>
      <c r="O152" s="139"/>
      <c r="P152" s="145"/>
      <c r="Q152" s="43"/>
      <c r="R152" s="145"/>
      <c r="S152" s="43"/>
      <c r="T152" s="88"/>
      <c r="U152" s="40"/>
      <c r="V152" s="40"/>
      <c r="W152" s="88"/>
      <c r="X152" s="40"/>
      <c r="Y152" s="40"/>
      <c r="Z152" s="40"/>
      <c r="AA152" s="40"/>
      <c r="AB152" s="40"/>
      <c r="AC152" s="42"/>
      <c r="AD152" s="40"/>
      <c r="AE152" s="40"/>
      <c r="AF152" s="40"/>
      <c r="AG152" s="40"/>
      <c r="AH152" s="30"/>
      <c r="AI152" s="29"/>
      <c r="AJ152" s="40"/>
    </row>
    <row r="153" ht="15.75" customHeight="1">
      <c r="A153" s="43"/>
      <c r="B153" s="43"/>
      <c r="C153" s="15"/>
      <c r="D153" s="15"/>
      <c r="E153" s="15"/>
      <c r="F153" s="146"/>
      <c r="G153" s="139"/>
      <c r="H153" s="139"/>
      <c r="I153" s="15"/>
      <c r="J153" s="43"/>
      <c r="K153" s="43"/>
      <c r="L153" s="43"/>
      <c r="M153" s="61"/>
      <c r="N153" s="139"/>
      <c r="O153" s="139"/>
      <c r="P153" s="145"/>
      <c r="Q153" s="43"/>
      <c r="R153" s="145"/>
      <c r="S153" s="43"/>
      <c r="T153" s="88"/>
      <c r="U153" s="40"/>
      <c r="V153" s="40"/>
      <c r="W153" s="88"/>
      <c r="X153" s="40"/>
      <c r="Y153" s="40"/>
      <c r="Z153" s="40"/>
      <c r="AA153" s="40"/>
      <c r="AB153" s="40"/>
      <c r="AC153" s="42"/>
      <c r="AD153" s="40"/>
      <c r="AE153" s="40"/>
      <c r="AF153" s="40"/>
      <c r="AG153" s="40"/>
      <c r="AH153" s="30"/>
      <c r="AI153" s="29"/>
      <c r="AJ153" s="40"/>
    </row>
    <row r="154" ht="15.75" customHeight="1">
      <c r="A154" s="43"/>
      <c r="B154" s="43"/>
      <c r="C154" s="15"/>
      <c r="D154" s="15"/>
      <c r="E154" s="15"/>
      <c r="F154" s="146"/>
      <c r="G154" s="139"/>
      <c r="H154" s="139"/>
      <c r="I154" s="15"/>
      <c r="J154" s="43"/>
      <c r="K154" s="43"/>
      <c r="L154" s="43"/>
      <c r="M154" s="61"/>
      <c r="N154" s="139"/>
      <c r="O154" s="139"/>
      <c r="P154" s="145"/>
      <c r="Q154" s="43"/>
      <c r="R154" s="145"/>
      <c r="S154" s="43"/>
      <c r="T154" s="88"/>
      <c r="U154" s="40"/>
      <c r="V154" s="40"/>
      <c r="W154" s="88"/>
      <c r="X154" s="40"/>
      <c r="Y154" s="40"/>
      <c r="Z154" s="40"/>
      <c r="AA154" s="40"/>
      <c r="AB154" s="40"/>
      <c r="AC154" s="42"/>
      <c r="AD154" s="40"/>
      <c r="AE154" s="40"/>
      <c r="AF154" s="40"/>
      <c r="AG154" s="40"/>
      <c r="AH154" s="30"/>
      <c r="AI154" s="29"/>
      <c r="AJ154" s="40"/>
    </row>
    <row r="155" ht="15.75" customHeight="1">
      <c r="A155" s="43"/>
      <c r="B155" s="43"/>
      <c r="C155" s="15"/>
      <c r="D155" s="15"/>
      <c r="E155" s="15"/>
      <c r="F155" s="146"/>
      <c r="G155" s="139"/>
      <c r="H155" s="139"/>
      <c r="I155" s="15"/>
      <c r="J155" s="43"/>
      <c r="K155" s="43"/>
      <c r="L155" s="43"/>
      <c r="M155" s="61"/>
      <c r="N155" s="139"/>
      <c r="O155" s="139"/>
      <c r="P155" s="145"/>
      <c r="Q155" s="43"/>
      <c r="R155" s="145"/>
      <c r="S155" s="43"/>
      <c r="T155" s="88"/>
      <c r="U155" s="40"/>
      <c r="V155" s="40"/>
      <c r="W155" s="88"/>
      <c r="X155" s="40"/>
      <c r="Y155" s="40"/>
      <c r="Z155" s="40"/>
      <c r="AA155" s="40"/>
      <c r="AB155" s="40"/>
      <c r="AC155" s="42"/>
      <c r="AD155" s="40"/>
      <c r="AE155" s="40"/>
      <c r="AF155" s="40"/>
      <c r="AG155" s="40"/>
      <c r="AH155" s="30"/>
      <c r="AI155" s="29"/>
      <c r="AJ155" s="40"/>
    </row>
    <row r="156" ht="15.75" customHeight="1">
      <c r="A156" s="43"/>
      <c r="B156" s="43"/>
      <c r="C156" s="15"/>
      <c r="D156" s="15"/>
      <c r="E156" s="15"/>
      <c r="F156" s="146"/>
      <c r="G156" s="139"/>
      <c r="H156" s="139"/>
      <c r="I156" s="15"/>
      <c r="J156" s="43"/>
      <c r="K156" s="43"/>
      <c r="L156" s="43"/>
      <c r="M156" s="61"/>
      <c r="N156" s="139"/>
      <c r="O156" s="139"/>
      <c r="P156" s="145"/>
      <c r="Q156" s="43"/>
      <c r="R156" s="145"/>
      <c r="S156" s="43"/>
      <c r="T156" s="88"/>
      <c r="U156" s="40"/>
      <c r="V156" s="40"/>
      <c r="W156" s="88"/>
      <c r="X156" s="40"/>
      <c r="Y156" s="40"/>
      <c r="Z156" s="40"/>
      <c r="AA156" s="40"/>
      <c r="AB156" s="40"/>
      <c r="AC156" s="42"/>
      <c r="AD156" s="40"/>
      <c r="AE156" s="40"/>
      <c r="AF156" s="40"/>
      <c r="AG156" s="40"/>
      <c r="AH156" s="30"/>
      <c r="AI156" s="29"/>
      <c r="AJ156" s="40"/>
    </row>
    <row r="157" ht="15.75" customHeight="1">
      <c r="A157" s="43"/>
      <c r="B157" s="43"/>
      <c r="C157" s="15"/>
      <c r="D157" s="15"/>
      <c r="E157" s="15"/>
      <c r="F157" s="146"/>
      <c r="G157" s="139"/>
      <c r="H157" s="139"/>
      <c r="I157" s="15"/>
      <c r="J157" s="43"/>
      <c r="K157" s="43"/>
      <c r="L157" s="43"/>
      <c r="M157" s="61"/>
      <c r="N157" s="139"/>
      <c r="O157" s="139"/>
      <c r="P157" s="145"/>
      <c r="Q157" s="43"/>
      <c r="R157" s="145"/>
      <c r="S157" s="43"/>
      <c r="T157" s="88"/>
      <c r="U157" s="40"/>
      <c r="V157" s="40"/>
      <c r="W157" s="88"/>
      <c r="X157" s="40"/>
      <c r="Y157" s="40"/>
      <c r="Z157" s="40"/>
      <c r="AA157" s="40"/>
      <c r="AB157" s="40"/>
      <c r="AC157" s="42"/>
      <c r="AD157" s="40"/>
      <c r="AE157" s="40"/>
      <c r="AF157" s="40"/>
      <c r="AG157" s="40"/>
      <c r="AH157" s="30"/>
      <c r="AI157" s="29"/>
      <c r="AJ157" s="40"/>
    </row>
    <row r="158" ht="15.75" customHeight="1">
      <c r="A158" s="43"/>
      <c r="B158" s="43"/>
      <c r="C158" s="15"/>
      <c r="D158" s="15"/>
      <c r="E158" s="15"/>
      <c r="F158" s="146"/>
      <c r="G158" s="139"/>
      <c r="H158" s="139"/>
      <c r="I158" s="15"/>
      <c r="J158" s="43"/>
      <c r="K158" s="43"/>
      <c r="L158" s="43"/>
      <c r="M158" s="61"/>
      <c r="N158" s="139"/>
      <c r="O158" s="139"/>
      <c r="P158" s="145"/>
      <c r="Q158" s="43"/>
      <c r="R158" s="145"/>
      <c r="S158" s="43"/>
      <c r="T158" s="88"/>
      <c r="U158" s="40"/>
      <c r="V158" s="40"/>
      <c r="W158" s="88"/>
      <c r="X158" s="40"/>
      <c r="Y158" s="40"/>
      <c r="Z158" s="40"/>
      <c r="AA158" s="40"/>
      <c r="AB158" s="40"/>
      <c r="AC158" s="42"/>
      <c r="AD158" s="40"/>
      <c r="AE158" s="40"/>
      <c r="AF158" s="40"/>
      <c r="AG158" s="40"/>
      <c r="AH158" s="30"/>
      <c r="AI158" s="29"/>
      <c r="AJ158" s="40"/>
    </row>
    <row r="159" ht="15.75" customHeight="1">
      <c r="A159" s="43"/>
      <c r="B159" s="43"/>
      <c r="C159" s="15"/>
      <c r="D159" s="15"/>
      <c r="E159" s="15"/>
      <c r="F159" s="146"/>
      <c r="G159" s="139"/>
      <c r="H159" s="139"/>
      <c r="I159" s="15"/>
      <c r="J159" s="43"/>
      <c r="K159" s="43"/>
      <c r="L159" s="43"/>
      <c r="M159" s="61"/>
      <c r="N159" s="139"/>
      <c r="O159" s="139"/>
      <c r="P159" s="145"/>
      <c r="Q159" s="43"/>
      <c r="R159" s="145"/>
      <c r="S159" s="43"/>
      <c r="T159" s="88"/>
      <c r="U159" s="40"/>
      <c r="V159" s="40"/>
      <c r="W159" s="88"/>
      <c r="X159" s="40"/>
      <c r="Y159" s="40"/>
      <c r="Z159" s="40"/>
      <c r="AA159" s="40"/>
      <c r="AB159" s="40"/>
      <c r="AC159" s="42"/>
      <c r="AD159" s="40"/>
      <c r="AE159" s="40"/>
      <c r="AF159" s="40"/>
      <c r="AG159" s="40"/>
      <c r="AH159" s="30"/>
      <c r="AI159" s="29"/>
      <c r="AJ159" s="40"/>
    </row>
    <row r="160" ht="15.75" customHeight="1">
      <c r="A160" s="43"/>
      <c r="B160" s="43"/>
      <c r="C160" s="15"/>
      <c r="D160" s="15"/>
      <c r="E160" s="15"/>
      <c r="F160" s="146"/>
      <c r="G160" s="139"/>
      <c r="H160" s="139"/>
      <c r="I160" s="15"/>
      <c r="J160" s="43"/>
      <c r="K160" s="43"/>
      <c r="L160" s="43"/>
      <c r="M160" s="61"/>
      <c r="N160" s="139"/>
      <c r="O160" s="139"/>
      <c r="P160" s="145"/>
      <c r="Q160" s="43"/>
      <c r="R160" s="145"/>
      <c r="S160" s="43"/>
      <c r="T160" s="88"/>
      <c r="U160" s="40"/>
      <c r="V160" s="40"/>
      <c r="W160" s="88"/>
      <c r="X160" s="40"/>
      <c r="Y160" s="40"/>
      <c r="Z160" s="40"/>
      <c r="AA160" s="40"/>
      <c r="AB160" s="40"/>
      <c r="AC160" s="42"/>
      <c r="AD160" s="40"/>
      <c r="AE160" s="40"/>
      <c r="AF160" s="40"/>
      <c r="AG160" s="40"/>
      <c r="AH160" s="30"/>
      <c r="AI160" s="29"/>
      <c r="AJ160" s="40"/>
    </row>
    <row r="161" ht="15.75" customHeight="1">
      <c r="A161" s="43"/>
      <c r="B161" s="43"/>
      <c r="C161" s="15"/>
      <c r="D161" s="15"/>
      <c r="E161" s="15"/>
      <c r="F161" s="146"/>
      <c r="G161" s="139"/>
      <c r="H161" s="139"/>
      <c r="I161" s="15"/>
      <c r="J161" s="43"/>
      <c r="K161" s="43"/>
      <c r="L161" s="43"/>
      <c r="M161" s="61"/>
      <c r="N161" s="139"/>
      <c r="O161" s="139"/>
      <c r="P161" s="145"/>
      <c r="Q161" s="43"/>
      <c r="R161" s="145"/>
      <c r="S161" s="43"/>
      <c r="T161" s="88"/>
      <c r="U161" s="40"/>
      <c r="V161" s="40"/>
      <c r="W161" s="88"/>
      <c r="X161" s="40"/>
      <c r="Y161" s="40"/>
      <c r="Z161" s="40"/>
      <c r="AA161" s="40"/>
      <c r="AB161" s="40"/>
      <c r="AC161" s="42"/>
      <c r="AD161" s="40"/>
      <c r="AE161" s="40"/>
      <c r="AF161" s="40"/>
      <c r="AG161" s="40"/>
      <c r="AH161" s="30"/>
      <c r="AI161" s="29"/>
      <c r="AJ161" s="40"/>
    </row>
    <row r="162" ht="15.75" customHeight="1">
      <c r="A162" s="43"/>
      <c r="B162" s="43"/>
      <c r="C162" s="15"/>
      <c r="D162" s="15"/>
      <c r="E162" s="15"/>
      <c r="F162" s="146"/>
      <c r="G162" s="139"/>
      <c r="H162" s="139"/>
      <c r="I162" s="15"/>
      <c r="J162" s="43"/>
      <c r="K162" s="43"/>
      <c r="L162" s="43"/>
      <c r="M162" s="61"/>
      <c r="N162" s="139"/>
      <c r="O162" s="139"/>
      <c r="P162" s="145"/>
      <c r="Q162" s="43"/>
      <c r="R162" s="145"/>
      <c r="S162" s="43"/>
      <c r="T162" s="88"/>
      <c r="U162" s="40"/>
      <c r="V162" s="40"/>
      <c r="W162" s="88"/>
      <c r="X162" s="40"/>
      <c r="Y162" s="40"/>
      <c r="Z162" s="40"/>
      <c r="AA162" s="40"/>
      <c r="AB162" s="40"/>
      <c r="AC162" s="42"/>
      <c r="AD162" s="40"/>
      <c r="AE162" s="40"/>
      <c r="AF162" s="40"/>
      <c r="AG162" s="40"/>
      <c r="AH162" s="30"/>
      <c r="AI162" s="29"/>
      <c r="AJ162" s="40"/>
    </row>
    <row r="163" ht="15.75" customHeight="1">
      <c r="A163" s="43"/>
      <c r="B163" s="43"/>
      <c r="C163" s="15"/>
      <c r="D163" s="15"/>
      <c r="E163" s="15"/>
      <c r="F163" s="146"/>
      <c r="G163" s="139"/>
      <c r="H163" s="139"/>
      <c r="I163" s="15"/>
      <c r="J163" s="43"/>
      <c r="K163" s="43"/>
      <c r="L163" s="43"/>
      <c r="M163" s="61"/>
      <c r="N163" s="139"/>
      <c r="O163" s="139"/>
      <c r="P163" s="145"/>
      <c r="Q163" s="43"/>
      <c r="R163" s="145"/>
      <c r="S163" s="43"/>
      <c r="T163" s="88"/>
      <c r="U163" s="40"/>
      <c r="V163" s="40"/>
      <c r="W163" s="88"/>
      <c r="X163" s="40"/>
      <c r="Y163" s="40"/>
      <c r="Z163" s="40"/>
      <c r="AA163" s="40"/>
      <c r="AB163" s="40"/>
      <c r="AC163" s="42"/>
      <c r="AD163" s="40"/>
      <c r="AE163" s="40"/>
      <c r="AF163" s="40"/>
      <c r="AG163" s="40"/>
      <c r="AH163" s="30"/>
      <c r="AI163" s="29"/>
      <c r="AJ163" s="40"/>
    </row>
    <row r="164" ht="15.75" customHeight="1">
      <c r="A164" s="43"/>
      <c r="B164" s="43"/>
      <c r="C164" s="15"/>
      <c r="D164" s="15"/>
      <c r="E164" s="15"/>
      <c r="F164" s="146"/>
      <c r="G164" s="139"/>
      <c r="H164" s="139"/>
      <c r="I164" s="15"/>
      <c r="J164" s="43"/>
      <c r="K164" s="43"/>
      <c r="L164" s="43"/>
      <c r="M164" s="61"/>
      <c r="N164" s="139"/>
      <c r="O164" s="139"/>
      <c r="P164" s="145"/>
      <c r="Q164" s="43"/>
      <c r="R164" s="145"/>
      <c r="S164" s="43"/>
      <c r="T164" s="88"/>
      <c r="U164" s="40"/>
      <c r="V164" s="40"/>
      <c r="W164" s="88"/>
      <c r="X164" s="40"/>
      <c r="Y164" s="40"/>
      <c r="Z164" s="40"/>
      <c r="AA164" s="40"/>
      <c r="AB164" s="40"/>
      <c r="AC164" s="42"/>
      <c r="AD164" s="40"/>
      <c r="AE164" s="40"/>
      <c r="AF164" s="40"/>
      <c r="AG164" s="40"/>
      <c r="AH164" s="30"/>
      <c r="AI164" s="29"/>
      <c r="AJ164" s="40"/>
    </row>
    <row r="165" ht="15.75" customHeight="1">
      <c r="A165" s="43"/>
      <c r="B165" s="43"/>
      <c r="C165" s="15"/>
      <c r="D165" s="15"/>
      <c r="E165" s="15"/>
      <c r="F165" s="146"/>
      <c r="G165" s="139"/>
      <c r="H165" s="139"/>
      <c r="I165" s="15"/>
      <c r="J165" s="43"/>
      <c r="K165" s="43"/>
      <c r="L165" s="43"/>
      <c r="M165" s="61"/>
      <c r="N165" s="139"/>
      <c r="O165" s="139"/>
      <c r="P165" s="145"/>
      <c r="Q165" s="43"/>
      <c r="R165" s="145"/>
      <c r="S165" s="43"/>
      <c r="T165" s="88"/>
      <c r="U165" s="40"/>
      <c r="V165" s="40"/>
      <c r="W165" s="88"/>
      <c r="X165" s="40"/>
      <c r="Y165" s="40"/>
      <c r="Z165" s="40"/>
      <c r="AA165" s="40"/>
      <c r="AB165" s="40"/>
      <c r="AC165" s="42"/>
      <c r="AD165" s="40"/>
      <c r="AE165" s="40"/>
      <c r="AF165" s="40"/>
      <c r="AG165" s="40"/>
      <c r="AH165" s="30"/>
      <c r="AI165" s="29"/>
      <c r="AJ165" s="40"/>
    </row>
    <row r="166" ht="15.75" customHeight="1">
      <c r="A166" s="43"/>
      <c r="B166" s="43"/>
      <c r="C166" s="15"/>
      <c r="D166" s="15"/>
      <c r="E166" s="15"/>
      <c r="F166" s="146"/>
      <c r="G166" s="139"/>
      <c r="H166" s="139"/>
      <c r="I166" s="15"/>
      <c r="J166" s="43"/>
      <c r="K166" s="43"/>
      <c r="L166" s="43"/>
      <c r="M166" s="61"/>
      <c r="N166" s="139"/>
      <c r="O166" s="139"/>
      <c r="P166" s="145"/>
      <c r="Q166" s="43"/>
      <c r="R166" s="145"/>
      <c r="S166" s="43"/>
      <c r="T166" s="88"/>
      <c r="U166" s="40"/>
      <c r="V166" s="40"/>
      <c r="W166" s="88"/>
      <c r="X166" s="40"/>
      <c r="Y166" s="40"/>
      <c r="Z166" s="40"/>
      <c r="AA166" s="40"/>
      <c r="AB166" s="40"/>
      <c r="AC166" s="42"/>
      <c r="AD166" s="40"/>
      <c r="AE166" s="40"/>
      <c r="AF166" s="40"/>
      <c r="AG166" s="40"/>
      <c r="AH166" s="30"/>
      <c r="AI166" s="29"/>
      <c r="AJ166" s="40"/>
    </row>
    <row r="167" ht="15.75" customHeight="1">
      <c r="A167" s="43"/>
      <c r="B167" s="43"/>
      <c r="C167" s="15"/>
      <c r="D167" s="15"/>
      <c r="E167" s="15"/>
      <c r="F167" s="146"/>
      <c r="G167" s="139"/>
      <c r="H167" s="139"/>
      <c r="I167" s="15"/>
      <c r="J167" s="43"/>
      <c r="K167" s="43"/>
      <c r="L167" s="43"/>
      <c r="M167" s="61"/>
      <c r="N167" s="139"/>
      <c r="O167" s="139"/>
      <c r="P167" s="145"/>
      <c r="Q167" s="43"/>
      <c r="R167" s="145"/>
      <c r="S167" s="43"/>
      <c r="T167" s="88"/>
      <c r="U167" s="40"/>
      <c r="V167" s="40"/>
      <c r="W167" s="88"/>
      <c r="X167" s="40"/>
      <c r="Y167" s="40"/>
      <c r="Z167" s="40"/>
      <c r="AA167" s="40"/>
      <c r="AB167" s="40"/>
      <c r="AC167" s="42"/>
      <c r="AD167" s="40"/>
      <c r="AE167" s="40"/>
      <c r="AF167" s="40"/>
      <c r="AG167" s="40"/>
      <c r="AH167" s="30"/>
      <c r="AI167" s="29"/>
      <c r="AJ167" s="40"/>
    </row>
    <row r="168" ht="15.75" customHeight="1">
      <c r="A168" s="43"/>
      <c r="B168" s="43"/>
      <c r="C168" s="15"/>
      <c r="D168" s="15"/>
      <c r="E168" s="15"/>
      <c r="F168" s="146"/>
      <c r="G168" s="139"/>
      <c r="H168" s="139"/>
      <c r="I168" s="15"/>
      <c r="J168" s="43"/>
      <c r="K168" s="43"/>
      <c r="L168" s="43"/>
      <c r="M168" s="61"/>
      <c r="N168" s="139"/>
      <c r="O168" s="139"/>
      <c r="P168" s="145"/>
      <c r="Q168" s="43"/>
      <c r="R168" s="145"/>
      <c r="S168" s="43"/>
      <c r="T168" s="88"/>
      <c r="U168" s="40"/>
      <c r="V168" s="40"/>
      <c r="W168" s="88"/>
      <c r="X168" s="40"/>
      <c r="Y168" s="40"/>
      <c r="Z168" s="40"/>
      <c r="AA168" s="40"/>
      <c r="AB168" s="40"/>
      <c r="AC168" s="42"/>
      <c r="AD168" s="40"/>
      <c r="AE168" s="40"/>
      <c r="AF168" s="40"/>
      <c r="AG168" s="40"/>
      <c r="AH168" s="30"/>
      <c r="AI168" s="29"/>
      <c r="AJ168" s="40"/>
    </row>
    <row r="169" ht="15.75" customHeight="1">
      <c r="A169" s="43"/>
      <c r="B169" s="43"/>
      <c r="C169" s="15"/>
      <c r="D169" s="15"/>
      <c r="E169" s="15"/>
      <c r="F169" s="146"/>
      <c r="G169" s="139"/>
      <c r="H169" s="139"/>
      <c r="I169" s="15"/>
      <c r="J169" s="43"/>
      <c r="K169" s="43"/>
      <c r="L169" s="43"/>
      <c r="M169" s="61"/>
      <c r="N169" s="139"/>
      <c r="O169" s="139"/>
      <c r="P169" s="145"/>
      <c r="Q169" s="43"/>
      <c r="R169" s="145"/>
      <c r="S169" s="43"/>
      <c r="T169" s="88"/>
      <c r="U169" s="40"/>
      <c r="V169" s="40"/>
      <c r="W169" s="88"/>
      <c r="X169" s="40"/>
      <c r="Y169" s="40"/>
      <c r="Z169" s="40"/>
      <c r="AA169" s="40"/>
      <c r="AB169" s="40"/>
      <c r="AC169" s="42"/>
      <c r="AD169" s="40"/>
      <c r="AE169" s="40"/>
      <c r="AF169" s="40"/>
      <c r="AG169" s="40"/>
      <c r="AH169" s="30"/>
      <c r="AI169" s="29"/>
      <c r="AJ169" s="40"/>
    </row>
    <row r="170" ht="15.75" customHeight="1">
      <c r="A170" s="43"/>
      <c r="B170" s="43"/>
      <c r="C170" s="15"/>
      <c r="D170" s="15"/>
      <c r="E170" s="15"/>
      <c r="F170" s="146"/>
      <c r="G170" s="139"/>
      <c r="H170" s="139"/>
      <c r="I170" s="15"/>
      <c r="J170" s="43"/>
      <c r="K170" s="43"/>
      <c r="L170" s="43"/>
      <c r="M170" s="61"/>
      <c r="N170" s="139"/>
      <c r="O170" s="139"/>
      <c r="P170" s="145"/>
      <c r="Q170" s="43"/>
      <c r="R170" s="145"/>
      <c r="S170" s="43"/>
      <c r="T170" s="88"/>
      <c r="U170" s="40"/>
      <c r="V170" s="40"/>
      <c r="W170" s="88"/>
      <c r="X170" s="40"/>
      <c r="Y170" s="40"/>
      <c r="Z170" s="40"/>
      <c r="AA170" s="40"/>
      <c r="AB170" s="40"/>
      <c r="AC170" s="42"/>
      <c r="AD170" s="40"/>
      <c r="AE170" s="40"/>
      <c r="AF170" s="40"/>
      <c r="AG170" s="40"/>
      <c r="AH170" s="30"/>
      <c r="AI170" s="29"/>
      <c r="AJ170" s="40"/>
    </row>
    <row r="171" ht="15.75" customHeight="1">
      <c r="A171" s="43"/>
      <c r="B171" s="43"/>
      <c r="C171" s="15"/>
      <c r="D171" s="15"/>
      <c r="E171" s="15"/>
      <c r="F171" s="146"/>
      <c r="G171" s="139"/>
      <c r="H171" s="139"/>
      <c r="I171" s="15"/>
      <c r="J171" s="43"/>
      <c r="K171" s="43"/>
      <c r="L171" s="43"/>
      <c r="M171" s="61"/>
      <c r="N171" s="139"/>
      <c r="O171" s="139"/>
      <c r="P171" s="145"/>
      <c r="Q171" s="43"/>
      <c r="R171" s="145"/>
      <c r="S171" s="43"/>
      <c r="T171" s="88"/>
      <c r="U171" s="40"/>
      <c r="V171" s="40"/>
      <c r="W171" s="88"/>
      <c r="X171" s="40"/>
      <c r="Y171" s="40"/>
      <c r="Z171" s="40"/>
      <c r="AA171" s="40"/>
      <c r="AB171" s="40"/>
      <c r="AC171" s="42"/>
      <c r="AD171" s="40"/>
      <c r="AE171" s="40"/>
      <c r="AF171" s="40"/>
      <c r="AG171" s="40"/>
      <c r="AH171" s="30"/>
      <c r="AI171" s="29"/>
      <c r="AJ171" s="40"/>
    </row>
    <row r="172" ht="15.75" customHeight="1">
      <c r="A172" s="43"/>
      <c r="B172" s="43"/>
      <c r="C172" s="15"/>
      <c r="D172" s="15"/>
      <c r="E172" s="15"/>
      <c r="F172" s="146"/>
      <c r="G172" s="139"/>
      <c r="H172" s="139"/>
      <c r="I172" s="15"/>
      <c r="J172" s="43"/>
      <c r="K172" s="43"/>
      <c r="L172" s="43"/>
      <c r="M172" s="61"/>
      <c r="N172" s="139"/>
      <c r="O172" s="139"/>
      <c r="P172" s="145"/>
      <c r="Q172" s="43"/>
      <c r="R172" s="145"/>
      <c r="S172" s="43"/>
      <c r="T172" s="88"/>
      <c r="U172" s="40"/>
      <c r="V172" s="40"/>
      <c r="W172" s="88"/>
      <c r="X172" s="40"/>
      <c r="Y172" s="40"/>
      <c r="Z172" s="40"/>
      <c r="AA172" s="40"/>
      <c r="AB172" s="40"/>
      <c r="AC172" s="42"/>
      <c r="AD172" s="40"/>
      <c r="AE172" s="40"/>
      <c r="AF172" s="40"/>
      <c r="AG172" s="40"/>
      <c r="AH172" s="30"/>
      <c r="AI172" s="29"/>
      <c r="AJ172" s="40"/>
    </row>
    <row r="173" ht="15.75" customHeight="1">
      <c r="A173" s="43"/>
      <c r="B173" s="43"/>
      <c r="C173" s="15"/>
      <c r="D173" s="15"/>
      <c r="E173" s="15"/>
      <c r="F173" s="146"/>
      <c r="G173" s="139"/>
      <c r="H173" s="139"/>
      <c r="I173" s="15"/>
      <c r="J173" s="43"/>
      <c r="K173" s="43"/>
      <c r="L173" s="43"/>
      <c r="M173" s="61"/>
      <c r="N173" s="139"/>
      <c r="O173" s="139"/>
      <c r="P173" s="145"/>
      <c r="Q173" s="43"/>
      <c r="R173" s="145"/>
      <c r="S173" s="43"/>
      <c r="T173" s="88"/>
      <c r="U173" s="40"/>
      <c r="V173" s="40"/>
      <c r="W173" s="88"/>
      <c r="X173" s="40"/>
      <c r="Y173" s="40"/>
      <c r="Z173" s="40"/>
      <c r="AA173" s="40"/>
      <c r="AB173" s="40"/>
      <c r="AC173" s="42"/>
      <c r="AD173" s="40"/>
      <c r="AE173" s="40"/>
      <c r="AF173" s="40"/>
      <c r="AG173" s="40"/>
      <c r="AH173" s="30"/>
      <c r="AI173" s="29"/>
      <c r="AJ173" s="40"/>
    </row>
    <row r="174" ht="15.75" customHeight="1">
      <c r="A174" s="43"/>
      <c r="B174" s="43"/>
      <c r="C174" s="15"/>
      <c r="D174" s="15"/>
      <c r="E174" s="15"/>
      <c r="F174" s="146"/>
      <c r="G174" s="139"/>
      <c r="H174" s="139"/>
      <c r="I174" s="15"/>
      <c r="J174" s="43"/>
      <c r="K174" s="43"/>
      <c r="L174" s="43"/>
      <c r="M174" s="61"/>
      <c r="N174" s="139"/>
      <c r="O174" s="139"/>
      <c r="P174" s="145"/>
      <c r="Q174" s="43"/>
      <c r="R174" s="145"/>
      <c r="S174" s="43"/>
      <c r="T174" s="88"/>
      <c r="U174" s="40"/>
      <c r="V174" s="40"/>
      <c r="W174" s="88"/>
      <c r="X174" s="40"/>
      <c r="Y174" s="40"/>
      <c r="Z174" s="40"/>
      <c r="AA174" s="40"/>
      <c r="AB174" s="40"/>
      <c r="AC174" s="42"/>
      <c r="AD174" s="40"/>
      <c r="AE174" s="40"/>
      <c r="AF174" s="40"/>
      <c r="AG174" s="40"/>
      <c r="AH174" s="30"/>
      <c r="AI174" s="29"/>
      <c r="AJ174" s="40"/>
    </row>
    <row r="175" ht="15.75" customHeight="1">
      <c r="A175" s="43"/>
      <c r="B175" s="43"/>
      <c r="C175" s="15"/>
      <c r="D175" s="15"/>
      <c r="E175" s="15"/>
      <c r="F175" s="146"/>
      <c r="G175" s="139"/>
      <c r="H175" s="139"/>
      <c r="I175" s="15"/>
      <c r="J175" s="43"/>
      <c r="K175" s="43"/>
      <c r="L175" s="43"/>
      <c r="M175" s="61"/>
      <c r="N175" s="139"/>
      <c r="O175" s="139"/>
      <c r="P175" s="145"/>
      <c r="Q175" s="43"/>
      <c r="R175" s="145"/>
      <c r="S175" s="43"/>
      <c r="T175" s="88"/>
      <c r="U175" s="40"/>
      <c r="V175" s="40"/>
      <c r="W175" s="88"/>
      <c r="X175" s="40"/>
      <c r="Y175" s="40"/>
      <c r="Z175" s="40"/>
      <c r="AA175" s="40"/>
      <c r="AB175" s="40"/>
      <c r="AC175" s="42"/>
      <c r="AD175" s="40"/>
      <c r="AE175" s="40"/>
      <c r="AF175" s="40"/>
      <c r="AG175" s="40"/>
      <c r="AH175" s="30"/>
      <c r="AI175" s="29"/>
      <c r="AJ175" s="40"/>
    </row>
    <row r="176" ht="15.75" customHeight="1">
      <c r="A176" s="43"/>
      <c r="B176" s="43"/>
      <c r="C176" s="15"/>
      <c r="D176" s="15"/>
      <c r="E176" s="15"/>
      <c r="F176" s="146"/>
      <c r="G176" s="139"/>
      <c r="H176" s="139"/>
      <c r="I176" s="15"/>
      <c r="J176" s="43"/>
      <c r="K176" s="43"/>
      <c r="L176" s="43"/>
      <c r="M176" s="61"/>
      <c r="N176" s="139"/>
      <c r="O176" s="139"/>
      <c r="P176" s="145"/>
      <c r="Q176" s="43"/>
      <c r="R176" s="145"/>
      <c r="S176" s="43"/>
      <c r="T176" s="88"/>
      <c r="U176" s="40"/>
      <c r="V176" s="40"/>
      <c r="W176" s="88"/>
      <c r="X176" s="40"/>
      <c r="Y176" s="40"/>
      <c r="Z176" s="40"/>
      <c r="AA176" s="40"/>
      <c r="AB176" s="40"/>
      <c r="AC176" s="42"/>
      <c r="AD176" s="40"/>
      <c r="AE176" s="40"/>
      <c r="AF176" s="40"/>
      <c r="AG176" s="40"/>
      <c r="AH176" s="30"/>
      <c r="AI176" s="29"/>
      <c r="AJ176" s="40"/>
    </row>
    <row r="177" ht="15.75" customHeight="1">
      <c r="A177" s="43"/>
      <c r="B177" s="43"/>
      <c r="C177" s="15"/>
      <c r="D177" s="15"/>
      <c r="E177" s="15"/>
      <c r="F177" s="146"/>
      <c r="G177" s="139"/>
      <c r="H177" s="139"/>
      <c r="I177" s="15"/>
      <c r="J177" s="43"/>
      <c r="K177" s="43"/>
      <c r="L177" s="43"/>
      <c r="M177" s="61"/>
      <c r="N177" s="139"/>
      <c r="O177" s="139"/>
      <c r="P177" s="145"/>
      <c r="Q177" s="43"/>
      <c r="R177" s="145"/>
      <c r="S177" s="43"/>
      <c r="T177" s="88"/>
      <c r="U177" s="40"/>
      <c r="V177" s="40"/>
      <c r="W177" s="88"/>
      <c r="X177" s="40"/>
      <c r="Y177" s="40"/>
      <c r="Z177" s="40"/>
      <c r="AA177" s="40"/>
      <c r="AB177" s="40"/>
      <c r="AC177" s="42"/>
      <c r="AD177" s="40"/>
      <c r="AE177" s="40"/>
      <c r="AF177" s="40"/>
      <c r="AG177" s="40"/>
      <c r="AH177" s="30"/>
      <c r="AI177" s="29"/>
      <c r="AJ177" s="40"/>
    </row>
    <row r="178" ht="15.75" customHeight="1">
      <c r="A178" s="43"/>
      <c r="B178" s="43"/>
      <c r="C178" s="15"/>
      <c r="D178" s="15"/>
      <c r="E178" s="15"/>
      <c r="F178" s="146"/>
      <c r="G178" s="139"/>
      <c r="H178" s="139"/>
      <c r="I178" s="15"/>
      <c r="J178" s="43"/>
      <c r="K178" s="43"/>
      <c r="L178" s="43"/>
      <c r="M178" s="61"/>
      <c r="N178" s="139"/>
      <c r="O178" s="139"/>
      <c r="P178" s="145"/>
      <c r="Q178" s="43"/>
      <c r="R178" s="145"/>
      <c r="S178" s="43"/>
      <c r="T178" s="88"/>
      <c r="U178" s="40"/>
      <c r="V178" s="40"/>
      <c r="W178" s="88"/>
      <c r="X178" s="40"/>
      <c r="Y178" s="40"/>
      <c r="Z178" s="40"/>
      <c r="AA178" s="40"/>
      <c r="AB178" s="40"/>
      <c r="AC178" s="42"/>
      <c r="AD178" s="40"/>
      <c r="AE178" s="40"/>
      <c r="AF178" s="40"/>
      <c r="AG178" s="40"/>
      <c r="AH178" s="30"/>
      <c r="AI178" s="29"/>
      <c r="AJ178" s="40"/>
    </row>
    <row r="179" ht="15.75" customHeight="1">
      <c r="A179" s="43"/>
      <c r="B179" s="43"/>
      <c r="C179" s="15"/>
      <c r="D179" s="15"/>
      <c r="E179" s="15"/>
      <c r="F179" s="146"/>
      <c r="G179" s="139"/>
      <c r="H179" s="139"/>
      <c r="I179" s="15"/>
      <c r="J179" s="43"/>
      <c r="K179" s="43"/>
      <c r="L179" s="43"/>
      <c r="M179" s="61"/>
      <c r="N179" s="139"/>
      <c r="O179" s="139"/>
      <c r="P179" s="145"/>
      <c r="Q179" s="43"/>
      <c r="R179" s="145"/>
      <c r="S179" s="43"/>
      <c r="T179" s="88"/>
      <c r="U179" s="40"/>
      <c r="V179" s="40"/>
      <c r="W179" s="88"/>
      <c r="X179" s="40"/>
      <c r="Y179" s="40"/>
      <c r="Z179" s="40"/>
      <c r="AA179" s="40"/>
      <c r="AB179" s="40"/>
      <c r="AC179" s="42"/>
      <c r="AD179" s="40"/>
      <c r="AE179" s="40"/>
      <c r="AF179" s="40"/>
      <c r="AG179" s="40"/>
      <c r="AH179" s="30"/>
      <c r="AI179" s="29"/>
      <c r="AJ179" s="40"/>
    </row>
    <row r="180" ht="15.75" customHeight="1">
      <c r="A180" s="43"/>
      <c r="B180" s="43"/>
      <c r="C180" s="15"/>
      <c r="D180" s="15"/>
      <c r="E180" s="15"/>
      <c r="F180" s="146"/>
      <c r="G180" s="139"/>
      <c r="H180" s="139"/>
      <c r="I180" s="15"/>
      <c r="J180" s="43"/>
      <c r="K180" s="43"/>
      <c r="L180" s="43"/>
      <c r="M180" s="61"/>
      <c r="N180" s="139"/>
      <c r="O180" s="139"/>
      <c r="P180" s="145"/>
      <c r="Q180" s="43"/>
      <c r="R180" s="145"/>
      <c r="S180" s="43"/>
      <c r="T180" s="88"/>
      <c r="U180" s="40"/>
      <c r="V180" s="40"/>
      <c r="W180" s="88"/>
      <c r="X180" s="40"/>
      <c r="Y180" s="40"/>
      <c r="Z180" s="40"/>
      <c r="AA180" s="40"/>
      <c r="AB180" s="40"/>
      <c r="AC180" s="42"/>
      <c r="AD180" s="40"/>
      <c r="AE180" s="40"/>
      <c r="AF180" s="40"/>
      <c r="AG180" s="40"/>
      <c r="AH180" s="30"/>
      <c r="AI180" s="29"/>
      <c r="AJ180" s="40"/>
    </row>
    <row r="181" ht="15.75" customHeight="1">
      <c r="A181" s="43"/>
      <c r="B181" s="43"/>
      <c r="C181" s="15"/>
      <c r="D181" s="15"/>
      <c r="E181" s="15"/>
      <c r="F181" s="146"/>
      <c r="G181" s="139"/>
      <c r="H181" s="139"/>
      <c r="I181" s="15"/>
      <c r="J181" s="43"/>
      <c r="K181" s="43"/>
      <c r="L181" s="43"/>
      <c r="M181" s="61"/>
      <c r="N181" s="139"/>
      <c r="O181" s="139"/>
      <c r="P181" s="145"/>
      <c r="Q181" s="43"/>
      <c r="R181" s="145"/>
      <c r="S181" s="43"/>
      <c r="T181" s="88"/>
      <c r="U181" s="40"/>
      <c r="V181" s="40"/>
      <c r="W181" s="88"/>
      <c r="X181" s="40"/>
      <c r="Y181" s="40"/>
      <c r="Z181" s="40"/>
      <c r="AA181" s="40"/>
      <c r="AB181" s="40"/>
      <c r="AC181" s="42"/>
      <c r="AD181" s="40"/>
      <c r="AE181" s="40"/>
      <c r="AF181" s="40"/>
      <c r="AG181" s="40"/>
      <c r="AH181" s="30"/>
      <c r="AI181" s="29"/>
      <c r="AJ181" s="40"/>
    </row>
    <row r="182" ht="15.75" customHeight="1">
      <c r="A182" s="43"/>
      <c r="B182" s="43"/>
      <c r="C182" s="15"/>
      <c r="D182" s="15"/>
      <c r="E182" s="15"/>
      <c r="F182" s="146"/>
      <c r="G182" s="139"/>
      <c r="H182" s="139"/>
      <c r="I182" s="15"/>
      <c r="J182" s="43"/>
      <c r="K182" s="43"/>
      <c r="L182" s="43"/>
      <c r="M182" s="61"/>
      <c r="N182" s="139"/>
      <c r="O182" s="139"/>
      <c r="P182" s="145"/>
      <c r="Q182" s="43"/>
      <c r="R182" s="145"/>
      <c r="S182" s="43"/>
      <c r="T182" s="88"/>
      <c r="U182" s="40"/>
      <c r="V182" s="40"/>
      <c r="W182" s="88"/>
      <c r="X182" s="40"/>
      <c r="Y182" s="40"/>
      <c r="Z182" s="40"/>
      <c r="AA182" s="40"/>
      <c r="AB182" s="40"/>
      <c r="AC182" s="42"/>
      <c r="AD182" s="40"/>
      <c r="AE182" s="40"/>
      <c r="AF182" s="40"/>
      <c r="AG182" s="40"/>
      <c r="AH182" s="30"/>
      <c r="AI182" s="29"/>
      <c r="AJ182" s="40"/>
    </row>
    <row r="183" ht="15.75" customHeight="1">
      <c r="A183" s="43"/>
      <c r="B183" s="43"/>
      <c r="C183" s="15"/>
      <c r="D183" s="15"/>
      <c r="E183" s="15"/>
      <c r="F183" s="146"/>
      <c r="G183" s="139"/>
      <c r="H183" s="139"/>
      <c r="I183" s="15"/>
      <c r="J183" s="43"/>
      <c r="K183" s="43"/>
      <c r="L183" s="43"/>
      <c r="M183" s="61"/>
      <c r="N183" s="139"/>
      <c r="O183" s="139"/>
      <c r="P183" s="145"/>
      <c r="Q183" s="43"/>
      <c r="R183" s="145"/>
      <c r="S183" s="43"/>
      <c r="T183" s="88"/>
      <c r="U183" s="40"/>
      <c r="V183" s="40"/>
      <c r="W183" s="88"/>
      <c r="X183" s="40"/>
      <c r="Y183" s="40"/>
      <c r="Z183" s="40"/>
      <c r="AA183" s="40"/>
      <c r="AB183" s="40"/>
      <c r="AC183" s="42"/>
      <c r="AD183" s="40"/>
      <c r="AE183" s="40"/>
      <c r="AF183" s="40"/>
      <c r="AG183" s="40"/>
      <c r="AH183" s="30"/>
      <c r="AI183" s="29"/>
      <c r="AJ183" s="40"/>
    </row>
    <row r="184" ht="15.75" customHeight="1">
      <c r="A184" s="43"/>
      <c r="B184" s="43"/>
      <c r="C184" s="15"/>
      <c r="D184" s="15"/>
      <c r="E184" s="15"/>
      <c r="F184" s="146"/>
      <c r="G184" s="139"/>
      <c r="H184" s="139"/>
      <c r="I184" s="15"/>
      <c r="J184" s="43"/>
      <c r="K184" s="43"/>
      <c r="L184" s="43"/>
      <c r="M184" s="61"/>
      <c r="N184" s="139"/>
      <c r="O184" s="139"/>
      <c r="P184" s="145"/>
      <c r="Q184" s="43"/>
      <c r="R184" s="145"/>
      <c r="S184" s="43"/>
      <c r="T184" s="88"/>
      <c r="U184" s="40"/>
      <c r="V184" s="40"/>
      <c r="W184" s="88"/>
      <c r="X184" s="40"/>
      <c r="Y184" s="40"/>
      <c r="Z184" s="40"/>
      <c r="AA184" s="40"/>
      <c r="AB184" s="40"/>
      <c r="AC184" s="42"/>
      <c r="AD184" s="40"/>
      <c r="AE184" s="40"/>
      <c r="AF184" s="40"/>
      <c r="AG184" s="40"/>
      <c r="AH184" s="30"/>
      <c r="AI184" s="29"/>
      <c r="AJ184" s="40"/>
    </row>
    <row r="185" ht="15.75" customHeight="1">
      <c r="A185" s="43"/>
      <c r="B185" s="43"/>
      <c r="C185" s="15"/>
      <c r="D185" s="15"/>
      <c r="E185" s="15"/>
      <c r="F185" s="146"/>
      <c r="G185" s="139"/>
      <c r="H185" s="139"/>
      <c r="I185" s="15"/>
      <c r="J185" s="43"/>
      <c r="K185" s="43"/>
      <c r="L185" s="43"/>
      <c r="M185" s="61"/>
      <c r="N185" s="139"/>
      <c r="O185" s="139"/>
      <c r="P185" s="145"/>
      <c r="Q185" s="43"/>
      <c r="R185" s="145"/>
      <c r="S185" s="43"/>
      <c r="T185" s="88"/>
      <c r="U185" s="40"/>
      <c r="V185" s="40"/>
      <c r="W185" s="88"/>
      <c r="X185" s="40"/>
      <c r="Y185" s="40"/>
      <c r="Z185" s="40"/>
      <c r="AA185" s="40"/>
      <c r="AB185" s="40"/>
      <c r="AC185" s="42"/>
      <c r="AD185" s="40"/>
      <c r="AE185" s="40"/>
      <c r="AF185" s="40"/>
      <c r="AG185" s="40"/>
      <c r="AH185" s="30"/>
      <c r="AI185" s="29"/>
      <c r="AJ185" s="40"/>
    </row>
    <row r="186" ht="15.75" customHeight="1">
      <c r="A186" s="43"/>
      <c r="B186" s="43"/>
      <c r="C186" s="15"/>
      <c r="D186" s="15"/>
      <c r="E186" s="15"/>
      <c r="F186" s="146"/>
      <c r="G186" s="139"/>
      <c r="H186" s="139"/>
      <c r="I186" s="15"/>
      <c r="J186" s="43"/>
      <c r="K186" s="43"/>
      <c r="L186" s="43"/>
      <c r="M186" s="61"/>
      <c r="N186" s="139"/>
      <c r="O186" s="139"/>
      <c r="P186" s="145"/>
      <c r="Q186" s="43"/>
      <c r="R186" s="145"/>
      <c r="S186" s="43"/>
      <c r="T186" s="88"/>
      <c r="U186" s="40"/>
      <c r="V186" s="40"/>
      <c r="W186" s="88"/>
      <c r="X186" s="40"/>
      <c r="Y186" s="40"/>
      <c r="Z186" s="40"/>
      <c r="AA186" s="40"/>
      <c r="AB186" s="40"/>
      <c r="AC186" s="42"/>
      <c r="AD186" s="40"/>
      <c r="AE186" s="40"/>
      <c r="AF186" s="40"/>
      <c r="AG186" s="40"/>
      <c r="AH186" s="30"/>
      <c r="AI186" s="29"/>
      <c r="AJ186" s="40"/>
    </row>
    <row r="187" ht="15.75" customHeight="1">
      <c r="A187" s="43"/>
      <c r="B187" s="43"/>
      <c r="C187" s="15"/>
      <c r="D187" s="15"/>
      <c r="E187" s="15"/>
      <c r="F187" s="146"/>
      <c r="G187" s="139"/>
      <c r="H187" s="139"/>
      <c r="I187" s="15"/>
      <c r="J187" s="43"/>
      <c r="K187" s="43"/>
      <c r="L187" s="43"/>
      <c r="M187" s="61"/>
      <c r="N187" s="139"/>
      <c r="O187" s="139"/>
      <c r="P187" s="145"/>
      <c r="Q187" s="43"/>
      <c r="R187" s="145"/>
      <c r="S187" s="43"/>
      <c r="T187" s="88"/>
      <c r="U187" s="40"/>
      <c r="V187" s="40"/>
      <c r="W187" s="88"/>
      <c r="X187" s="40"/>
      <c r="Y187" s="40"/>
      <c r="Z187" s="40"/>
      <c r="AA187" s="40"/>
      <c r="AB187" s="40"/>
      <c r="AC187" s="42"/>
      <c r="AD187" s="40"/>
      <c r="AE187" s="40"/>
      <c r="AF187" s="40"/>
      <c r="AG187" s="40"/>
      <c r="AH187" s="30"/>
      <c r="AI187" s="29"/>
      <c r="AJ187" s="40"/>
    </row>
    <row r="188" ht="15.75" customHeight="1">
      <c r="A188" s="43"/>
      <c r="B188" s="43"/>
      <c r="C188" s="15"/>
      <c r="D188" s="15"/>
      <c r="E188" s="15"/>
      <c r="F188" s="146"/>
      <c r="G188" s="139"/>
      <c r="H188" s="139"/>
      <c r="I188" s="15"/>
      <c r="J188" s="43"/>
      <c r="K188" s="43"/>
      <c r="L188" s="43"/>
      <c r="M188" s="61"/>
      <c r="N188" s="139"/>
      <c r="O188" s="139"/>
      <c r="P188" s="145"/>
      <c r="Q188" s="43"/>
      <c r="R188" s="145"/>
      <c r="S188" s="43"/>
      <c r="T188" s="88"/>
      <c r="U188" s="40"/>
      <c r="V188" s="40"/>
      <c r="W188" s="88"/>
      <c r="X188" s="40"/>
      <c r="Y188" s="40"/>
      <c r="Z188" s="40"/>
      <c r="AA188" s="40"/>
      <c r="AB188" s="40"/>
      <c r="AC188" s="42"/>
      <c r="AD188" s="40"/>
      <c r="AE188" s="40"/>
      <c r="AF188" s="40"/>
      <c r="AG188" s="40"/>
      <c r="AH188" s="30"/>
      <c r="AI188" s="29"/>
      <c r="AJ188" s="40"/>
    </row>
    <row r="189" ht="15.75" customHeight="1">
      <c r="A189" s="43"/>
      <c r="B189" s="43"/>
      <c r="C189" s="15"/>
      <c r="D189" s="15"/>
      <c r="E189" s="15"/>
      <c r="F189" s="146"/>
      <c r="G189" s="139"/>
      <c r="H189" s="139"/>
      <c r="I189" s="15"/>
      <c r="J189" s="43"/>
      <c r="K189" s="43"/>
      <c r="L189" s="43"/>
      <c r="M189" s="61"/>
      <c r="N189" s="139"/>
      <c r="O189" s="139"/>
      <c r="P189" s="145"/>
      <c r="Q189" s="43"/>
      <c r="R189" s="145"/>
      <c r="S189" s="43"/>
      <c r="T189" s="88"/>
      <c r="U189" s="40"/>
      <c r="V189" s="40"/>
      <c r="W189" s="88"/>
      <c r="X189" s="40"/>
      <c r="Y189" s="40"/>
      <c r="Z189" s="40"/>
      <c r="AA189" s="40"/>
      <c r="AB189" s="40"/>
      <c r="AC189" s="42"/>
      <c r="AD189" s="40"/>
      <c r="AE189" s="40"/>
      <c r="AF189" s="40"/>
      <c r="AG189" s="40"/>
      <c r="AH189" s="30"/>
      <c r="AI189" s="29"/>
      <c r="AJ189" s="40"/>
    </row>
    <row r="190" ht="15.75" customHeight="1">
      <c r="A190" s="43"/>
      <c r="B190" s="43"/>
      <c r="C190" s="15"/>
      <c r="D190" s="15"/>
      <c r="E190" s="15"/>
      <c r="F190" s="146"/>
      <c r="G190" s="139"/>
      <c r="H190" s="139"/>
      <c r="I190" s="15"/>
      <c r="J190" s="43"/>
      <c r="K190" s="43"/>
      <c r="L190" s="43"/>
      <c r="M190" s="61"/>
      <c r="N190" s="139"/>
      <c r="O190" s="139"/>
      <c r="P190" s="145"/>
      <c r="Q190" s="43"/>
      <c r="R190" s="145"/>
      <c r="S190" s="43"/>
      <c r="T190" s="88"/>
      <c r="U190" s="40"/>
      <c r="V190" s="40"/>
      <c r="W190" s="88"/>
      <c r="X190" s="40"/>
      <c r="Y190" s="40"/>
      <c r="Z190" s="40"/>
      <c r="AA190" s="40"/>
      <c r="AB190" s="40"/>
      <c r="AC190" s="42"/>
      <c r="AD190" s="40"/>
      <c r="AE190" s="40"/>
      <c r="AF190" s="40"/>
      <c r="AG190" s="40"/>
      <c r="AH190" s="30"/>
      <c r="AI190" s="29"/>
      <c r="AJ190" s="40"/>
    </row>
    <row r="191" ht="15.75" customHeight="1">
      <c r="A191" s="43"/>
      <c r="B191" s="43"/>
      <c r="C191" s="15"/>
      <c r="D191" s="15"/>
      <c r="E191" s="15"/>
      <c r="F191" s="146"/>
      <c r="G191" s="139"/>
      <c r="H191" s="139"/>
      <c r="I191" s="15"/>
      <c r="J191" s="43"/>
      <c r="K191" s="43"/>
      <c r="L191" s="43"/>
      <c r="M191" s="61"/>
      <c r="N191" s="139"/>
      <c r="O191" s="139"/>
      <c r="P191" s="145"/>
      <c r="Q191" s="43"/>
      <c r="R191" s="145"/>
      <c r="S191" s="43"/>
      <c r="T191" s="88"/>
      <c r="U191" s="40"/>
      <c r="V191" s="40"/>
      <c r="W191" s="88"/>
      <c r="X191" s="40"/>
      <c r="Y191" s="40"/>
      <c r="Z191" s="40"/>
      <c r="AA191" s="40"/>
      <c r="AB191" s="40"/>
      <c r="AC191" s="42"/>
      <c r="AD191" s="40"/>
      <c r="AE191" s="40"/>
      <c r="AF191" s="40"/>
      <c r="AG191" s="40"/>
      <c r="AH191" s="30"/>
      <c r="AI191" s="29"/>
      <c r="AJ191" s="40"/>
    </row>
    <row r="192" ht="15.75" customHeight="1">
      <c r="A192" s="43"/>
      <c r="B192" s="43"/>
      <c r="C192" s="15"/>
      <c r="D192" s="15"/>
      <c r="E192" s="15"/>
      <c r="F192" s="146"/>
      <c r="G192" s="139"/>
      <c r="H192" s="139"/>
      <c r="I192" s="15"/>
      <c r="J192" s="43"/>
      <c r="K192" s="43"/>
      <c r="L192" s="43"/>
      <c r="M192" s="61"/>
      <c r="N192" s="139"/>
      <c r="O192" s="139"/>
      <c r="P192" s="145"/>
      <c r="Q192" s="43"/>
      <c r="R192" s="145"/>
      <c r="S192" s="43"/>
      <c r="T192" s="88"/>
      <c r="U192" s="40"/>
      <c r="V192" s="40"/>
      <c r="W192" s="88"/>
      <c r="X192" s="40"/>
      <c r="Y192" s="40"/>
      <c r="Z192" s="40"/>
      <c r="AA192" s="40"/>
      <c r="AB192" s="40"/>
      <c r="AC192" s="42"/>
      <c r="AD192" s="40"/>
      <c r="AE192" s="40"/>
      <c r="AF192" s="40"/>
      <c r="AG192" s="40"/>
      <c r="AH192" s="30"/>
      <c r="AI192" s="29"/>
      <c r="AJ192" s="40"/>
    </row>
    <row r="193" ht="15.75" customHeight="1">
      <c r="A193" s="43"/>
      <c r="B193" s="43"/>
      <c r="C193" s="15"/>
      <c r="D193" s="15"/>
      <c r="E193" s="15"/>
      <c r="F193" s="146"/>
      <c r="G193" s="139"/>
      <c r="H193" s="139"/>
      <c r="I193" s="15"/>
      <c r="J193" s="43"/>
      <c r="K193" s="43"/>
      <c r="L193" s="43"/>
      <c r="M193" s="61"/>
      <c r="N193" s="139"/>
      <c r="O193" s="139"/>
      <c r="P193" s="145"/>
      <c r="Q193" s="43"/>
      <c r="R193" s="145"/>
      <c r="S193" s="43"/>
      <c r="T193" s="88"/>
      <c r="U193" s="40"/>
      <c r="V193" s="40"/>
      <c r="W193" s="88"/>
      <c r="X193" s="40"/>
      <c r="Y193" s="40"/>
      <c r="Z193" s="40"/>
      <c r="AA193" s="40"/>
      <c r="AB193" s="40"/>
      <c r="AC193" s="42"/>
      <c r="AD193" s="40"/>
      <c r="AE193" s="40"/>
      <c r="AF193" s="40"/>
      <c r="AG193" s="40"/>
      <c r="AH193" s="30"/>
      <c r="AI193" s="29"/>
      <c r="AJ193" s="40"/>
    </row>
    <row r="194" ht="15.75" customHeight="1">
      <c r="A194" s="43"/>
      <c r="B194" s="43"/>
      <c r="C194" s="15"/>
      <c r="D194" s="15"/>
      <c r="E194" s="15"/>
      <c r="F194" s="146"/>
      <c r="G194" s="139"/>
      <c r="H194" s="139"/>
      <c r="I194" s="15"/>
      <c r="J194" s="43"/>
      <c r="K194" s="43"/>
      <c r="L194" s="43"/>
      <c r="M194" s="61"/>
      <c r="N194" s="139"/>
      <c r="O194" s="139"/>
      <c r="P194" s="145"/>
      <c r="Q194" s="43"/>
      <c r="R194" s="145"/>
      <c r="S194" s="43"/>
      <c r="T194" s="88"/>
      <c r="U194" s="40"/>
      <c r="V194" s="40"/>
      <c r="W194" s="88"/>
      <c r="X194" s="40"/>
      <c r="Y194" s="40"/>
      <c r="Z194" s="40"/>
      <c r="AA194" s="40"/>
      <c r="AB194" s="40"/>
      <c r="AC194" s="42"/>
      <c r="AD194" s="40"/>
      <c r="AE194" s="40"/>
      <c r="AF194" s="40"/>
      <c r="AG194" s="40"/>
      <c r="AH194" s="30"/>
      <c r="AI194" s="29"/>
      <c r="AJ194" s="40"/>
    </row>
    <row r="195" ht="15.75" customHeight="1">
      <c r="A195" s="43"/>
      <c r="B195" s="43"/>
      <c r="C195" s="15"/>
      <c r="D195" s="15"/>
      <c r="E195" s="15"/>
      <c r="F195" s="146"/>
      <c r="G195" s="139"/>
      <c r="H195" s="139"/>
      <c r="I195" s="15"/>
      <c r="J195" s="43"/>
      <c r="K195" s="43"/>
      <c r="L195" s="43"/>
      <c r="M195" s="61"/>
      <c r="N195" s="139"/>
      <c r="O195" s="139"/>
      <c r="P195" s="145"/>
      <c r="Q195" s="43"/>
      <c r="R195" s="145"/>
      <c r="S195" s="43"/>
      <c r="T195" s="88"/>
      <c r="U195" s="40"/>
      <c r="V195" s="40"/>
      <c r="W195" s="88"/>
      <c r="X195" s="40"/>
      <c r="Y195" s="40"/>
      <c r="Z195" s="40"/>
      <c r="AA195" s="40"/>
      <c r="AB195" s="40"/>
      <c r="AC195" s="42"/>
      <c r="AD195" s="40"/>
      <c r="AE195" s="40"/>
      <c r="AF195" s="40"/>
      <c r="AG195" s="40"/>
      <c r="AH195" s="30"/>
      <c r="AI195" s="29"/>
      <c r="AJ195" s="40"/>
    </row>
    <row r="196" ht="15.75" customHeight="1">
      <c r="A196" s="43"/>
      <c r="B196" s="43"/>
      <c r="C196" s="15"/>
      <c r="D196" s="15"/>
      <c r="E196" s="15"/>
      <c r="F196" s="146"/>
      <c r="G196" s="139"/>
      <c r="H196" s="139"/>
      <c r="I196" s="15"/>
      <c r="J196" s="43"/>
      <c r="K196" s="43"/>
      <c r="L196" s="43"/>
      <c r="M196" s="61"/>
      <c r="N196" s="139"/>
      <c r="O196" s="139"/>
      <c r="P196" s="145"/>
      <c r="Q196" s="43"/>
      <c r="R196" s="145"/>
      <c r="S196" s="43"/>
      <c r="T196" s="88"/>
      <c r="U196" s="40"/>
      <c r="V196" s="40"/>
      <c r="W196" s="88"/>
      <c r="X196" s="40"/>
      <c r="Y196" s="40"/>
      <c r="Z196" s="40"/>
      <c r="AA196" s="40"/>
      <c r="AB196" s="40"/>
      <c r="AC196" s="42"/>
      <c r="AD196" s="40"/>
      <c r="AE196" s="40"/>
      <c r="AF196" s="40"/>
      <c r="AG196" s="40"/>
      <c r="AH196" s="30"/>
      <c r="AI196" s="29"/>
      <c r="AJ196" s="40"/>
    </row>
    <row r="197" ht="15.75" customHeight="1">
      <c r="A197" s="43"/>
      <c r="B197" s="43"/>
      <c r="C197" s="15"/>
      <c r="D197" s="15"/>
      <c r="E197" s="15"/>
      <c r="F197" s="146"/>
      <c r="G197" s="139"/>
      <c r="H197" s="139"/>
      <c r="I197" s="15"/>
      <c r="J197" s="43"/>
      <c r="K197" s="43"/>
      <c r="L197" s="43"/>
      <c r="M197" s="61"/>
      <c r="N197" s="139"/>
      <c r="O197" s="139"/>
      <c r="P197" s="145"/>
      <c r="Q197" s="43"/>
      <c r="R197" s="145"/>
      <c r="S197" s="43"/>
      <c r="T197" s="88"/>
      <c r="U197" s="40"/>
      <c r="V197" s="40"/>
      <c r="W197" s="88"/>
      <c r="X197" s="40"/>
      <c r="Y197" s="40"/>
      <c r="Z197" s="40"/>
      <c r="AA197" s="40"/>
      <c r="AB197" s="40"/>
      <c r="AC197" s="42"/>
      <c r="AD197" s="40"/>
      <c r="AE197" s="40"/>
      <c r="AF197" s="40"/>
      <c r="AG197" s="40"/>
      <c r="AH197" s="30"/>
      <c r="AI197" s="29"/>
      <c r="AJ197" s="40"/>
    </row>
    <row r="198" ht="15.75" customHeight="1">
      <c r="A198" s="43"/>
      <c r="B198" s="43"/>
      <c r="C198" s="15"/>
      <c r="D198" s="15"/>
      <c r="E198" s="15"/>
      <c r="F198" s="146"/>
      <c r="G198" s="139"/>
      <c r="H198" s="139"/>
      <c r="I198" s="15"/>
      <c r="J198" s="43"/>
      <c r="K198" s="43"/>
      <c r="L198" s="43"/>
      <c r="M198" s="61"/>
      <c r="N198" s="139"/>
      <c r="O198" s="139"/>
      <c r="P198" s="145"/>
      <c r="Q198" s="43"/>
      <c r="R198" s="145"/>
      <c r="S198" s="43"/>
      <c r="T198" s="88"/>
      <c r="U198" s="40"/>
      <c r="V198" s="40"/>
      <c r="W198" s="88"/>
      <c r="X198" s="40"/>
      <c r="Y198" s="40"/>
      <c r="Z198" s="40"/>
      <c r="AA198" s="40"/>
      <c r="AB198" s="40"/>
      <c r="AC198" s="42"/>
      <c r="AD198" s="40"/>
      <c r="AE198" s="40"/>
      <c r="AF198" s="40"/>
      <c r="AG198" s="40"/>
      <c r="AH198" s="30"/>
      <c r="AI198" s="29"/>
      <c r="AJ198" s="40"/>
    </row>
    <row r="199" ht="15.75" customHeight="1">
      <c r="A199" s="43"/>
      <c r="B199" s="43"/>
      <c r="C199" s="15"/>
      <c r="D199" s="15"/>
      <c r="E199" s="15"/>
      <c r="F199" s="146"/>
      <c r="G199" s="139"/>
      <c r="H199" s="139"/>
      <c r="I199" s="15"/>
      <c r="J199" s="43"/>
      <c r="K199" s="43"/>
      <c r="L199" s="43"/>
      <c r="M199" s="61"/>
      <c r="N199" s="139"/>
      <c r="O199" s="139"/>
      <c r="P199" s="145"/>
      <c r="Q199" s="43"/>
      <c r="R199" s="145"/>
      <c r="S199" s="43"/>
      <c r="T199" s="88"/>
      <c r="U199" s="40"/>
      <c r="V199" s="40"/>
      <c r="W199" s="88"/>
      <c r="X199" s="40"/>
      <c r="Y199" s="40"/>
      <c r="Z199" s="40"/>
      <c r="AA199" s="40"/>
      <c r="AB199" s="40"/>
      <c r="AC199" s="42"/>
      <c r="AD199" s="40"/>
      <c r="AE199" s="40"/>
      <c r="AF199" s="40"/>
      <c r="AG199" s="40"/>
      <c r="AH199" s="30"/>
      <c r="AI199" s="29"/>
      <c r="AJ199" s="40"/>
    </row>
    <row r="200" ht="15.75" customHeight="1">
      <c r="A200" s="43"/>
      <c r="B200" s="43"/>
      <c r="C200" s="15"/>
      <c r="D200" s="15"/>
      <c r="E200" s="15"/>
      <c r="F200" s="146"/>
      <c r="G200" s="139"/>
      <c r="H200" s="139"/>
      <c r="I200" s="15"/>
      <c r="J200" s="43"/>
      <c r="K200" s="43"/>
      <c r="L200" s="43"/>
      <c r="M200" s="61"/>
      <c r="N200" s="139"/>
      <c r="O200" s="139"/>
      <c r="P200" s="145"/>
      <c r="Q200" s="43"/>
      <c r="R200" s="145"/>
      <c r="S200" s="43"/>
      <c r="T200" s="88"/>
      <c r="U200" s="40"/>
      <c r="V200" s="40"/>
      <c r="W200" s="88"/>
      <c r="X200" s="40"/>
      <c r="Y200" s="40"/>
      <c r="Z200" s="40"/>
      <c r="AA200" s="40"/>
      <c r="AB200" s="40"/>
      <c r="AC200" s="42"/>
      <c r="AD200" s="40"/>
      <c r="AE200" s="40"/>
      <c r="AF200" s="40"/>
      <c r="AG200" s="40"/>
      <c r="AH200" s="30"/>
      <c r="AI200" s="29"/>
      <c r="AJ200" s="40"/>
    </row>
    <row r="201" ht="15.75" customHeight="1">
      <c r="A201" s="43"/>
      <c r="B201" s="43"/>
      <c r="C201" s="15"/>
      <c r="D201" s="15"/>
      <c r="E201" s="15"/>
      <c r="F201" s="146"/>
      <c r="G201" s="139"/>
      <c r="H201" s="139"/>
      <c r="I201" s="15"/>
      <c r="J201" s="43"/>
      <c r="K201" s="43"/>
      <c r="L201" s="43"/>
      <c r="M201" s="61"/>
      <c r="N201" s="139"/>
      <c r="O201" s="139"/>
      <c r="P201" s="145"/>
      <c r="Q201" s="43"/>
      <c r="R201" s="145"/>
      <c r="S201" s="43"/>
      <c r="T201" s="88"/>
      <c r="U201" s="40"/>
      <c r="V201" s="40"/>
      <c r="W201" s="88"/>
      <c r="X201" s="40"/>
      <c r="Y201" s="40"/>
      <c r="Z201" s="40"/>
      <c r="AA201" s="40"/>
      <c r="AB201" s="40"/>
      <c r="AC201" s="42"/>
      <c r="AD201" s="40"/>
      <c r="AE201" s="40"/>
      <c r="AF201" s="40"/>
      <c r="AG201" s="40"/>
      <c r="AH201" s="30"/>
      <c r="AI201" s="29"/>
      <c r="AJ201" s="40"/>
    </row>
    <row r="202" ht="15.75" customHeight="1">
      <c r="A202" s="43"/>
      <c r="B202" s="43"/>
      <c r="C202" s="15"/>
      <c r="D202" s="15"/>
      <c r="E202" s="15"/>
      <c r="F202" s="146"/>
      <c r="G202" s="139"/>
      <c r="H202" s="139"/>
      <c r="I202" s="15"/>
      <c r="J202" s="43"/>
      <c r="K202" s="43"/>
      <c r="L202" s="43"/>
      <c r="M202" s="61"/>
      <c r="N202" s="139"/>
      <c r="O202" s="139"/>
      <c r="P202" s="145"/>
      <c r="Q202" s="43"/>
      <c r="R202" s="145"/>
      <c r="S202" s="43"/>
      <c r="T202" s="88"/>
      <c r="U202" s="40"/>
      <c r="V202" s="40"/>
      <c r="W202" s="88"/>
      <c r="X202" s="40"/>
      <c r="Y202" s="40"/>
      <c r="Z202" s="40"/>
      <c r="AA202" s="40"/>
      <c r="AB202" s="40"/>
      <c r="AC202" s="42"/>
      <c r="AD202" s="40"/>
      <c r="AE202" s="40"/>
      <c r="AF202" s="40"/>
      <c r="AG202" s="40"/>
      <c r="AH202" s="30"/>
      <c r="AI202" s="29"/>
      <c r="AJ202" s="40"/>
    </row>
    <row r="203" ht="15.75" customHeight="1">
      <c r="A203" s="43"/>
      <c r="B203" s="43"/>
      <c r="C203" s="15"/>
      <c r="D203" s="15"/>
      <c r="E203" s="15"/>
      <c r="F203" s="146"/>
      <c r="G203" s="139"/>
      <c r="H203" s="139"/>
      <c r="I203" s="15"/>
      <c r="J203" s="43"/>
      <c r="K203" s="43"/>
      <c r="L203" s="43"/>
      <c r="M203" s="61"/>
      <c r="N203" s="139"/>
      <c r="O203" s="139"/>
      <c r="P203" s="145"/>
      <c r="Q203" s="43"/>
      <c r="R203" s="145"/>
      <c r="S203" s="43"/>
      <c r="T203" s="88"/>
      <c r="U203" s="40"/>
      <c r="V203" s="40"/>
      <c r="W203" s="88"/>
      <c r="X203" s="40"/>
      <c r="Y203" s="40"/>
      <c r="Z203" s="40"/>
      <c r="AA203" s="40"/>
      <c r="AB203" s="40"/>
      <c r="AC203" s="42"/>
      <c r="AD203" s="40"/>
      <c r="AE203" s="40"/>
      <c r="AF203" s="40"/>
      <c r="AG203" s="40"/>
      <c r="AH203" s="30"/>
      <c r="AI203" s="29"/>
      <c r="AJ203" s="40"/>
    </row>
    <row r="204" ht="15.75" customHeight="1">
      <c r="A204" s="43"/>
      <c r="B204" s="43"/>
      <c r="C204" s="15"/>
      <c r="D204" s="15"/>
      <c r="E204" s="15"/>
      <c r="F204" s="146"/>
      <c r="G204" s="139"/>
      <c r="H204" s="139"/>
      <c r="I204" s="15"/>
      <c r="J204" s="43"/>
      <c r="K204" s="43"/>
      <c r="L204" s="43"/>
      <c r="M204" s="61"/>
      <c r="N204" s="139"/>
      <c r="O204" s="139"/>
      <c r="P204" s="145"/>
      <c r="Q204" s="43"/>
      <c r="R204" s="145"/>
      <c r="S204" s="43"/>
      <c r="T204" s="88"/>
      <c r="U204" s="40"/>
      <c r="V204" s="40"/>
      <c r="W204" s="88"/>
      <c r="X204" s="40"/>
      <c r="Y204" s="40"/>
      <c r="Z204" s="40"/>
      <c r="AA204" s="40"/>
      <c r="AB204" s="40"/>
      <c r="AC204" s="42"/>
      <c r="AD204" s="40"/>
      <c r="AE204" s="40"/>
      <c r="AF204" s="40"/>
      <c r="AG204" s="40"/>
      <c r="AH204" s="30"/>
      <c r="AI204" s="29"/>
      <c r="AJ204" s="40"/>
    </row>
    <row r="205" ht="15.75" customHeight="1">
      <c r="A205" s="43"/>
      <c r="B205" s="43"/>
      <c r="C205" s="15"/>
      <c r="D205" s="15"/>
      <c r="E205" s="15"/>
      <c r="F205" s="146"/>
      <c r="G205" s="139"/>
      <c r="H205" s="139"/>
      <c r="I205" s="15"/>
      <c r="J205" s="43"/>
      <c r="K205" s="43"/>
      <c r="L205" s="43"/>
      <c r="M205" s="61"/>
      <c r="N205" s="139"/>
      <c r="O205" s="139"/>
      <c r="P205" s="145"/>
      <c r="Q205" s="43"/>
      <c r="R205" s="145"/>
      <c r="S205" s="43"/>
      <c r="T205" s="88"/>
      <c r="U205" s="40"/>
      <c r="V205" s="40"/>
      <c r="W205" s="88"/>
      <c r="X205" s="40"/>
      <c r="Y205" s="40"/>
      <c r="Z205" s="40"/>
      <c r="AA205" s="40"/>
      <c r="AB205" s="40"/>
      <c r="AC205" s="42"/>
      <c r="AD205" s="40"/>
      <c r="AE205" s="40"/>
      <c r="AF205" s="40"/>
      <c r="AG205" s="40"/>
      <c r="AH205" s="30"/>
      <c r="AI205" s="29"/>
      <c r="AJ205" s="40"/>
    </row>
    <row r="206" ht="15.75" customHeight="1">
      <c r="A206" s="43"/>
      <c r="B206" s="43"/>
      <c r="C206" s="15"/>
      <c r="D206" s="15"/>
      <c r="E206" s="15"/>
      <c r="F206" s="146"/>
      <c r="G206" s="139"/>
      <c r="H206" s="139"/>
      <c r="I206" s="15"/>
      <c r="J206" s="43"/>
      <c r="K206" s="43"/>
      <c r="L206" s="43"/>
      <c r="M206" s="61"/>
      <c r="N206" s="139"/>
      <c r="O206" s="139"/>
      <c r="P206" s="145"/>
      <c r="Q206" s="43"/>
      <c r="R206" s="145"/>
      <c r="S206" s="43"/>
      <c r="T206" s="88"/>
      <c r="U206" s="40"/>
      <c r="V206" s="40"/>
      <c r="W206" s="88"/>
      <c r="X206" s="40"/>
      <c r="Y206" s="40"/>
      <c r="Z206" s="40"/>
      <c r="AA206" s="40"/>
      <c r="AB206" s="40"/>
      <c r="AC206" s="42"/>
      <c r="AD206" s="40"/>
      <c r="AE206" s="40"/>
      <c r="AF206" s="40"/>
      <c r="AG206" s="40"/>
      <c r="AH206" s="30"/>
      <c r="AI206" s="29"/>
      <c r="AJ206" s="40"/>
    </row>
    <row r="207" ht="15.75" customHeight="1">
      <c r="A207" s="43"/>
      <c r="B207" s="43"/>
      <c r="C207" s="15"/>
      <c r="D207" s="15"/>
      <c r="E207" s="15"/>
      <c r="F207" s="146"/>
      <c r="G207" s="139"/>
      <c r="H207" s="139"/>
      <c r="I207" s="15"/>
      <c r="J207" s="43"/>
      <c r="K207" s="43"/>
      <c r="L207" s="43"/>
      <c r="M207" s="61"/>
      <c r="N207" s="139"/>
      <c r="O207" s="139"/>
      <c r="P207" s="145"/>
      <c r="Q207" s="43"/>
      <c r="R207" s="145"/>
      <c r="S207" s="43"/>
      <c r="T207" s="88"/>
      <c r="U207" s="40"/>
      <c r="V207" s="40"/>
      <c r="W207" s="88"/>
      <c r="X207" s="40"/>
      <c r="Y207" s="40"/>
      <c r="Z207" s="40"/>
      <c r="AA207" s="40"/>
      <c r="AB207" s="40"/>
      <c r="AC207" s="42"/>
      <c r="AD207" s="40"/>
      <c r="AE207" s="40"/>
      <c r="AF207" s="40"/>
      <c r="AG207" s="40"/>
      <c r="AH207" s="30"/>
      <c r="AI207" s="29"/>
      <c r="AJ207" s="40"/>
    </row>
    <row r="208" ht="15.75" customHeight="1">
      <c r="A208" s="43"/>
      <c r="B208" s="43"/>
      <c r="C208" s="15"/>
      <c r="D208" s="15"/>
      <c r="E208" s="15"/>
      <c r="F208" s="146"/>
      <c r="G208" s="139"/>
      <c r="H208" s="139"/>
      <c r="I208" s="15"/>
      <c r="J208" s="43"/>
      <c r="K208" s="43"/>
      <c r="L208" s="43"/>
      <c r="M208" s="61"/>
      <c r="N208" s="139"/>
      <c r="O208" s="139"/>
      <c r="P208" s="145"/>
      <c r="Q208" s="43"/>
      <c r="R208" s="145"/>
      <c r="S208" s="43"/>
      <c r="T208" s="88"/>
      <c r="U208" s="40"/>
      <c r="V208" s="40"/>
      <c r="W208" s="88"/>
      <c r="X208" s="40"/>
      <c r="Y208" s="40"/>
      <c r="Z208" s="40"/>
      <c r="AA208" s="40"/>
      <c r="AB208" s="40"/>
      <c r="AC208" s="42"/>
      <c r="AD208" s="40"/>
      <c r="AE208" s="40"/>
      <c r="AF208" s="40"/>
      <c r="AG208" s="40"/>
      <c r="AH208" s="30"/>
      <c r="AI208" s="29"/>
      <c r="AJ208" s="40"/>
    </row>
    <row r="209" ht="15.75" customHeight="1">
      <c r="A209" s="43"/>
      <c r="B209" s="43"/>
      <c r="C209" s="15"/>
      <c r="D209" s="15"/>
      <c r="E209" s="15"/>
      <c r="F209" s="146"/>
      <c r="G209" s="139"/>
      <c r="H209" s="139"/>
      <c r="I209" s="15"/>
      <c r="J209" s="43"/>
      <c r="K209" s="43"/>
      <c r="L209" s="43"/>
      <c r="M209" s="61"/>
      <c r="N209" s="139"/>
      <c r="O209" s="139"/>
      <c r="P209" s="145"/>
      <c r="Q209" s="43"/>
      <c r="R209" s="145"/>
      <c r="S209" s="43"/>
      <c r="T209" s="88"/>
      <c r="U209" s="40"/>
      <c r="V209" s="40"/>
      <c r="W209" s="88"/>
      <c r="X209" s="40"/>
      <c r="Y209" s="40"/>
      <c r="Z209" s="40"/>
      <c r="AA209" s="40"/>
      <c r="AB209" s="40"/>
      <c r="AC209" s="42"/>
      <c r="AD209" s="40"/>
      <c r="AE209" s="40"/>
      <c r="AF209" s="40"/>
      <c r="AG209" s="40"/>
      <c r="AH209" s="30"/>
      <c r="AI209" s="29"/>
      <c r="AJ209" s="40"/>
    </row>
    <row r="210" ht="15.75" customHeight="1">
      <c r="A210" s="43"/>
      <c r="B210" s="43"/>
      <c r="C210" s="15"/>
      <c r="D210" s="15"/>
      <c r="E210" s="15"/>
      <c r="F210" s="146"/>
      <c r="G210" s="139"/>
      <c r="H210" s="139"/>
      <c r="I210" s="15"/>
      <c r="J210" s="43"/>
      <c r="K210" s="43"/>
      <c r="L210" s="43"/>
      <c r="M210" s="61"/>
      <c r="N210" s="139"/>
      <c r="O210" s="139"/>
      <c r="P210" s="145"/>
      <c r="Q210" s="43"/>
      <c r="R210" s="145"/>
      <c r="S210" s="43"/>
      <c r="T210" s="88"/>
      <c r="U210" s="40"/>
      <c r="V210" s="40"/>
      <c r="W210" s="88"/>
      <c r="X210" s="40"/>
      <c r="Y210" s="40"/>
      <c r="Z210" s="40"/>
      <c r="AA210" s="40"/>
      <c r="AB210" s="40"/>
      <c r="AC210" s="42"/>
      <c r="AD210" s="40"/>
      <c r="AE210" s="40"/>
      <c r="AF210" s="40"/>
      <c r="AG210" s="40"/>
      <c r="AH210" s="30"/>
      <c r="AI210" s="29"/>
      <c r="AJ210" s="40"/>
    </row>
    <row r="211" ht="15.75" customHeight="1">
      <c r="A211" s="43"/>
      <c r="B211" s="43"/>
      <c r="C211" s="15"/>
      <c r="D211" s="15"/>
      <c r="E211" s="15"/>
      <c r="F211" s="146"/>
      <c r="G211" s="139"/>
      <c r="H211" s="139"/>
      <c r="I211" s="15"/>
      <c r="J211" s="43"/>
      <c r="K211" s="43"/>
      <c r="L211" s="43"/>
      <c r="M211" s="61"/>
      <c r="N211" s="139"/>
      <c r="O211" s="139"/>
      <c r="P211" s="145"/>
      <c r="Q211" s="43"/>
      <c r="R211" s="145"/>
      <c r="S211" s="43"/>
      <c r="T211" s="88"/>
      <c r="U211" s="40"/>
      <c r="V211" s="40"/>
      <c r="W211" s="88"/>
      <c r="X211" s="40"/>
      <c r="Y211" s="40"/>
      <c r="Z211" s="40"/>
      <c r="AA211" s="40"/>
      <c r="AB211" s="40"/>
      <c r="AC211" s="42"/>
      <c r="AD211" s="40"/>
      <c r="AE211" s="40"/>
      <c r="AF211" s="40"/>
      <c r="AG211" s="40"/>
      <c r="AH211" s="30"/>
      <c r="AI211" s="29"/>
      <c r="AJ211" s="40"/>
    </row>
    <row r="212" ht="15.75" customHeight="1">
      <c r="A212" s="43"/>
      <c r="B212" s="43"/>
      <c r="C212" s="15"/>
      <c r="D212" s="15"/>
      <c r="E212" s="15"/>
      <c r="F212" s="146"/>
      <c r="G212" s="139"/>
      <c r="H212" s="139"/>
      <c r="I212" s="15"/>
      <c r="J212" s="43"/>
      <c r="K212" s="43"/>
      <c r="L212" s="43"/>
      <c r="M212" s="61"/>
      <c r="N212" s="139"/>
      <c r="O212" s="139"/>
      <c r="P212" s="145"/>
      <c r="Q212" s="43"/>
      <c r="R212" s="145"/>
      <c r="S212" s="43"/>
      <c r="T212" s="88"/>
      <c r="U212" s="40"/>
      <c r="V212" s="40"/>
      <c r="W212" s="88"/>
      <c r="X212" s="40"/>
      <c r="Y212" s="40"/>
      <c r="Z212" s="40"/>
      <c r="AA212" s="40"/>
      <c r="AB212" s="40"/>
      <c r="AC212" s="42"/>
      <c r="AD212" s="40"/>
      <c r="AE212" s="40"/>
      <c r="AF212" s="40"/>
      <c r="AG212" s="40"/>
      <c r="AH212" s="30"/>
      <c r="AI212" s="29"/>
      <c r="AJ212" s="40"/>
    </row>
    <row r="213" ht="15.75" customHeight="1">
      <c r="A213" s="43"/>
      <c r="B213" s="43"/>
      <c r="C213" s="15"/>
      <c r="D213" s="15"/>
      <c r="E213" s="15"/>
      <c r="F213" s="146"/>
      <c r="G213" s="139"/>
      <c r="H213" s="139"/>
      <c r="I213" s="15"/>
      <c r="J213" s="43"/>
      <c r="K213" s="43"/>
      <c r="L213" s="43"/>
      <c r="M213" s="61"/>
      <c r="N213" s="139"/>
      <c r="O213" s="139"/>
      <c r="P213" s="145"/>
      <c r="Q213" s="43"/>
      <c r="R213" s="145"/>
      <c r="S213" s="43"/>
      <c r="T213" s="88"/>
      <c r="U213" s="40"/>
      <c r="V213" s="40"/>
      <c r="W213" s="88"/>
      <c r="X213" s="40"/>
      <c r="Y213" s="40"/>
      <c r="Z213" s="40"/>
      <c r="AA213" s="40"/>
      <c r="AB213" s="40"/>
      <c r="AC213" s="42"/>
      <c r="AD213" s="40"/>
      <c r="AE213" s="40"/>
      <c r="AF213" s="40"/>
      <c r="AG213" s="40"/>
      <c r="AH213" s="30"/>
      <c r="AI213" s="29"/>
      <c r="AJ213" s="40"/>
    </row>
    <row r="214" ht="15.75" customHeight="1">
      <c r="A214" s="43"/>
      <c r="B214" s="43"/>
      <c r="C214" s="15"/>
      <c r="D214" s="15"/>
      <c r="E214" s="15"/>
      <c r="F214" s="146"/>
      <c r="G214" s="139"/>
      <c r="H214" s="139"/>
      <c r="I214" s="15"/>
      <c r="J214" s="43"/>
      <c r="K214" s="43"/>
      <c r="L214" s="43"/>
      <c r="M214" s="61"/>
      <c r="N214" s="139"/>
      <c r="O214" s="139"/>
      <c r="P214" s="145"/>
      <c r="Q214" s="43"/>
      <c r="R214" s="145"/>
      <c r="S214" s="43"/>
      <c r="T214" s="88"/>
      <c r="U214" s="40"/>
      <c r="V214" s="40"/>
      <c r="W214" s="88"/>
      <c r="X214" s="40"/>
      <c r="Y214" s="40"/>
      <c r="Z214" s="40"/>
      <c r="AA214" s="40"/>
      <c r="AB214" s="40"/>
      <c r="AC214" s="42"/>
      <c r="AD214" s="40"/>
      <c r="AE214" s="40"/>
      <c r="AF214" s="40"/>
      <c r="AG214" s="40"/>
      <c r="AH214" s="30"/>
      <c r="AI214" s="29"/>
      <c r="AJ214" s="40"/>
    </row>
    <row r="215" ht="15.75" customHeight="1">
      <c r="A215" s="43"/>
      <c r="B215" s="43"/>
      <c r="C215" s="15"/>
      <c r="D215" s="15"/>
      <c r="E215" s="15"/>
      <c r="F215" s="146"/>
      <c r="G215" s="139"/>
      <c r="H215" s="139"/>
      <c r="I215" s="15"/>
      <c r="J215" s="43"/>
      <c r="K215" s="43"/>
      <c r="L215" s="43"/>
      <c r="M215" s="61"/>
      <c r="N215" s="139"/>
      <c r="O215" s="139"/>
      <c r="P215" s="145"/>
      <c r="Q215" s="43"/>
      <c r="R215" s="145"/>
      <c r="S215" s="43"/>
      <c r="T215" s="88"/>
      <c r="U215" s="40"/>
      <c r="V215" s="40"/>
      <c r="W215" s="88"/>
      <c r="X215" s="40"/>
      <c r="Y215" s="40"/>
      <c r="Z215" s="40"/>
      <c r="AA215" s="40"/>
      <c r="AB215" s="40"/>
      <c r="AC215" s="42"/>
      <c r="AD215" s="40"/>
      <c r="AE215" s="40"/>
      <c r="AF215" s="40"/>
      <c r="AG215" s="40"/>
      <c r="AH215" s="30"/>
      <c r="AI215" s="29"/>
      <c r="AJ215" s="40"/>
    </row>
    <row r="216" ht="15.75" customHeight="1">
      <c r="A216" s="43"/>
      <c r="B216" s="43"/>
      <c r="C216" s="15"/>
      <c r="D216" s="15"/>
      <c r="E216" s="15"/>
      <c r="F216" s="146"/>
      <c r="G216" s="139"/>
      <c r="H216" s="139"/>
      <c r="I216" s="15"/>
      <c r="J216" s="43"/>
      <c r="K216" s="43"/>
      <c r="L216" s="43"/>
      <c r="M216" s="61"/>
      <c r="N216" s="139"/>
      <c r="O216" s="139"/>
      <c r="P216" s="145"/>
      <c r="Q216" s="43"/>
      <c r="R216" s="145"/>
      <c r="S216" s="43"/>
      <c r="T216" s="88"/>
      <c r="U216" s="40"/>
      <c r="V216" s="40"/>
      <c r="W216" s="88"/>
      <c r="X216" s="40"/>
      <c r="Y216" s="40"/>
      <c r="Z216" s="40"/>
      <c r="AA216" s="40"/>
      <c r="AB216" s="40"/>
      <c r="AC216" s="42"/>
      <c r="AD216" s="40"/>
      <c r="AE216" s="40"/>
      <c r="AF216" s="40"/>
      <c r="AG216" s="40"/>
      <c r="AH216" s="30"/>
      <c r="AI216" s="29"/>
      <c r="AJ216" s="40"/>
    </row>
    <row r="217" ht="15.75" customHeight="1">
      <c r="A217" s="43"/>
      <c r="B217" s="43"/>
      <c r="C217" s="15"/>
      <c r="D217" s="15"/>
      <c r="E217" s="15"/>
      <c r="F217" s="146"/>
      <c r="G217" s="139"/>
      <c r="H217" s="139"/>
      <c r="I217" s="15"/>
      <c r="J217" s="43"/>
      <c r="K217" s="43"/>
      <c r="L217" s="43"/>
      <c r="M217" s="61"/>
      <c r="N217" s="139"/>
      <c r="O217" s="139"/>
      <c r="P217" s="145"/>
      <c r="Q217" s="43"/>
      <c r="R217" s="145"/>
      <c r="S217" s="43"/>
      <c r="T217" s="88"/>
      <c r="U217" s="40"/>
      <c r="V217" s="40"/>
      <c r="W217" s="88"/>
      <c r="X217" s="40"/>
      <c r="Y217" s="40"/>
      <c r="Z217" s="40"/>
      <c r="AA217" s="40"/>
      <c r="AB217" s="40"/>
      <c r="AC217" s="42"/>
      <c r="AD217" s="40"/>
      <c r="AE217" s="40"/>
      <c r="AF217" s="40"/>
      <c r="AG217" s="40"/>
      <c r="AH217" s="30"/>
      <c r="AI217" s="29"/>
      <c r="AJ217" s="40"/>
    </row>
    <row r="218" ht="15.75" customHeight="1">
      <c r="A218" s="43"/>
      <c r="B218" s="43"/>
      <c r="C218" s="15"/>
      <c r="D218" s="15"/>
      <c r="E218" s="15"/>
      <c r="F218" s="146"/>
      <c r="G218" s="139"/>
      <c r="H218" s="139"/>
      <c r="I218" s="15"/>
      <c r="J218" s="43"/>
      <c r="K218" s="43"/>
      <c r="L218" s="43"/>
      <c r="M218" s="61"/>
      <c r="N218" s="139"/>
      <c r="O218" s="139"/>
      <c r="P218" s="145"/>
      <c r="Q218" s="43"/>
      <c r="R218" s="145"/>
      <c r="S218" s="43"/>
      <c r="T218" s="88"/>
      <c r="U218" s="40"/>
      <c r="V218" s="40"/>
      <c r="W218" s="88"/>
      <c r="X218" s="40"/>
      <c r="Y218" s="40"/>
      <c r="Z218" s="40"/>
      <c r="AA218" s="40"/>
      <c r="AB218" s="40"/>
      <c r="AC218" s="42"/>
      <c r="AD218" s="40"/>
      <c r="AE218" s="40"/>
      <c r="AF218" s="40"/>
      <c r="AG218" s="40"/>
      <c r="AH218" s="30"/>
      <c r="AI218" s="29"/>
      <c r="AJ218" s="40"/>
    </row>
    <row r="219" ht="15.75" customHeight="1">
      <c r="A219" s="43"/>
      <c r="B219" s="43"/>
      <c r="C219" s="15"/>
      <c r="D219" s="15"/>
      <c r="E219" s="15"/>
      <c r="F219" s="146"/>
      <c r="G219" s="139"/>
      <c r="H219" s="139"/>
      <c r="I219" s="15"/>
      <c r="J219" s="43"/>
      <c r="K219" s="43"/>
      <c r="L219" s="43"/>
      <c r="M219" s="61"/>
      <c r="N219" s="139"/>
      <c r="O219" s="139"/>
      <c r="P219" s="145"/>
      <c r="Q219" s="43"/>
      <c r="R219" s="145"/>
      <c r="S219" s="43"/>
      <c r="T219" s="88"/>
      <c r="U219" s="40"/>
      <c r="V219" s="40"/>
      <c r="W219" s="88"/>
      <c r="X219" s="40"/>
      <c r="Y219" s="40"/>
      <c r="Z219" s="40"/>
      <c r="AA219" s="40"/>
      <c r="AB219" s="40"/>
      <c r="AC219" s="42"/>
      <c r="AD219" s="40"/>
      <c r="AE219" s="40"/>
      <c r="AF219" s="40"/>
      <c r="AG219" s="40"/>
      <c r="AH219" s="30"/>
      <c r="AI219" s="29"/>
      <c r="AJ219" s="40"/>
    </row>
    <row r="220" ht="15.75" customHeight="1">
      <c r="A220" s="43"/>
      <c r="B220" s="43"/>
      <c r="C220" s="15"/>
      <c r="D220" s="15"/>
      <c r="E220" s="15"/>
      <c r="F220" s="146"/>
      <c r="G220" s="139"/>
      <c r="H220" s="139"/>
      <c r="I220" s="15"/>
      <c r="J220" s="43"/>
      <c r="K220" s="43"/>
      <c r="L220" s="43"/>
      <c r="M220" s="61"/>
      <c r="N220" s="139"/>
      <c r="O220" s="139"/>
      <c r="P220" s="145"/>
      <c r="Q220" s="43"/>
      <c r="R220" s="145"/>
      <c r="S220" s="43"/>
      <c r="T220" s="88"/>
      <c r="U220" s="40"/>
      <c r="V220" s="40"/>
      <c r="W220" s="88"/>
      <c r="X220" s="40"/>
      <c r="Y220" s="40"/>
      <c r="Z220" s="40"/>
      <c r="AA220" s="40"/>
      <c r="AB220" s="40"/>
      <c r="AC220" s="42"/>
      <c r="AD220" s="40"/>
      <c r="AE220" s="40"/>
      <c r="AF220" s="40"/>
      <c r="AG220" s="40"/>
      <c r="AH220" s="30"/>
      <c r="AI220" s="29"/>
      <c r="AJ220" s="40"/>
    </row>
    <row r="221" ht="15.75" customHeight="1">
      <c r="A221" s="43"/>
      <c r="B221" s="43"/>
      <c r="C221" s="15"/>
      <c r="D221" s="15"/>
      <c r="E221" s="15"/>
      <c r="F221" s="146"/>
      <c r="G221" s="139"/>
      <c r="H221" s="139"/>
      <c r="I221" s="15"/>
      <c r="J221" s="43"/>
      <c r="K221" s="43"/>
      <c r="L221" s="43"/>
      <c r="M221" s="61"/>
      <c r="N221" s="139"/>
      <c r="O221" s="139"/>
      <c r="P221" s="145"/>
      <c r="Q221" s="43"/>
      <c r="R221" s="145"/>
      <c r="S221" s="43"/>
      <c r="T221" s="88"/>
      <c r="U221" s="40"/>
      <c r="V221" s="40"/>
      <c r="W221" s="88"/>
      <c r="X221" s="40"/>
      <c r="Y221" s="40"/>
      <c r="Z221" s="40"/>
      <c r="AA221" s="40"/>
      <c r="AB221" s="40"/>
      <c r="AC221" s="42"/>
      <c r="AD221" s="40"/>
      <c r="AE221" s="40"/>
      <c r="AF221" s="40"/>
      <c r="AG221" s="40"/>
      <c r="AH221" s="30"/>
      <c r="AI221" s="29"/>
      <c r="AJ221" s="40"/>
    </row>
    <row r="222" ht="15.75" customHeight="1">
      <c r="A222" s="43"/>
      <c r="B222" s="43"/>
      <c r="C222" s="15"/>
      <c r="D222" s="15"/>
      <c r="E222" s="15"/>
      <c r="F222" s="146"/>
      <c r="G222" s="139"/>
      <c r="H222" s="139"/>
      <c r="I222" s="15"/>
      <c r="J222" s="43"/>
      <c r="K222" s="43"/>
      <c r="L222" s="43"/>
      <c r="M222" s="61"/>
      <c r="N222" s="139"/>
      <c r="O222" s="139"/>
      <c r="P222" s="145"/>
      <c r="Q222" s="43"/>
      <c r="R222" s="145"/>
      <c r="S222" s="43"/>
      <c r="T222" s="88"/>
      <c r="U222" s="40"/>
      <c r="V222" s="40"/>
      <c r="W222" s="88"/>
      <c r="X222" s="40"/>
      <c r="Y222" s="40"/>
      <c r="Z222" s="40"/>
      <c r="AA222" s="40"/>
      <c r="AB222" s="40"/>
      <c r="AC222" s="42"/>
      <c r="AD222" s="40"/>
      <c r="AE222" s="40"/>
      <c r="AF222" s="40"/>
      <c r="AG222" s="40"/>
      <c r="AH222" s="30"/>
      <c r="AI222" s="29"/>
      <c r="AJ222" s="40"/>
    </row>
    <row r="223" ht="15.75" customHeight="1">
      <c r="A223" s="43"/>
      <c r="B223" s="43"/>
      <c r="C223" s="15"/>
      <c r="D223" s="15"/>
      <c r="E223" s="15"/>
      <c r="F223" s="146"/>
      <c r="G223" s="139"/>
      <c r="H223" s="139"/>
      <c r="I223" s="15"/>
      <c r="J223" s="43"/>
      <c r="K223" s="43"/>
      <c r="L223" s="43"/>
      <c r="M223" s="61"/>
      <c r="N223" s="139"/>
      <c r="O223" s="139"/>
      <c r="P223" s="145"/>
      <c r="Q223" s="43"/>
      <c r="R223" s="145"/>
      <c r="S223" s="43"/>
      <c r="T223" s="88"/>
      <c r="U223" s="40"/>
      <c r="V223" s="40"/>
      <c r="W223" s="88"/>
      <c r="X223" s="40"/>
      <c r="Y223" s="40"/>
      <c r="Z223" s="40"/>
      <c r="AA223" s="40"/>
      <c r="AB223" s="40"/>
      <c r="AC223" s="42"/>
      <c r="AD223" s="40"/>
      <c r="AE223" s="40"/>
      <c r="AF223" s="40"/>
      <c r="AG223" s="40"/>
      <c r="AH223" s="30"/>
      <c r="AI223" s="29"/>
      <c r="AJ223" s="40"/>
    </row>
    <row r="224" ht="15.75" customHeight="1">
      <c r="A224" s="43"/>
      <c r="B224" s="43"/>
      <c r="C224" s="15"/>
      <c r="D224" s="15"/>
      <c r="E224" s="15"/>
      <c r="F224" s="146"/>
      <c r="G224" s="139"/>
      <c r="H224" s="139"/>
      <c r="I224" s="15"/>
      <c r="J224" s="43"/>
      <c r="K224" s="43"/>
      <c r="L224" s="43"/>
      <c r="M224" s="61"/>
      <c r="N224" s="139"/>
      <c r="O224" s="139"/>
      <c r="P224" s="145"/>
      <c r="Q224" s="43"/>
      <c r="R224" s="145"/>
      <c r="S224" s="43"/>
      <c r="T224" s="88"/>
      <c r="U224" s="40"/>
      <c r="V224" s="40"/>
      <c r="W224" s="88"/>
      <c r="X224" s="40"/>
      <c r="Y224" s="40"/>
      <c r="Z224" s="40"/>
      <c r="AA224" s="40"/>
      <c r="AB224" s="40"/>
      <c r="AC224" s="42"/>
      <c r="AD224" s="40"/>
      <c r="AE224" s="40"/>
      <c r="AF224" s="40"/>
      <c r="AG224" s="40"/>
      <c r="AH224" s="30"/>
      <c r="AI224" s="29"/>
      <c r="AJ224" s="40"/>
    </row>
    <row r="225" ht="15.75" customHeight="1">
      <c r="A225" s="43"/>
      <c r="B225" s="43"/>
      <c r="C225" s="15"/>
      <c r="D225" s="15"/>
      <c r="E225" s="15"/>
      <c r="F225" s="146"/>
      <c r="G225" s="139"/>
      <c r="H225" s="139"/>
      <c r="I225" s="15"/>
      <c r="J225" s="43"/>
      <c r="K225" s="43"/>
      <c r="L225" s="43"/>
      <c r="M225" s="61"/>
      <c r="N225" s="139"/>
      <c r="O225" s="139"/>
      <c r="P225" s="145"/>
      <c r="Q225" s="43"/>
      <c r="R225" s="145"/>
      <c r="S225" s="43"/>
      <c r="T225" s="88"/>
      <c r="U225" s="40"/>
      <c r="V225" s="40"/>
      <c r="W225" s="88"/>
      <c r="X225" s="40"/>
      <c r="Y225" s="40"/>
      <c r="Z225" s="40"/>
      <c r="AA225" s="40"/>
      <c r="AB225" s="40"/>
      <c r="AC225" s="42"/>
      <c r="AD225" s="40"/>
      <c r="AE225" s="40"/>
      <c r="AF225" s="40"/>
      <c r="AG225" s="40"/>
      <c r="AH225" s="30"/>
      <c r="AI225" s="29"/>
      <c r="AJ225" s="40"/>
    </row>
    <row r="226" ht="15.75" customHeight="1">
      <c r="A226" s="43"/>
      <c r="B226" s="43"/>
      <c r="C226" s="15"/>
      <c r="D226" s="15"/>
      <c r="E226" s="15"/>
      <c r="F226" s="146"/>
      <c r="G226" s="139"/>
      <c r="H226" s="139"/>
      <c r="I226" s="15"/>
      <c r="J226" s="43"/>
      <c r="K226" s="43"/>
      <c r="L226" s="43"/>
      <c r="M226" s="61"/>
      <c r="N226" s="139"/>
      <c r="O226" s="139"/>
      <c r="P226" s="145"/>
      <c r="Q226" s="43"/>
      <c r="R226" s="145"/>
      <c r="S226" s="43"/>
      <c r="T226" s="88"/>
      <c r="U226" s="40"/>
      <c r="V226" s="40"/>
      <c r="W226" s="88"/>
      <c r="X226" s="40"/>
      <c r="Y226" s="40"/>
      <c r="Z226" s="40"/>
      <c r="AA226" s="40"/>
      <c r="AB226" s="40"/>
      <c r="AC226" s="42"/>
      <c r="AD226" s="40"/>
      <c r="AE226" s="40"/>
      <c r="AF226" s="40"/>
      <c r="AG226" s="40"/>
      <c r="AH226" s="30"/>
      <c r="AI226" s="29"/>
      <c r="AJ226" s="40"/>
    </row>
    <row r="227" ht="15.75" customHeight="1">
      <c r="A227" s="43"/>
      <c r="B227" s="43"/>
      <c r="C227" s="15"/>
      <c r="D227" s="15"/>
      <c r="E227" s="15"/>
      <c r="F227" s="146"/>
      <c r="G227" s="139"/>
      <c r="H227" s="139"/>
      <c r="I227" s="15"/>
      <c r="J227" s="43"/>
      <c r="K227" s="43"/>
      <c r="L227" s="43"/>
      <c r="M227" s="61"/>
      <c r="N227" s="139"/>
      <c r="O227" s="139"/>
      <c r="P227" s="145"/>
      <c r="Q227" s="43"/>
      <c r="R227" s="145"/>
      <c r="S227" s="43"/>
      <c r="T227" s="88"/>
      <c r="U227" s="40"/>
      <c r="V227" s="40"/>
      <c r="W227" s="88"/>
      <c r="X227" s="40"/>
      <c r="Y227" s="40"/>
      <c r="Z227" s="40"/>
      <c r="AA227" s="40"/>
      <c r="AB227" s="40"/>
      <c r="AC227" s="42"/>
      <c r="AD227" s="40"/>
      <c r="AE227" s="40"/>
      <c r="AF227" s="40"/>
      <c r="AG227" s="40"/>
      <c r="AH227" s="30"/>
      <c r="AI227" s="29"/>
      <c r="AJ227" s="40"/>
    </row>
    <row r="228" ht="15.75" customHeight="1">
      <c r="A228" s="43"/>
      <c r="B228" s="43"/>
      <c r="C228" s="15"/>
      <c r="D228" s="15"/>
      <c r="E228" s="15"/>
      <c r="F228" s="146"/>
      <c r="G228" s="139"/>
      <c r="H228" s="139"/>
      <c r="I228" s="15"/>
      <c r="J228" s="43"/>
      <c r="K228" s="43"/>
      <c r="L228" s="43"/>
      <c r="M228" s="61"/>
      <c r="N228" s="139"/>
      <c r="O228" s="139"/>
      <c r="P228" s="145"/>
      <c r="Q228" s="43"/>
      <c r="R228" s="145"/>
      <c r="S228" s="43"/>
      <c r="T228" s="88"/>
      <c r="U228" s="40"/>
      <c r="V228" s="40"/>
      <c r="W228" s="88"/>
      <c r="X228" s="40"/>
      <c r="Y228" s="40"/>
      <c r="Z228" s="40"/>
      <c r="AA228" s="40"/>
      <c r="AB228" s="40"/>
      <c r="AC228" s="42"/>
      <c r="AD228" s="40"/>
      <c r="AE228" s="40"/>
      <c r="AF228" s="40"/>
      <c r="AG228" s="40"/>
      <c r="AH228" s="30"/>
      <c r="AI228" s="29"/>
      <c r="AJ228" s="40"/>
    </row>
    <row r="229" ht="15.75" customHeight="1">
      <c r="A229" s="43"/>
      <c r="B229" s="43"/>
      <c r="C229" s="15"/>
      <c r="D229" s="15"/>
      <c r="E229" s="15"/>
      <c r="F229" s="146"/>
      <c r="G229" s="139"/>
      <c r="H229" s="139"/>
      <c r="I229" s="15"/>
      <c r="J229" s="43"/>
      <c r="K229" s="43"/>
      <c r="L229" s="43"/>
      <c r="M229" s="61"/>
      <c r="N229" s="139"/>
      <c r="O229" s="139"/>
      <c r="P229" s="145"/>
      <c r="Q229" s="43"/>
      <c r="R229" s="145"/>
      <c r="S229" s="43"/>
      <c r="T229" s="88"/>
      <c r="U229" s="40"/>
      <c r="V229" s="40"/>
      <c r="W229" s="88"/>
      <c r="X229" s="40"/>
      <c r="Y229" s="40"/>
      <c r="Z229" s="40"/>
      <c r="AA229" s="40"/>
      <c r="AB229" s="40"/>
      <c r="AC229" s="42"/>
      <c r="AD229" s="40"/>
      <c r="AE229" s="40"/>
      <c r="AF229" s="40"/>
      <c r="AG229" s="40"/>
      <c r="AH229" s="30"/>
      <c r="AI229" s="29"/>
      <c r="AJ229" s="40"/>
    </row>
    <row r="230" ht="15.75" customHeight="1">
      <c r="A230" s="43"/>
      <c r="B230" s="43"/>
      <c r="C230" s="15"/>
      <c r="D230" s="15"/>
      <c r="E230" s="15"/>
      <c r="F230" s="146"/>
      <c r="G230" s="139"/>
      <c r="H230" s="139"/>
      <c r="I230" s="15"/>
      <c r="J230" s="43"/>
      <c r="K230" s="43"/>
      <c r="L230" s="43"/>
      <c r="M230" s="61"/>
      <c r="N230" s="139"/>
      <c r="O230" s="139"/>
      <c r="P230" s="145"/>
      <c r="Q230" s="43"/>
      <c r="R230" s="145"/>
      <c r="S230" s="43"/>
      <c r="T230" s="88"/>
      <c r="U230" s="40"/>
      <c r="V230" s="40"/>
      <c r="W230" s="88"/>
      <c r="X230" s="40"/>
      <c r="Y230" s="40"/>
      <c r="Z230" s="40"/>
      <c r="AA230" s="40"/>
      <c r="AB230" s="40"/>
      <c r="AC230" s="42"/>
      <c r="AD230" s="40"/>
      <c r="AE230" s="40"/>
      <c r="AF230" s="40"/>
      <c r="AG230" s="40"/>
      <c r="AH230" s="30"/>
      <c r="AI230" s="29"/>
      <c r="AJ230" s="40"/>
    </row>
    <row r="231" ht="15.75" customHeight="1">
      <c r="A231" s="43"/>
      <c r="B231" s="43"/>
      <c r="C231" s="15"/>
      <c r="D231" s="15"/>
      <c r="E231" s="15"/>
      <c r="F231" s="146"/>
      <c r="G231" s="139"/>
      <c r="H231" s="139"/>
      <c r="I231" s="15"/>
      <c r="J231" s="43"/>
      <c r="K231" s="43"/>
      <c r="L231" s="43"/>
      <c r="M231" s="61"/>
      <c r="N231" s="139"/>
      <c r="O231" s="139"/>
      <c r="P231" s="145"/>
      <c r="Q231" s="43"/>
      <c r="R231" s="145"/>
      <c r="S231" s="43"/>
      <c r="T231" s="88"/>
      <c r="U231" s="40"/>
      <c r="V231" s="40"/>
      <c r="W231" s="88"/>
      <c r="X231" s="40"/>
      <c r="Y231" s="40"/>
      <c r="Z231" s="40"/>
      <c r="AA231" s="40"/>
      <c r="AB231" s="40"/>
      <c r="AC231" s="42"/>
      <c r="AD231" s="40"/>
      <c r="AE231" s="40"/>
      <c r="AF231" s="40"/>
      <c r="AG231" s="40"/>
      <c r="AH231" s="30"/>
      <c r="AI231" s="29"/>
      <c r="AJ231" s="40"/>
    </row>
    <row r="232" ht="15.75" customHeight="1">
      <c r="A232" s="43"/>
      <c r="B232" s="43"/>
      <c r="C232" s="15"/>
      <c r="D232" s="15"/>
      <c r="E232" s="15"/>
      <c r="F232" s="146"/>
      <c r="G232" s="139"/>
      <c r="H232" s="139"/>
      <c r="I232" s="15"/>
      <c r="J232" s="43"/>
      <c r="K232" s="43"/>
      <c r="L232" s="43"/>
      <c r="M232" s="61"/>
      <c r="N232" s="139"/>
      <c r="O232" s="139"/>
      <c r="P232" s="145"/>
      <c r="Q232" s="43"/>
      <c r="R232" s="145"/>
      <c r="S232" s="43"/>
      <c r="T232" s="88"/>
      <c r="U232" s="40"/>
      <c r="V232" s="40"/>
      <c r="W232" s="88"/>
      <c r="X232" s="40"/>
      <c r="Y232" s="40"/>
      <c r="Z232" s="40"/>
      <c r="AA232" s="40"/>
      <c r="AB232" s="40"/>
      <c r="AC232" s="42"/>
      <c r="AD232" s="40"/>
      <c r="AE232" s="40"/>
      <c r="AF232" s="40"/>
      <c r="AG232" s="40"/>
      <c r="AH232" s="30"/>
      <c r="AI232" s="29"/>
      <c r="AJ232" s="40"/>
    </row>
    <row r="233" ht="15.75" customHeight="1">
      <c r="A233" s="43"/>
      <c r="B233" s="43"/>
      <c r="C233" s="15"/>
      <c r="D233" s="15"/>
      <c r="E233" s="15"/>
      <c r="F233" s="146"/>
      <c r="G233" s="139"/>
      <c r="H233" s="139"/>
      <c r="I233" s="15"/>
      <c r="J233" s="43"/>
      <c r="K233" s="43"/>
      <c r="L233" s="43"/>
      <c r="M233" s="61"/>
      <c r="N233" s="139"/>
      <c r="O233" s="139"/>
      <c r="P233" s="145"/>
      <c r="Q233" s="43"/>
      <c r="R233" s="145"/>
      <c r="S233" s="43"/>
      <c r="T233" s="88"/>
      <c r="U233" s="40"/>
      <c r="V233" s="40"/>
      <c r="W233" s="88"/>
      <c r="X233" s="40"/>
      <c r="Y233" s="40"/>
      <c r="Z233" s="40"/>
      <c r="AA233" s="40"/>
      <c r="AB233" s="40"/>
      <c r="AC233" s="42"/>
      <c r="AD233" s="40"/>
      <c r="AE233" s="40"/>
      <c r="AF233" s="40"/>
      <c r="AG233" s="40"/>
      <c r="AH233" s="30"/>
      <c r="AI233" s="29"/>
      <c r="AJ233" s="40"/>
    </row>
    <row r="234" ht="15.75" customHeight="1">
      <c r="A234" s="43"/>
      <c r="B234" s="43"/>
      <c r="C234" s="15"/>
      <c r="D234" s="15"/>
      <c r="E234" s="15"/>
      <c r="F234" s="146"/>
      <c r="G234" s="139"/>
      <c r="H234" s="139"/>
      <c r="I234" s="15"/>
      <c r="J234" s="43"/>
      <c r="K234" s="43"/>
      <c r="L234" s="43"/>
      <c r="M234" s="61"/>
      <c r="N234" s="139"/>
      <c r="O234" s="139"/>
      <c r="P234" s="145"/>
      <c r="Q234" s="43"/>
      <c r="R234" s="145"/>
      <c r="S234" s="43"/>
      <c r="T234" s="88"/>
      <c r="U234" s="40"/>
      <c r="V234" s="40"/>
      <c r="W234" s="88"/>
      <c r="X234" s="40"/>
      <c r="Y234" s="40"/>
      <c r="Z234" s="40"/>
      <c r="AA234" s="40"/>
      <c r="AB234" s="40"/>
      <c r="AC234" s="42"/>
      <c r="AD234" s="40"/>
      <c r="AE234" s="40"/>
      <c r="AF234" s="40"/>
      <c r="AG234" s="40"/>
      <c r="AH234" s="30"/>
      <c r="AI234" s="29"/>
      <c r="AJ234" s="40"/>
    </row>
    <row r="235" ht="15.75" customHeight="1">
      <c r="A235" s="43"/>
      <c r="B235" s="43"/>
      <c r="C235" s="15"/>
      <c r="D235" s="15"/>
      <c r="E235" s="15"/>
      <c r="F235" s="146"/>
      <c r="G235" s="139"/>
      <c r="H235" s="139"/>
      <c r="I235" s="15"/>
      <c r="J235" s="43"/>
      <c r="K235" s="43"/>
      <c r="L235" s="43"/>
      <c r="M235" s="61"/>
      <c r="N235" s="139"/>
      <c r="O235" s="139"/>
      <c r="P235" s="145"/>
      <c r="Q235" s="43"/>
      <c r="R235" s="145"/>
      <c r="S235" s="43"/>
      <c r="T235" s="88"/>
      <c r="U235" s="40"/>
      <c r="V235" s="40"/>
      <c r="W235" s="88"/>
      <c r="X235" s="40"/>
      <c r="Y235" s="40"/>
      <c r="Z235" s="40"/>
      <c r="AA235" s="40"/>
      <c r="AB235" s="40"/>
      <c r="AC235" s="42"/>
      <c r="AD235" s="40"/>
      <c r="AE235" s="40"/>
      <c r="AF235" s="40"/>
      <c r="AG235" s="40"/>
      <c r="AH235" s="30"/>
      <c r="AI235" s="29"/>
      <c r="AJ235" s="40"/>
    </row>
    <row r="236" ht="15.75" customHeight="1">
      <c r="A236" s="43"/>
      <c r="B236" s="43"/>
      <c r="C236" s="15"/>
      <c r="D236" s="15"/>
      <c r="E236" s="15"/>
      <c r="F236" s="146"/>
      <c r="G236" s="139"/>
      <c r="H236" s="139"/>
      <c r="I236" s="15"/>
      <c r="J236" s="43"/>
      <c r="K236" s="43"/>
      <c r="L236" s="43"/>
      <c r="M236" s="61"/>
      <c r="N236" s="139"/>
      <c r="O236" s="139"/>
      <c r="P236" s="145"/>
      <c r="Q236" s="43"/>
      <c r="R236" s="145"/>
      <c r="S236" s="43"/>
      <c r="T236" s="88"/>
      <c r="U236" s="40"/>
      <c r="V236" s="40"/>
      <c r="W236" s="88"/>
      <c r="X236" s="40"/>
      <c r="Y236" s="40"/>
      <c r="Z236" s="40"/>
      <c r="AA236" s="40"/>
      <c r="AB236" s="40"/>
      <c r="AC236" s="42"/>
      <c r="AD236" s="40"/>
      <c r="AE236" s="40"/>
      <c r="AF236" s="40"/>
      <c r="AG236" s="40"/>
      <c r="AH236" s="30"/>
      <c r="AI236" s="29"/>
      <c r="AJ236" s="40"/>
    </row>
    <row r="237" ht="15.75" customHeight="1">
      <c r="A237" s="43"/>
      <c r="B237" s="43"/>
      <c r="C237" s="15"/>
      <c r="D237" s="15"/>
      <c r="E237" s="15"/>
      <c r="F237" s="146"/>
      <c r="G237" s="139"/>
      <c r="H237" s="139"/>
      <c r="I237" s="15"/>
      <c r="J237" s="43"/>
      <c r="K237" s="43"/>
      <c r="L237" s="43"/>
      <c r="M237" s="61"/>
      <c r="N237" s="139"/>
      <c r="O237" s="139"/>
      <c r="P237" s="145"/>
      <c r="Q237" s="43"/>
      <c r="R237" s="145"/>
      <c r="S237" s="43"/>
      <c r="T237" s="88"/>
      <c r="U237" s="40"/>
      <c r="V237" s="40"/>
      <c r="W237" s="88"/>
      <c r="X237" s="40"/>
      <c r="Y237" s="40"/>
      <c r="Z237" s="40"/>
      <c r="AA237" s="40"/>
      <c r="AB237" s="40"/>
      <c r="AC237" s="42"/>
      <c r="AD237" s="40"/>
      <c r="AE237" s="40"/>
      <c r="AF237" s="40"/>
      <c r="AG237" s="40"/>
      <c r="AH237" s="30"/>
      <c r="AI237" s="29"/>
      <c r="AJ237" s="40"/>
    </row>
    <row r="238" ht="15.75" customHeight="1">
      <c r="A238" s="43"/>
      <c r="B238" s="43"/>
      <c r="C238" s="15"/>
      <c r="D238" s="15"/>
      <c r="E238" s="15"/>
      <c r="F238" s="146"/>
      <c r="G238" s="139"/>
      <c r="H238" s="139"/>
      <c r="I238" s="15"/>
      <c r="J238" s="43"/>
      <c r="K238" s="43"/>
      <c r="L238" s="43"/>
      <c r="M238" s="61"/>
      <c r="N238" s="139"/>
      <c r="O238" s="139"/>
      <c r="P238" s="145"/>
      <c r="Q238" s="43"/>
      <c r="R238" s="145"/>
      <c r="S238" s="43"/>
      <c r="T238" s="88"/>
      <c r="U238" s="40"/>
      <c r="V238" s="40"/>
      <c r="W238" s="88"/>
      <c r="X238" s="40"/>
      <c r="Y238" s="40"/>
      <c r="Z238" s="40"/>
      <c r="AA238" s="40"/>
      <c r="AB238" s="40"/>
      <c r="AC238" s="42"/>
      <c r="AD238" s="40"/>
      <c r="AE238" s="40"/>
      <c r="AF238" s="40"/>
      <c r="AG238" s="40"/>
      <c r="AH238" s="30"/>
      <c r="AI238" s="29"/>
      <c r="AJ238" s="40"/>
    </row>
    <row r="239" ht="15.75" customHeight="1">
      <c r="A239" s="43"/>
      <c r="B239" s="43"/>
      <c r="C239" s="15"/>
      <c r="D239" s="15"/>
      <c r="E239" s="15"/>
      <c r="F239" s="146"/>
      <c r="G239" s="139"/>
      <c r="H239" s="139"/>
      <c r="I239" s="15"/>
      <c r="J239" s="43"/>
      <c r="K239" s="43"/>
      <c r="L239" s="43"/>
      <c r="M239" s="61"/>
      <c r="N239" s="139"/>
      <c r="O239" s="139"/>
      <c r="P239" s="145"/>
      <c r="Q239" s="43"/>
      <c r="R239" s="145"/>
      <c r="S239" s="43"/>
      <c r="T239" s="88"/>
      <c r="U239" s="40"/>
      <c r="V239" s="40"/>
      <c r="W239" s="88"/>
      <c r="X239" s="40"/>
      <c r="Y239" s="40"/>
      <c r="Z239" s="40"/>
      <c r="AA239" s="40"/>
      <c r="AB239" s="40"/>
      <c r="AC239" s="42"/>
      <c r="AD239" s="40"/>
      <c r="AE239" s="40"/>
      <c r="AF239" s="40"/>
      <c r="AG239" s="40"/>
      <c r="AH239" s="30"/>
      <c r="AI239" s="29"/>
      <c r="AJ239" s="40"/>
    </row>
    <row r="240" ht="15.75" customHeight="1">
      <c r="A240" s="43"/>
      <c r="B240" s="43"/>
      <c r="C240" s="15"/>
      <c r="D240" s="15"/>
      <c r="E240" s="15"/>
      <c r="F240" s="146"/>
      <c r="G240" s="139"/>
      <c r="H240" s="139"/>
      <c r="I240" s="15"/>
      <c r="J240" s="43"/>
      <c r="K240" s="43"/>
      <c r="L240" s="43"/>
      <c r="M240" s="61"/>
      <c r="N240" s="139"/>
      <c r="O240" s="139"/>
      <c r="P240" s="145"/>
      <c r="Q240" s="43"/>
      <c r="R240" s="145"/>
      <c r="S240" s="43"/>
      <c r="T240" s="88"/>
      <c r="U240" s="40"/>
      <c r="V240" s="40"/>
      <c r="W240" s="88"/>
      <c r="X240" s="40"/>
      <c r="Y240" s="40"/>
      <c r="Z240" s="40"/>
      <c r="AA240" s="40"/>
      <c r="AB240" s="40"/>
      <c r="AC240" s="42"/>
      <c r="AD240" s="40"/>
      <c r="AE240" s="40"/>
      <c r="AF240" s="40"/>
      <c r="AG240" s="40"/>
      <c r="AH240" s="30"/>
      <c r="AI240" s="29"/>
      <c r="AJ240" s="40"/>
    </row>
    <row r="241" ht="15.75" customHeight="1">
      <c r="A241" s="43"/>
      <c r="B241" s="43"/>
      <c r="C241" s="15"/>
      <c r="D241" s="15"/>
      <c r="E241" s="15"/>
      <c r="F241" s="146"/>
      <c r="G241" s="139"/>
      <c r="H241" s="139"/>
      <c r="I241" s="15"/>
      <c r="J241" s="43"/>
      <c r="K241" s="43"/>
      <c r="L241" s="43"/>
      <c r="M241" s="61"/>
      <c r="N241" s="139"/>
      <c r="O241" s="139"/>
      <c r="P241" s="145"/>
      <c r="Q241" s="43"/>
      <c r="R241" s="145"/>
      <c r="S241" s="43"/>
      <c r="T241" s="88"/>
      <c r="U241" s="40"/>
      <c r="V241" s="40"/>
      <c r="W241" s="88"/>
      <c r="X241" s="40"/>
      <c r="Y241" s="40"/>
      <c r="Z241" s="40"/>
      <c r="AA241" s="40"/>
      <c r="AB241" s="40"/>
      <c r="AC241" s="42"/>
      <c r="AD241" s="40"/>
      <c r="AE241" s="40"/>
      <c r="AF241" s="40"/>
      <c r="AG241" s="40"/>
      <c r="AH241" s="30"/>
      <c r="AI241" s="29"/>
      <c r="AJ241" s="40"/>
    </row>
    <row r="242" ht="15.75" customHeight="1">
      <c r="A242" s="43"/>
      <c r="B242" s="43"/>
      <c r="C242" s="15"/>
      <c r="D242" s="15"/>
      <c r="E242" s="15"/>
      <c r="F242" s="146"/>
      <c r="G242" s="139"/>
      <c r="H242" s="139"/>
      <c r="I242" s="15"/>
      <c r="J242" s="43"/>
      <c r="K242" s="43"/>
      <c r="L242" s="43"/>
      <c r="M242" s="61"/>
      <c r="N242" s="139"/>
      <c r="O242" s="139"/>
      <c r="P242" s="145"/>
      <c r="Q242" s="43"/>
      <c r="R242" s="145"/>
      <c r="S242" s="43"/>
      <c r="T242" s="88"/>
      <c r="U242" s="40"/>
      <c r="V242" s="40"/>
      <c r="W242" s="88"/>
      <c r="X242" s="40"/>
      <c r="Y242" s="40"/>
      <c r="Z242" s="40"/>
      <c r="AA242" s="40"/>
      <c r="AB242" s="40"/>
      <c r="AC242" s="42"/>
      <c r="AD242" s="40"/>
      <c r="AE242" s="40"/>
      <c r="AF242" s="40"/>
      <c r="AG242" s="40"/>
      <c r="AH242" s="30"/>
      <c r="AI242" s="29"/>
      <c r="AJ242" s="40"/>
    </row>
    <row r="243" ht="15.75" customHeight="1">
      <c r="A243" s="43"/>
      <c r="B243" s="43"/>
      <c r="C243" s="15"/>
      <c r="D243" s="15"/>
      <c r="E243" s="15"/>
      <c r="F243" s="146"/>
      <c r="G243" s="139"/>
      <c r="H243" s="139"/>
      <c r="I243" s="15"/>
      <c r="J243" s="43"/>
      <c r="K243" s="43"/>
      <c r="L243" s="43"/>
      <c r="M243" s="61"/>
      <c r="N243" s="139"/>
      <c r="O243" s="139"/>
      <c r="P243" s="145"/>
      <c r="Q243" s="43"/>
      <c r="R243" s="145"/>
      <c r="S243" s="43"/>
      <c r="T243" s="88"/>
      <c r="U243" s="40"/>
      <c r="V243" s="40"/>
      <c r="W243" s="88"/>
      <c r="X243" s="40"/>
      <c r="Y243" s="40"/>
      <c r="Z243" s="40"/>
      <c r="AA243" s="40"/>
      <c r="AB243" s="40"/>
      <c r="AC243" s="42"/>
      <c r="AD243" s="40"/>
      <c r="AE243" s="40"/>
      <c r="AF243" s="40"/>
      <c r="AG243" s="40"/>
      <c r="AH243" s="30"/>
      <c r="AI243" s="29"/>
      <c r="AJ243" s="40"/>
    </row>
    <row r="244" ht="15.75" customHeight="1">
      <c r="A244" s="43"/>
      <c r="B244" s="43"/>
      <c r="C244" s="15"/>
      <c r="D244" s="15"/>
      <c r="E244" s="15"/>
      <c r="F244" s="146"/>
      <c r="G244" s="139"/>
      <c r="H244" s="139"/>
      <c r="I244" s="15"/>
      <c r="J244" s="43"/>
      <c r="K244" s="43"/>
      <c r="L244" s="43"/>
      <c r="M244" s="61"/>
      <c r="N244" s="139"/>
      <c r="O244" s="139"/>
      <c r="P244" s="145"/>
      <c r="Q244" s="43"/>
      <c r="R244" s="145"/>
      <c r="S244" s="43"/>
      <c r="T244" s="88"/>
      <c r="U244" s="40"/>
      <c r="V244" s="40"/>
      <c r="W244" s="88"/>
      <c r="X244" s="40"/>
      <c r="Y244" s="40"/>
      <c r="Z244" s="40"/>
      <c r="AA244" s="40"/>
      <c r="AB244" s="40"/>
      <c r="AC244" s="42"/>
      <c r="AD244" s="40"/>
      <c r="AE244" s="40"/>
      <c r="AF244" s="40"/>
      <c r="AG244" s="40"/>
      <c r="AH244" s="30"/>
      <c r="AI244" s="29"/>
      <c r="AJ244" s="40"/>
    </row>
    <row r="245" ht="15.75" customHeight="1">
      <c r="A245" s="43"/>
      <c r="B245" s="43"/>
      <c r="C245" s="15"/>
      <c r="D245" s="15"/>
      <c r="E245" s="15"/>
      <c r="F245" s="146"/>
      <c r="G245" s="139"/>
      <c r="H245" s="139"/>
      <c r="I245" s="15"/>
      <c r="J245" s="43"/>
      <c r="K245" s="43"/>
      <c r="L245" s="43"/>
      <c r="M245" s="61"/>
      <c r="N245" s="139"/>
      <c r="O245" s="139"/>
      <c r="P245" s="145"/>
      <c r="Q245" s="43"/>
      <c r="R245" s="145"/>
      <c r="S245" s="43"/>
      <c r="T245" s="88"/>
      <c r="U245" s="40"/>
      <c r="V245" s="40"/>
      <c r="W245" s="88"/>
      <c r="X245" s="40"/>
      <c r="Y245" s="40"/>
      <c r="Z245" s="40"/>
      <c r="AA245" s="40"/>
      <c r="AB245" s="40"/>
      <c r="AC245" s="42"/>
      <c r="AD245" s="40"/>
      <c r="AE245" s="40"/>
      <c r="AF245" s="40"/>
      <c r="AG245" s="40"/>
      <c r="AH245" s="30"/>
      <c r="AI245" s="29"/>
      <c r="AJ245" s="40"/>
    </row>
    <row r="246" ht="15.75" customHeight="1">
      <c r="A246" s="43"/>
      <c r="B246" s="43"/>
      <c r="C246" s="15"/>
      <c r="D246" s="15"/>
      <c r="E246" s="15"/>
      <c r="F246" s="146"/>
      <c r="G246" s="139"/>
      <c r="H246" s="139"/>
      <c r="I246" s="15"/>
      <c r="J246" s="43"/>
      <c r="K246" s="43"/>
      <c r="L246" s="43"/>
      <c r="M246" s="61"/>
      <c r="N246" s="139"/>
      <c r="O246" s="139"/>
      <c r="P246" s="145"/>
      <c r="Q246" s="43"/>
      <c r="R246" s="145"/>
      <c r="S246" s="43"/>
      <c r="T246" s="88"/>
      <c r="U246" s="40"/>
      <c r="V246" s="40"/>
      <c r="W246" s="88"/>
      <c r="X246" s="40"/>
      <c r="Y246" s="40"/>
      <c r="Z246" s="40"/>
      <c r="AA246" s="40"/>
      <c r="AB246" s="40"/>
      <c r="AC246" s="42"/>
      <c r="AD246" s="40"/>
      <c r="AE246" s="40"/>
      <c r="AF246" s="40"/>
      <c r="AG246" s="40"/>
      <c r="AH246" s="30"/>
      <c r="AI246" s="29"/>
      <c r="AJ246" s="40"/>
    </row>
    <row r="247" ht="15.75" customHeight="1">
      <c r="A247" s="43"/>
      <c r="B247" s="43"/>
      <c r="C247" s="15"/>
      <c r="D247" s="15"/>
      <c r="E247" s="15"/>
      <c r="F247" s="146"/>
      <c r="G247" s="139"/>
      <c r="H247" s="139"/>
      <c r="I247" s="15"/>
      <c r="J247" s="43"/>
      <c r="K247" s="43"/>
      <c r="L247" s="43"/>
      <c r="M247" s="61"/>
      <c r="N247" s="139"/>
      <c r="O247" s="139"/>
      <c r="P247" s="145"/>
      <c r="Q247" s="43"/>
      <c r="R247" s="145"/>
      <c r="S247" s="43"/>
      <c r="T247" s="88"/>
      <c r="U247" s="40"/>
      <c r="V247" s="40"/>
      <c r="W247" s="88"/>
      <c r="X247" s="40"/>
      <c r="Y247" s="40"/>
      <c r="Z247" s="40"/>
      <c r="AA247" s="40"/>
      <c r="AB247" s="40"/>
      <c r="AC247" s="42"/>
      <c r="AD247" s="40"/>
      <c r="AE247" s="40"/>
      <c r="AF247" s="40"/>
      <c r="AG247" s="40"/>
      <c r="AH247" s="30"/>
      <c r="AI247" s="29"/>
      <c r="AJ247" s="40"/>
    </row>
    <row r="248" ht="15.75" customHeight="1">
      <c r="A248" s="43"/>
      <c r="B248" s="43"/>
      <c r="C248" s="15"/>
      <c r="D248" s="15"/>
      <c r="E248" s="15"/>
      <c r="F248" s="146"/>
      <c r="G248" s="139"/>
      <c r="H248" s="139"/>
      <c r="I248" s="15"/>
      <c r="J248" s="43"/>
      <c r="K248" s="43"/>
      <c r="L248" s="43"/>
      <c r="M248" s="61"/>
      <c r="N248" s="139"/>
      <c r="O248" s="139"/>
      <c r="P248" s="145"/>
      <c r="Q248" s="43"/>
      <c r="R248" s="145"/>
      <c r="S248" s="43"/>
      <c r="T248" s="88"/>
      <c r="U248" s="40"/>
      <c r="V248" s="40"/>
      <c r="W248" s="88"/>
      <c r="X248" s="40"/>
      <c r="Y248" s="40"/>
      <c r="Z248" s="40"/>
      <c r="AA248" s="40"/>
      <c r="AB248" s="40"/>
      <c r="AC248" s="42"/>
      <c r="AD248" s="40"/>
      <c r="AE248" s="40"/>
      <c r="AF248" s="40"/>
      <c r="AG248" s="40"/>
      <c r="AH248" s="30"/>
      <c r="AI248" s="29"/>
      <c r="AJ248" s="40"/>
    </row>
    <row r="249" ht="15.75" customHeight="1">
      <c r="A249" s="43"/>
      <c r="B249" s="43"/>
      <c r="C249" s="15"/>
      <c r="D249" s="15"/>
      <c r="E249" s="15"/>
      <c r="F249" s="146"/>
      <c r="G249" s="139"/>
      <c r="H249" s="139"/>
      <c r="I249" s="15"/>
      <c r="J249" s="43"/>
      <c r="K249" s="43"/>
      <c r="L249" s="43"/>
      <c r="M249" s="61"/>
      <c r="N249" s="139"/>
      <c r="O249" s="139"/>
      <c r="P249" s="145"/>
      <c r="Q249" s="43"/>
      <c r="R249" s="145"/>
      <c r="S249" s="43"/>
      <c r="T249" s="88"/>
      <c r="U249" s="40"/>
      <c r="V249" s="40"/>
      <c r="W249" s="88"/>
      <c r="X249" s="40"/>
      <c r="Y249" s="40"/>
      <c r="Z249" s="40"/>
      <c r="AA249" s="40"/>
      <c r="AB249" s="40"/>
      <c r="AC249" s="42"/>
      <c r="AD249" s="40"/>
      <c r="AE249" s="40"/>
      <c r="AF249" s="40"/>
      <c r="AG249" s="40"/>
      <c r="AH249" s="30"/>
      <c r="AI249" s="29"/>
      <c r="AJ249" s="40"/>
    </row>
    <row r="250" ht="15.75" customHeight="1">
      <c r="A250" s="43"/>
      <c r="B250" s="43"/>
      <c r="C250" s="15"/>
      <c r="D250" s="15"/>
      <c r="E250" s="15"/>
      <c r="F250" s="146"/>
      <c r="G250" s="139"/>
      <c r="H250" s="139"/>
      <c r="I250" s="15"/>
      <c r="J250" s="43"/>
      <c r="K250" s="43"/>
      <c r="L250" s="43"/>
      <c r="M250" s="61"/>
      <c r="N250" s="139"/>
      <c r="O250" s="139"/>
      <c r="P250" s="145"/>
      <c r="Q250" s="43"/>
      <c r="R250" s="145"/>
      <c r="S250" s="43"/>
      <c r="T250" s="88"/>
      <c r="U250" s="40"/>
      <c r="V250" s="40"/>
      <c r="W250" s="88"/>
      <c r="X250" s="40"/>
      <c r="Y250" s="40"/>
      <c r="Z250" s="40"/>
      <c r="AA250" s="40"/>
      <c r="AB250" s="40"/>
      <c r="AC250" s="42"/>
      <c r="AD250" s="40"/>
      <c r="AE250" s="40"/>
      <c r="AF250" s="40"/>
      <c r="AG250" s="40"/>
      <c r="AH250" s="30"/>
      <c r="AI250" s="29"/>
      <c r="AJ250" s="40"/>
    </row>
    <row r="251" ht="15.75" customHeight="1">
      <c r="A251" s="43"/>
      <c r="B251" s="43"/>
      <c r="C251" s="15"/>
      <c r="D251" s="15"/>
      <c r="E251" s="15"/>
      <c r="F251" s="146"/>
      <c r="G251" s="139"/>
      <c r="H251" s="139"/>
      <c r="I251" s="15"/>
      <c r="J251" s="43"/>
      <c r="K251" s="43"/>
      <c r="L251" s="43"/>
      <c r="M251" s="61"/>
      <c r="N251" s="139"/>
      <c r="O251" s="139"/>
      <c r="P251" s="145"/>
      <c r="Q251" s="43"/>
      <c r="R251" s="145"/>
      <c r="S251" s="43"/>
      <c r="T251" s="88"/>
      <c r="U251" s="40"/>
      <c r="V251" s="40"/>
      <c r="W251" s="88"/>
      <c r="X251" s="40"/>
      <c r="Y251" s="40"/>
      <c r="Z251" s="40"/>
      <c r="AA251" s="40"/>
      <c r="AB251" s="40"/>
      <c r="AC251" s="42"/>
      <c r="AD251" s="40"/>
      <c r="AE251" s="40"/>
      <c r="AF251" s="40"/>
      <c r="AG251" s="40"/>
      <c r="AH251" s="30"/>
      <c r="AI251" s="29"/>
      <c r="AJ251" s="40"/>
    </row>
    <row r="252" ht="15.75" customHeight="1">
      <c r="A252" s="43"/>
      <c r="B252" s="43"/>
      <c r="C252" s="15"/>
      <c r="D252" s="15"/>
      <c r="E252" s="15"/>
      <c r="F252" s="146"/>
      <c r="G252" s="139"/>
      <c r="H252" s="139"/>
      <c r="I252" s="15"/>
      <c r="J252" s="43"/>
      <c r="K252" s="43"/>
      <c r="L252" s="43"/>
      <c r="M252" s="61"/>
      <c r="N252" s="139"/>
      <c r="O252" s="139"/>
      <c r="P252" s="145"/>
      <c r="Q252" s="43"/>
      <c r="R252" s="145"/>
      <c r="S252" s="43"/>
      <c r="T252" s="88"/>
      <c r="U252" s="40"/>
      <c r="V252" s="40"/>
      <c r="W252" s="88"/>
      <c r="X252" s="40"/>
      <c r="Y252" s="40"/>
      <c r="Z252" s="40"/>
      <c r="AA252" s="40"/>
      <c r="AB252" s="40"/>
      <c r="AC252" s="42"/>
      <c r="AD252" s="40"/>
      <c r="AE252" s="40"/>
      <c r="AF252" s="40"/>
      <c r="AG252" s="40"/>
      <c r="AH252" s="30"/>
      <c r="AI252" s="29"/>
      <c r="AJ252" s="40"/>
    </row>
    <row r="253" ht="15.75" customHeight="1">
      <c r="A253" s="43"/>
      <c r="B253" s="43"/>
      <c r="C253" s="15"/>
      <c r="D253" s="15"/>
      <c r="E253" s="15"/>
      <c r="F253" s="146"/>
      <c r="G253" s="139"/>
      <c r="H253" s="139"/>
      <c r="I253" s="15"/>
      <c r="J253" s="43"/>
      <c r="K253" s="43"/>
      <c r="L253" s="43"/>
      <c r="M253" s="61"/>
      <c r="N253" s="139"/>
      <c r="O253" s="139"/>
      <c r="P253" s="145"/>
      <c r="Q253" s="43"/>
      <c r="R253" s="145"/>
      <c r="S253" s="43"/>
      <c r="T253" s="88"/>
      <c r="U253" s="40"/>
      <c r="V253" s="40"/>
      <c r="W253" s="88"/>
      <c r="X253" s="40"/>
      <c r="Y253" s="40"/>
      <c r="Z253" s="40"/>
      <c r="AA253" s="40"/>
      <c r="AB253" s="40"/>
      <c r="AC253" s="42"/>
      <c r="AD253" s="40"/>
      <c r="AE253" s="40"/>
      <c r="AF253" s="40"/>
      <c r="AG253" s="40"/>
      <c r="AH253" s="30"/>
      <c r="AI253" s="29"/>
      <c r="AJ253" s="40"/>
    </row>
    <row r="254" ht="15.75" customHeight="1">
      <c r="A254" s="43"/>
      <c r="B254" s="43"/>
      <c r="C254" s="15"/>
      <c r="D254" s="15"/>
      <c r="E254" s="15"/>
      <c r="F254" s="146"/>
      <c r="G254" s="139"/>
      <c r="H254" s="139"/>
      <c r="I254" s="15"/>
      <c r="J254" s="43"/>
      <c r="K254" s="43"/>
      <c r="L254" s="43"/>
      <c r="M254" s="61"/>
      <c r="N254" s="139"/>
      <c r="O254" s="139"/>
      <c r="P254" s="145"/>
      <c r="Q254" s="43"/>
      <c r="R254" s="145"/>
      <c r="S254" s="43"/>
      <c r="T254" s="88"/>
      <c r="U254" s="40"/>
      <c r="V254" s="40"/>
      <c r="W254" s="88"/>
      <c r="X254" s="40"/>
      <c r="Y254" s="40"/>
      <c r="Z254" s="40"/>
      <c r="AA254" s="40"/>
      <c r="AB254" s="40"/>
      <c r="AC254" s="42"/>
      <c r="AD254" s="40"/>
      <c r="AE254" s="40"/>
      <c r="AF254" s="40"/>
      <c r="AG254" s="40"/>
      <c r="AH254" s="30"/>
      <c r="AI254" s="29"/>
      <c r="AJ254" s="40"/>
    </row>
    <row r="255" ht="15.75" customHeight="1">
      <c r="A255" s="43"/>
      <c r="B255" s="43"/>
      <c r="C255" s="15"/>
      <c r="D255" s="15"/>
      <c r="E255" s="15"/>
      <c r="F255" s="146"/>
      <c r="G255" s="139"/>
      <c r="H255" s="139"/>
      <c r="I255" s="15"/>
      <c r="J255" s="43"/>
      <c r="K255" s="43"/>
      <c r="L255" s="43"/>
      <c r="M255" s="61"/>
      <c r="N255" s="139"/>
      <c r="O255" s="139"/>
      <c r="P255" s="145"/>
      <c r="Q255" s="43"/>
      <c r="R255" s="145"/>
      <c r="S255" s="43"/>
      <c r="T255" s="88"/>
      <c r="U255" s="40"/>
      <c r="V255" s="40"/>
      <c r="W255" s="88"/>
      <c r="X255" s="40"/>
      <c r="Y255" s="40"/>
      <c r="Z255" s="40"/>
      <c r="AA255" s="40"/>
      <c r="AB255" s="40"/>
      <c r="AC255" s="42"/>
      <c r="AD255" s="40"/>
      <c r="AE255" s="40"/>
      <c r="AF255" s="40"/>
      <c r="AG255" s="40"/>
      <c r="AH255" s="30"/>
      <c r="AI255" s="29"/>
      <c r="AJ255" s="40"/>
    </row>
    <row r="256" ht="15.75" customHeight="1">
      <c r="A256" s="43"/>
      <c r="B256" s="43"/>
      <c r="C256" s="15"/>
      <c r="D256" s="15"/>
      <c r="E256" s="15"/>
      <c r="F256" s="146"/>
      <c r="G256" s="139"/>
      <c r="H256" s="139"/>
      <c r="I256" s="15"/>
      <c r="J256" s="43"/>
      <c r="K256" s="43"/>
      <c r="L256" s="43"/>
      <c r="M256" s="61"/>
      <c r="N256" s="139"/>
      <c r="O256" s="139"/>
      <c r="P256" s="145"/>
      <c r="Q256" s="43"/>
      <c r="R256" s="145"/>
      <c r="S256" s="43"/>
      <c r="T256" s="88"/>
      <c r="U256" s="40"/>
      <c r="V256" s="40"/>
      <c r="W256" s="88"/>
      <c r="X256" s="40"/>
      <c r="Y256" s="40"/>
      <c r="Z256" s="40"/>
      <c r="AA256" s="40"/>
      <c r="AB256" s="40"/>
      <c r="AC256" s="42"/>
      <c r="AD256" s="40"/>
      <c r="AE256" s="40"/>
      <c r="AF256" s="40"/>
      <c r="AG256" s="40"/>
      <c r="AH256" s="30"/>
      <c r="AI256" s="29"/>
      <c r="AJ256" s="40"/>
    </row>
    <row r="257" ht="15.75" customHeight="1">
      <c r="A257" s="43"/>
      <c r="B257" s="43"/>
      <c r="C257" s="15"/>
      <c r="D257" s="15"/>
      <c r="E257" s="15"/>
      <c r="F257" s="146"/>
      <c r="G257" s="139"/>
      <c r="H257" s="139"/>
      <c r="I257" s="15"/>
      <c r="J257" s="43"/>
      <c r="K257" s="43"/>
      <c r="L257" s="43"/>
      <c r="M257" s="61"/>
      <c r="N257" s="139"/>
      <c r="O257" s="139"/>
      <c r="P257" s="145"/>
      <c r="Q257" s="43"/>
      <c r="R257" s="145"/>
      <c r="S257" s="43"/>
      <c r="T257" s="88"/>
      <c r="U257" s="40"/>
      <c r="V257" s="40"/>
      <c r="W257" s="88"/>
      <c r="X257" s="40"/>
      <c r="Y257" s="40"/>
      <c r="Z257" s="40"/>
      <c r="AA257" s="40"/>
      <c r="AB257" s="40"/>
      <c r="AC257" s="42"/>
      <c r="AD257" s="40"/>
      <c r="AE257" s="40"/>
      <c r="AF257" s="40"/>
      <c r="AG257" s="40"/>
      <c r="AH257" s="30"/>
      <c r="AI257" s="29"/>
      <c r="AJ257" s="40"/>
    </row>
    <row r="258" ht="15.75" customHeight="1">
      <c r="A258" s="43"/>
      <c r="B258" s="43"/>
      <c r="C258" s="15"/>
      <c r="D258" s="15"/>
      <c r="E258" s="15"/>
      <c r="F258" s="146"/>
      <c r="G258" s="139"/>
      <c r="H258" s="139"/>
      <c r="I258" s="15"/>
      <c r="J258" s="43"/>
      <c r="K258" s="43"/>
      <c r="L258" s="43"/>
      <c r="M258" s="61"/>
      <c r="N258" s="139"/>
      <c r="O258" s="139"/>
      <c r="P258" s="145"/>
      <c r="Q258" s="43"/>
      <c r="R258" s="145"/>
      <c r="S258" s="43"/>
      <c r="T258" s="88"/>
      <c r="U258" s="40"/>
      <c r="V258" s="40"/>
      <c r="W258" s="88"/>
      <c r="X258" s="40"/>
      <c r="Y258" s="40"/>
      <c r="Z258" s="40"/>
      <c r="AA258" s="40"/>
      <c r="AB258" s="40"/>
      <c r="AC258" s="42"/>
      <c r="AD258" s="40"/>
      <c r="AE258" s="40"/>
      <c r="AF258" s="40"/>
      <c r="AG258" s="40"/>
      <c r="AH258" s="30"/>
      <c r="AI258" s="29"/>
      <c r="AJ258" s="40"/>
    </row>
    <row r="259" ht="15.75" customHeight="1">
      <c r="A259" s="43"/>
      <c r="B259" s="43"/>
      <c r="C259" s="15"/>
      <c r="D259" s="15"/>
      <c r="E259" s="15"/>
      <c r="F259" s="146"/>
      <c r="G259" s="139"/>
      <c r="H259" s="139"/>
      <c r="I259" s="15"/>
      <c r="J259" s="43"/>
      <c r="K259" s="43"/>
      <c r="L259" s="43"/>
      <c r="M259" s="61"/>
      <c r="N259" s="139"/>
      <c r="O259" s="139"/>
      <c r="P259" s="145"/>
      <c r="Q259" s="43"/>
      <c r="R259" s="145"/>
      <c r="S259" s="43"/>
      <c r="T259" s="88"/>
      <c r="U259" s="40"/>
      <c r="V259" s="40"/>
      <c r="W259" s="88"/>
      <c r="X259" s="40"/>
      <c r="Y259" s="40"/>
      <c r="Z259" s="40"/>
      <c r="AA259" s="40"/>
      <c r="AB259" s="40"/>
      <c r="AC259" s="42"/>
      <c r="AD259" s="40"/>
      <c r="AE259" s="40"/>
      <c r="AF259" s="40"/>
      <c r="AG259" s="40"/>
      <c r="AH259" s="30"/>
      <c r="AI259" s="29"/>
      <c r="AJ259" s="40"/>
    </row>
    <row r="260" ht="15.75" customHeight="1">
      <c r="A260" s="43"/>
      <c r="B260" s="43"/>
      <c r="C260" s="15"/>
      <c r="D260" s="15"/>
      <c r="E260" s="15"/>
      <c r="F260" s="146"/>
      <c r="G260" s="139"/>
      <c r="H260" s="139"/>
      <c r="I260" s="15"/>
      <c r="J260" s="43"/>
      <c r="K260" s="43"/>
      <c r="L260" s="43"/>
      <c r="M260" s="61"/>
      <c r="N260" s="139"/>
      <c r="O260" s="139"/>
      <c r="P260" s="145"/>
      <c r="Q260" s="43"/>
      <c r="R260" s="145"/>
      <c r="S260" s="43"/>
      <c r="T260" s="88"/>
      <c r="U260" s="40"/>
      <c r="V260" s="40"/>
      <c r="W260" s="88"/>
      <c r="X260" s="40"/>
      <c r="Y260" s="40"/>
      <c r="Z260" s="40"/>
      <c r="AA260" s="40"/>
      <c r="AB260" s="40"/>
      <c r="AC260" s="42"/>
      <c r="AD260" s="40"/>
      <c r="AE260" s="40"/>
      <c r="AF260" s="40"/>
      <c r="AG260" s="40"/>
      <c r="AH260" s="30"/>
      <c r="AI260" s="29"/>
      <c r="AJ260" s="40"/>
    </row>
    <row r="261" ht="15.75" customHeight="1">
      <c r="A261" s="43"/>
      <c r="B261" s="43"/>
      <c r="C261" s="15"/>
      <c r="D261" s="15"/>
      <c r="E261" s="15"/>
      <c r="F261" s="146"/>
      <c r="G261" s="139"/>
      <c r="H261" s="139"/>
      <c r="I261" s="15"/>
      <c r="J261" s="43"/>
      <c r="K261" s="43"/>
      <c r="L261" s="43"/>
      <c r="M261" s="61"/>
      <c r="N261" s="139"/>
      <c r="O261" s="139"/>
      <c r="P261" s="145"/>
      <c r="Q261" s="43"/>
      <c r="R261" s="145"/>
      <c r="S261" s="43"/>
      <c r="T261" s="88"/>
      <c r="U261" s="40"/>
      <c r="V261" s="40"/>
      <c r="W261" s="88"/>
      <c r="X261" s="40"/>
      <c r="Y261" s="40"/>
      <c r="Z261" s="40"/>
      <c r="AA261" s="40"/>
      <c r="AB261" s="40"/>
      <c r="AC261" s="42"/>
      <c r="AD261" s="40"/>
      <c r="AE261" s="40"/>
      <c r="AF261" s="40"/>
      <c r="AG261" s="40"/>
      <c r="AH261" s="30"/>
      <c r="AI261" s="29"/>
      <c r="AJ261" s="40"/>
    </row>
    <row r="262" ht="15.75" customHeight="1">
      <c r="A262" s="43"/>
      <c r="B262" s="43"/>
      <c r="C262" s="15"/>
      <c r="D262" s="15"/>
      <c r="E262" s="15"/>
      <c r="F262" s="146"/>
      <c r="G262" s="139"/>
      <c r="H262" s="139"/>
      <c r="I262" s="15"/>
      <c r="J262" s="43"/>
      <c r="K262" s="43"/>
      <c r="L262" s="43"/>
      <c r="M262" s="61"/>
      <c r="N262" s="139"/>
      <c r="O262" s="139"/>
      <c r="P262" s="145"/>
      <c r="Q262" s="43"/>
      <c r="R262" s="145"/>
      <c r="S262" s="43"/>
      <c r="T262" s="88"/>
      <c r="U262" s="40"/>
      <c r="V262" s="40"/>
      <c r="W262" s="88"/>
      <c r="X262" s="40"/>
      <c r="Y262" s="40"/>
      <c r="Z262" s="40"/>
      <c r="AA262" s="40"/>
      <c r="AB262" s="40"/>
      <c r="AC262" s="42"/>
      <c r="AD262" s="40"/>
      <c r="AE262" s="40"/>
      <c r="AF262" s="40"/>
      <c r="AG262" s="40"/>
      <c r="AH262" s="30"/>
      <c r="AI262" s="29"/>
      <c r="AJ262" s="40"/>
    </row>
    <row r="263" ht="15.75" customHeight="1">
      <c r="A263" s="43"/>
      <c r="B263" s="43"/>
      <c r="C263" s="15"/>
      <c r="D263" s="15"/>
      <c r="E263" s="15"/>
      <c r="F263" s="146"/>
      <c r="G263" s="139"/>
      <c r="H263" s="139"/>
      <c r="I263" s="15"/>
      <c r="J263" s="43"/>
      <c r="K263" s="43"/>
      <c r="L263" s="43"/>
      <c r="M263" s="61"/>
      <c r="N263" s="139"/>
      <c r="O263" s="139"/>
      <c r="P263" s="145"/>
      <c r="Q263" s="43"/>
      <c r="R263" s="145"/>
      <c r="S263" s="43"/>
      <c r="T263" s="88"/>
      <c r="U263" s="40"/>
      <c r="V263" s="40"/>
      <c r="W263" s="88"/>
      <c r="X263" s="40"/>
      <c r="Y263" s="40"/>
      <c r="Z263" s="40"/>
      <c r="AA263" s="40"/>
      <c r="AB263" s="40"/>
      <c r="AC263" s="42"/>
      <c r="AD263" s="40"/>
      <c r="AE263" s="40"/>
      <c r="AF263" s="40"/>
      <c r="AG263" s="40"/>
      <c r="AH263" s="30"/>
      <c r="AI263" s="29"/>
      <c r="AJ263" s="40"/>
    </row>
    <row r="264" ht="15.75" customHeight="1">
      <c r="A264" s="43"/>
      <c r="B264" s="43"/>
      <c r="C264" s="15"/>
      <c r="D264" s="15"/>
      <c r="E264" s="15"/>
      <c r="F264" s="146"/>
      <c r="G264" s="139"/>
      <c r="H264" s="139"/>
      <c r="I264" s="15"/>
      <c r="J264" s="43"/>
      <c r="K264" s="43"/>
      <c r="L264" s="43"/>
      <c r="M264" s="61"/>
      <c r="N264" s="139"/>
      <c r="O264" s="139"/>
      <c r="P264" s="145"/>
      <c r="Q264" s="43"/>
      <c r="R264" s="145"/>
      <c r="S264" s="43"/>
      <c r="T264" s="88"/>
      <c r="U264" s="40"/>
      <c r="V264" s="40"/>
      <c r="W264" s="88"/>
      <c r="X264" s="40"/>
      <c r="Y264" s="40"/>
      <c r="Z264" s="40"/>
      <c r="AA264" s="40"/>
      <c r="AB264" s="40"/>
      <c r="AC264" s="42"/>
      <c r="AD264" s="40"/>
      <c r="AE264" s="40"/>
      <c r="AF264" s="40"/>
      <c r="AG264" s="40"/>
      <c r="AH264" s="30"/>
      <c r="AI264" s="29"/>
      <c r="AJ264" s="40"/>
    </row>
    <row r="265" ht="15.75" customHeight="1">
      <c r="A265" s="43"/>
      <c r="B265" s="43"/>
      <c r="C265" s="15"/>
      <c r="D265" s="15"/>
      <c r="E265" s="15"/>
      <c r="F265" s="146"/>
      <c r="G265" s="139"/>
      <c r="H265" s="139"/>
      <c r="I265" s="15"/>
      <c r="J265" s="43"/>
      <c r="K265" s="43"/>
      <c r="L265" s="43"/>
      <c r="M265" s="61"/>
      <c r="N265" s="139"/>
      <c r="O265" s="139"/>
      <c r="P265" s="145"/>
      <c r="Q265" s="43"/>
      <c r="R265" s="145"/>
      <c r="S265" s="43"/>
      <c r="T265" s="88"/>
      <c r="U265" s="40"/>
      <c r="V265" s="40"/>
      <c r="W265" s="88"/>
      <c r="X265" s="40"/>
      <c r="Y265" s="40"/>
      <c r="Z265" s="40"/>
      <c r="AA265" s="40"/>
      <c r="AB265" s="40"/>
      <c r="AC265" s="42"/>
      <c r="AD265" s="40"/>
      <c r="AE265" s="40"/>
      <c r="AF265" s="40"/>
      <c r="AG265" s="40"/>
      <c r="AH265" s="30"/>
      <c r="AI265" s="29"/>
      <c r="AJ265" s="40"/>
    </row>
    <row r="266" ht="15.75" customHeight="1">
      <c r="A266" s="43"/>
      <c r="B266" s="43"/>
      <c r="C266" s="15"/>
      <c r="D266" s="15"/>
      <c r="E266" s="15"/>
      <c r="F266" s="146"/>
      <c r="G266" s="139"/>
      <c r="H266" s="139"/>
      <c r="I266" s="15"/>
      <c r="J266" s="43"/>
      <c r="K266" s="43"/>
      <c r="L266" s="43"/>
      <c r="M266" s="61"/>
      <c r="N266" s="139"/>
      <c r="O266" s="139"/>
      <c r="P266" s="145"/>
      <c r="Q266" s="43"/>
      <c r="R266" s="145"/>
      <c r="S266" s="43"/>
      <c r="T266" s="88"/>
      <c r="U266" s="40"/>
      <c r="V266" s="40"/>
      <c r="W266" s="88"/>
      <c r="X266" s="40"/>
      <c r="Y266" s="40"/>
      <c r="Z266" s="40"/>
      <c r="AA266" s="40"/>
      <c r="AB266" s="40"/>
      <c r="AC266" s="42"/>
      <c r="AD266" s="40"/>
      <c r="AE266" s="40"/>
      <c r="AF266" s="40"/>
      <c r="AG266" s="40"/>
      <c r="AH266" s="30"/>
      <c r="AI266" s="29"/>
      <c r="AJ266" s="40"/>
    </row>
    <row r="267" ht="15.75" customHeight="1">
      <c r="A267" s="43"/>
      <c r="B267" s="43"/>
      <c r="C267" s="15"/>
      <c r="D267" s="15"/>
      <c r="E267" s="15"/>
      <c r="F267" s="146"/>
      <c r="G267" s="139"/>
      <c r="H267" s="139"/>
      <c r="I267" s="15"/>
      <c r="J267" s="43"/>
      <c r="K267" s="43"/>
      <c r="L267" s="43"/>
      <c r="M267" s="61"/>
      <c r="N267" s="139"/>
      <c r="O267" s="139"/>
      <c r="P267" s="145"/>
      <c r="Q267" s="43"/>
      <c r="R267" s="145"/>
      <c r="S267" s="43"/>
      <c r="T267" s="88"/>
      <c r="U267" s="40"/>
      <c r="V267" s="40"/>
      <c r="W267" s="88"/>
      <c r="X267" s="40"/>
      <c r="Y267" s="40"/>
      <c r="Z267" s="40"/>
      <c r="AA267" s="40"/>
      <c r="AB267" s="40"/>
      <c r="AC267" s="42"/>
      <c r="AD267" s="40"/>
      <c r="AE267" s="40"/>
      <c r="AF267" s="40"/>
      <c r="AG267" s="40"/>
      <c r="AH267" s="30"/>
      <c r="AI267" s="29"/>
      <c r="AJ267" s="40"/>
    </row>
    <row r="268" ht="15.75" customHeight="1">
      <c r="A268" s="43"/>
      <c r="B268" s="43"/>
      <c r="C268" s="15"/>
      <c r="D268" s="15"/>
      <c r="E268" s="15"/>
      <c r="F268" s="146"/>
      <c r="G268" s="139"/>
      <c r="H268" s="139"/>
      <c r="I268" s="15"/>
      <c r="J268" s="43"/>
      <c r="K268" s="43"/>
      <c r="L268" s="43"/>
      <c r="M268" s="61"/>
      <c r="N268" s="139"/>
      <c r="O268" s="139"/>
      <c r="P268" s="145"/>
      <c r="Q268" s="43"/>
      <c r="R268" s="145"/>
      <c r="S268" s="43"/>
      <c r="T268" s="88"/>
      <c r="U268" s="40"/>
      <c r="V268" s="40"/>
      <c r="W268" s="88"/>
      <c r="X268" s="40"/>
      <c r="Y268" s="40"/>
      <c r="Z268" s="40"/>
      <c r="AA268" s="40"/>
      <c r="AB268" s="40"/>
      <c r="AC268" s="42"/>
      <c r="AD268" s="40"/>
      <c r="AE268" s="40"/>
      <c r="AF268" s="40"/>
      <c r="AG268" s="40"/>
      <c r="AH268" s="30"/>
      <c r="AI268" s="29"/>
      <c r="AJ268" s="40"/>
    </row>
    <row r="269" ht="15.75" customHeight="1">
      <c r="A269" s="43"/>
      <c r="B269" s="43"/>
      <c r="C269" s="15"/>
      <c r="D269" s="15"/>
      <c r="E269" s="15"/>
      <c r="F269" s="146"/>
      <c r="G269" s="139"/>
      <c r="H269" s="139"/>
      <c r="I269" s="15"/>
      <c r="J269" s="43"/>
      <c r="K269" s="43"/>
      <c r="L269" s="43"/>
      <c r="M269" s="61"/>
      <c r="N269" s="139"/>
      <c r="O269" s="139"/>
      <c r="P269" s="145"/>
      <c r="Q269" s="43"/>
      <c r="R269" s="145"/>
      <c r="S269" s="43"/>
      <c r="T269" s="88"/>
      <c r="U269" s="40"/>
      <c r="V269" s="40"/>
      <c r="W269" s="88"/>
      <c r="X269" s="40"/>
      <c r="Y269" s="40"/>
      <c r="Z269" s="40"/>
      <c r="AA269" s="40"/>
      <c r="AB269" s="40"/>
      <c r="AC269" s="42"/>
      <c r="AD269" s="40"/>
      <c r="AE269" s="40"/>
      <c r="AF269" s="40"/>
      <c r="AG269" s="40"/>
      <c r="AH269" s="30"/>
      <c r="AI269" s="29"/>
      <c r="AJ269" s="40"/>
    </row>
    <row r="270" ht="15.75" customHeight="1">
      <c r="A270" s="43"/>
      <c r="B270" s="43"/>
      <c r="C270" s="15"/>
      <c r="D270" s="15"/>
      <c r="E270" s="15"/>
      <c r="F270" s="146"/>
      <c r="G270" s="139"/>
      <c r="H270" s="139"/>
      <c r="I270" s="15"/>
      <c r="J270" s="43"/>
      <c r="K270" s="43"/>
      <c r="L270" s="43"/>
      <c r="M270" s="61"/>
      <c r="N270" s="139"/>
      <c r="O270" s="139"/>
      <c r="P270" s="145"/>
      <c r="Q270" s="43"/>
      <c r="R270" s="145"/>
      <c r="S270" s="43"/>
      <c r="T270" s="88"/>
      <c r="U270" s="40"/>
      <c r="V270" s="40"/>
      <c r="W270" s="88"/>
      <c r="X270" s="40"/>
      <c r="Y270" s="40"/>
      <c r="Z270" s="40"/>
      <c r="AA270" s="40"/>
      <c r="AB270" s="40"/>
      <c r="AC270" s="42"/>
      <c r="AD270" s="40"/>
      <c r="AE270" s="40"/>
      <c r="AF270" s="40"/>
      <c r="AG270" s="40"/>
      <c r="AH270" s="30"/>
      <c r="AI270" s="29"/>
      <c r="AJ270" s="40"/>
    </row>
    <row r="271" ht="15.75" customHeight="1">
      <c r="A271" s="43"/>
      <c r="B271" s="43"/>
      <c r="C271" s="15"/>
      <c r="D271" s="15"/>
      <c r="E271" s="15"/>
      <c r="F271" s="146"/>
      <c r="G271" s="139"/>
      <c r="H271" s="139"/>
      <c r="I271" s="15"/>
      <c r="J271" s="43"/>
      <c r="K271" s="43"/>
      <c r="L271" s="43"/>
      <c r="M271" s="61"/>
      <c r="N271" s="139"/>
      <c r="O271" s="139"/>
      <c r="P271" s="145"/>
      <c r="Q271" s="43"/>
      <c r="R271" s="145"/>
      <c r="S271" s="43"/>
      <c r="T271" s="88"/>
      <c r="U271" s="40"/>
      <c r="V271" s="40"/>
      <c r="W271" s="88"/>
      <c r="X271" s="40"/>
      <c r="Y271" s="40"/>
      <c r="Z271" s="40"/>
      <c r="AA271" s="40"/>
      <c r="AB271" s="40"/>
      <c r="AC271" s="42"/>
      <c r="AD271" s="40"/>
      <c r="AE271" s="40"/>
      <c r="AF271" s="40"/>
      <c r="AG271" s="40"/>
      <c r="AH271" s="30"/>
      <c r="AI271" s="29"/>
      <c r="AJ271" s="40"/>
    </row>
    <row r="272" ht="15.75" customHeight="1">
      <c r="A272" s="43"/>
      <c r="B272" s="43"/>
      <c r="C272" s="15"/>
      <c r="D272" s="15"/>
      <c r="E272" s="15"/>
      <c r="F272" s="146"/>
      <c r="G272" s="139"/>
      <c r="H272" s="139"/>
      <c r="I272" s="15"/>
      <c r="J272" s="43"/>
      <c r="K272" s="43"/>
      <c r="L272" s="43"/>
      <c r="M272" s="61"/>
      <c r="N272" s="139"/>
      <c r="O272" s="139"/>
      <c r="P272" s="145"/>
      <c r="Q272" s="43"/>
      <c r="R272" s="145"/>
      <c r="S272" s="43"/>
      <c r="T272" s="88"/>
      <c r="U272" s="40"/>
      <c r="V272" s="40"/>
      <c r="W272" s="88"/>
      <c r="X272" s="40"/>
      <c r="Y272" s="40"/>
      <c r="Z272" s="40"/>
      <c r="AA272" s="40"/>
      <c r="AB272" s="40"/>
      <c r="AC272" s="42"/>
      <c r="AD272" s="40"/>
      <c r="AE272" s="40"/>
      <c r="AF272" s="40"/>
      <c r="AG272" s="40"/>
      <c r="AH272" s="30"/>
      <c r="AI272" s="29"/>
      <c r="AJ272" s="40"/>
    </row>
    <row r="273" ht="15.75" customHeight="1">
      <c r="A273" s="43"/>
      <c r="B273" s="43"/>
      <c r="C273" s="15"/>
      <c r="D273" s="15"/>
      <c r="E273" s="15"/>
      <c r="F273" s="146"/>
      <c r="G273" s="139"/>
      <c r="H273" s="139"/>
      <c r="I273" s="15"/>
      <c r="J273" s="43"/>
      <c r="K273" s="43"/>
      <c r="L273" s="43"/>
      <c r="M273" s="61"/>
      <c r="N273" s="139"/>
      <c r="O273" s="139"/>
      <c r="P273" s="145"/>
      <c r="Q273" s="43"/>
      <c r="R273" s="145"/>
      <c r="S273" s="43"/>
      <c r="T273" s="88"/>
      <c r="U273" s="40"/>
      <c r="V273" s="40"/>
      <c r="W273" s="88"/>
      <c r="X273" s="40"/>
      <c r="Y273" s="40"/>
      <c r="Z273" s="40"/>
      <c r="AA273" s="40"/>
      <c r="AB273" s="40"/>
      <c r="AC273" s="42"/>
      <c r="AD273" s="40"/>
      <c r="AE273" s="40"/>
      <c r="AF273" s="40"/>
      <c r="AG273" s="40"/>
      <c r="AH273" s="30"/>
      <c r="AI273" s="29"/>
      <c r="AJ273" s="40"/>
    </row>
    <row r="274" ht="15.75" customHeight="1">
      <c r="A274" s="43"/>
      <c r="B274" s="43"/>
      <c r="C274" s="15"/>
      <c r="D274" s="15"/>
      <c r="E274" s="15"/>
      <c r="F274" s="146"/>
      <c r="G274" s="139"/>
      <c r="H274" s="139"/>
      <c r="I274" s="15"/>
      <c r="J274" s="43"/>
      <c r="K274" s="43"/>
      <c r="L274" s="43"/>
      <c r="M274" s="61"/>
      <c r="N274" s="139"/>
      <c r="O274" s="139"/>
      <c r="P274" s="145"/>
      <c r="Q274" s="43"/>
      <c r="R274" s="145"/>
      <c r="S274" s="43"/>
      <c r="T274" s="88"/>
      <c r="U274" s="40"/>
      <c r="V274" s="40"/>
      <c r="W274" s="88"/>
      <c r="X274" s="40"/>
      <c r="Y274" s="40"/>
      <c r="Z274" s="40"/>
      <c r="AA274" s="40"/>
      <c r="AB274" s="40"/>
      <c r="AC274" s="42"/>
      <c r="AD274" s="40"/>
      <c r="AE274" s="40"/>
      <c r="AF274" s="40"/>
      <c r="AG274" s="40"/>
      <c r="AH274" s="30"/>
      <c r="AI274" s="29"/>
      <c r="AJ274" s="40"/>
    </row>
    <row r="275" ht="15.75" customHeight="1">
      <c r="A275" s="43"/>
      <c r="B275" s="43"/>
      <c r="C275" s="15"/>
      <c r="D275" s="15"/>
      <c r="E275" s="15"/>
      <c r="F275" s="146"/>
      <c r="G275" s="139"/>
      <c r="H275" s="139"/>
      <c r="I275" s="15"/>
      <c r="J275" s="43"/>
      <c r="K275" s="43"/>
      <c r="L275" s="43"/>
      <c r="M275" s="61"/>
      <c r="N275" s="139"/>
      <c r="O275" s="139"/>
      <c r="P275" s="145"/>
      <c r="Q275" s="43"/>
      <c r="R275" s="145"/>
      <c r="S275" s="43"/>
      <c r="T275" s="88"/>
      <c r="U275" s="40"/>
      <c r="V275" s="40"/>
      <c r="W275" s="88"/>
      <c r="X275" s="40"/>
      <c r="Y275" s="40"/>
      <c r="Z275" s="40"/>
      <c r="AA275" s="40"/>
      <c r="AB275" s="40"/>
      <c r="AC275" s="42"/>
      <c r="AD275" s="40"/>
      <c r="AE275" s="40"/>
      <c r="AF275" s="40"/>
      <c r="AG275" s="40"/>
      <c r="AH275" s="30"/>
      <c r="AI275" s="29"/>
      <c r="AJ275" s="40"/>
    </row>
    <row r="276" ht="15.75" customHeight="1">
      <c r="A276" s="43"/>
      <c r="B276" s="43"/>
      <c r="C276" s="15"/>
      <c r="D276" s="15"/>
      <c r="E276" s="15"/>
      <c r="F276" s="146"/>
      <c r="G276" s="139"/>
      <c r="H276" s="139"/>
      <c r="I276" s="15"/>
      <c r="J276" s="43"/>
      <c r="K276" s="43"/>
      <c r="L276" s="43"/>
      <c r="M276" s="61"/>
      <c r="N276" s="139"/>
      <c r="O276" s="139"/>
      <c r="P276" s="145"/>
      <c r="Q276" s="43"/>
      <c r="R276" s="145"/>
      <c r="S276" s="43"/>
      <c r="T276" s="88"/>
      <c r="U276" s="40"/>
      <c r="V276" s="40"/>
      <c r="W276" s="88"/>
      <c r="X276" s="40"/>
      <c r="Y276" s="40"/>
      <c r="Z276" s="40"/>
      <c r="AA276" s="40"/>
      <c r="AB276" s="40"/>
      <c r="AC276" s="42"/>
      <c r="AD276" s="40"/>
      <c r="AE276" s="40"/>
      <c r="AF276" s="40"/>
      <c r="AG276" s="40"/>
      <c r="AH276" s="30"/>
      <c r="AI276" s="29"/>
      <c r="AJ276" s="40"/>
    </row>
    <row r="277" ht="15.75" customHeight="1">
      <c r="A277" s="43"/>
      <c r="B277" s="43"/>
      <c r="C277" s="15"/>
      <c r="D277" s="15"/>
      <c r="E277" s="15"/>
      <c r="F277" s="146"/>
      <c r="G277" s="139"/>
      <c r="H277" s="139"/>
      <c r="I277" s="15"/>
      <c r="J277" s="43"/>
      <c r="K277" s="43"/>
      <c r="L277" s="43"/>
      <c r="M277" s="61"/>
      <c r="N277" s="139"/>
      <c r="O277" s="139"/>
      <c r="P277" s="145"/>
      <c r="Q277" s="43"/>
      <c r="R277" s="145"/>
      <c r="S277" s="43"/>
      <c r="T277" s="88"/>
      <c r="U277" s="40"/>
      <c r="V277" s="40"/>
      <c r="W277" s="88"/>
      <c r="X277" s="40"/>
      <c r="Y277" s="40"/>
      <c r="Z277" s="40"/>
      <c r="AA277" s="40"/>
      <c r="AB277" s="40"/>
      <c r="AC277" s="42"/>
      <c r="AD277" s="40"/>
      <c r="AE277" s="40"/>
      <c r="AF277" s="40"/>
      <c r="AG277" s="40"/>
      <c r="AH277" s="30"/>
      <c r="AI277" s="29"/>
      <c r="AJ277" s="40"/>
    </row>
    <row r="278" ht="15.75" customHeight="1">
      <c r="A278" s="43"/>
      <c r="B278" s="43"/>
      <c r="C278" s="15"/>
      <c r="D278" s="15"/>
      <c r="E278" s="15"/>
      <c r="F278" s="146"/>
      <c r="G278" s="139"/>
      <c r="H278" s="139"/>
      <c r="I278" s="15"/>
      <c r="J278" s="43"/>
      <c r="K278" s="43"/>
      <c r="L278" s="43"/>
      <c r="M278" s="61"/>
      <c r="N278" s="139"/>
      <c r="O278" s="139"/>
      <c r="P278" s="145"/>
      <c r="Q278" s="43"/>
      <c r="R278" s="145"/>
      <c r="S278" s="43"/>
      <c r="T278" s="88"/>
      <c r="U278" s="40"/>
      <c r="V278" s="40"/>
      <c r="W278" s="88"/>
      <c r="X278" s="40"/>
      <c r="Y278" s="40"/>
      <c r="Z278" s="40"/>
      <c r="AA278" s="40"/>
      <c r="AB278" s="40"/>
      <c r="AC278" s="42"/>
      <c r="AD278" s="40"/>
      <c r="AE278" s="40"/>
      <c r="AF278" s="40"/>
      <c r="AG278" s="40"/>
      <c r="AH278" s="30"/>
      <c r="AI278" s="29"/>
      <c r="AJ278" s="40"/>
    </row>
    <row r="279" ht="15.75" customHeight="1">
      <c r="A279" s="40"/>
      <c r="B279" s="40"/>
      <c r="C279" s="15"/>
      <c r="D279" s="15"/>
      <c r="E279" s="15"/>
      <c r="F279" s="146"/>
      <c r="G279" s="40"/>
      <c r="H279" s="40"/>
      <c r="I279" s="15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2"/>
      <c r="AD279" s="40"/>
      <c r="AE279" s="40"/>
      <c r="AF279" s="40"/>
      <c r="AG279" s="40"/>
      <c r="AH279" s="30"/>
      <c r="AI279" s="29"/>
      <c r="AJ279" s="40"/>
    </row>
    <row r="280" ht="15.75" customHeight="1">
      <c r="A280" s="40"/>
      <c r="B280" s="40"/>
      <c r="C280" s="15"/>
      <c r="D280" s="15"/>
      <c r="E280" s="15"/>
      <c r="F280" s="146"/>
      <c r="G280" s="40"/>
      <c r="H280" s="40"/>
      <c r="I280" s="15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2"/>
      <c r="AD280" s="40"/>
      <c r="AE280" s="40"/>
      <c r="AF280" s="40"/>
      <c r="AG280" s="40"/>
      <c r="AH280" s="30"/>
      <c r="AI280" s="29"/>
      <c r="AJ280" s="40"/>
    </row>
    <row r="281" ht="15.75" customHeight="1">
      <c r="A281" s="40"/>
      <c r="B281" s="40"/>
      <c r="C281" s="15"/>
      <c r="D281" s="15"/>
      <c r="E281" s="15"/>
      <c r="F281" s="146"/>
      <c r="G281" s="40"/>
      <c r="H281" s="40"/>
      <c r="I281" s="15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2"/>
      <c r="AD281" s="40"/>
      <c r="AE281" s="40"/>
      <c r="AF281" s="40"/>
      <c r="AG281" s="40"/>
      <c r="AH281" s="30"/>
      <c r="AI281" s="29"/>
      <c r="AJ281" s="40"/>
    </row>
    <row r="282" ht="15.75" customHeight="1">
      <c r="A282" s="40"/>
      <c r="B282" s="40"/>
      <c r="C282" s="15"/>
      <c r="D282" s="15"/>
      <c r="E282" s="15"/>
      <c r="F282" s="146"/>
      <c r="G282" s="40"/>
      <c r="H282" s="40"/>
      <c r="I282" s="15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2"/>
      <c r="AD282" s="40"/>
      <c r="AE282" s="40"/>
      <c r="AF282" s="40"/>
      <c r="AG282" s="40"/>
      <c r="AH282" s="30"/>
      <c r="AI282" s="29"/>
      <c r="AJ282" s="40"/>
    </row>
    <row r="283" ht="15.75" customHeight="1">
      <c r="A283" s="40"/>
      <c r="B283" s="40"/>
      <c r="C283" s="15"/>
      <c r="D283" s="15"/>
      <c r="E283" s="15"/>
      <c r="F283" s="146"/>
      <c r="G283" s="40"/>
      <c r="H283" s="40"/>
      <c r="I283" s="15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2"/>
      <c r="AD283" s="40"/>
      <c r="AE283" s="40"/>
      <c r="AF283" s="40"/>
      <c r="AG283" s="40"/>
      <c r="AH283" s="30"/>
      <c r="AI283" s="29"/>
      <c r="AJ283" s="40"/>
    </row>
    <row r="284" ht="15.75" customHeight="1">
      <c r="A284" s="40"/>
      <c r="B284" s="40"/>
      <c r="C284" s="15"/>
      <c r="D284" s="15"/>
      <c r="E284" s="15"/>
      <c r="F284" s="146"/>
      <c r="G284" s="40"/>
      <c r="H284" s="40"/>
      <c r="I284" s="15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2"/>
      <c r="AD284" s="40"/>
      <c r="AE284" s="40"/>
      <c r="AF284" s="40"/>
      <c r="AG284" s="40"/>
      <c r="AH284" s="30"/>
      <c r="AI284" s="29"/>
      <c r="AJ284" s="40"/>
    </row>
    <row r="285" ht="15.75" customHeight="1">
      <c r="A285" s="40"/>
      <c r="B285" s="40"/>
      <c r="C285" s="15"/>
      <c r="D285" s="15"/>
      <c r="E285" s="15"/>
      <c r="F285" s="146"/>
      <c r="G285" s="40"/>
      <c r="H285" s="40"/>
      <c r="I285" s="15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2"/>
      <c r="AD285" s="40"/>
      <c r="AE285" s="40"/>
      <c r="AF285" s="40"/>
      <c r="AG285" s="40"/>
      <c r="AH285" s="30"/>
      <c r="AI285" s="29"/>
      <c r="AJ285" s="40"/>
    </row>
    <row r="286" ht="15.75" customHeight="1">
      <c r="A286" s="40"/>
      <c r="B286" s="40"/>
      <c r="C286" s="15"/>
      <c r="D286" s="15"/>
      <c r="E286" s="15"/>
      <c r="F286" s="146"/>
      <c r="G286" s="40"/>
      <c r="H286" s="40"/>
      <c r="I286" s="15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2"/>
      <c r="AD286" s="40"/>
      <c r="AE286" s="40"/>
      <c r="AF286" s="40"/>
      <c r="AG286" s="40"/>
      <c r="AH286" s="30"/>
      <c r="AI286" s="29"/>
      <c r="AJ286" s="40"/>
    </row>
    <row r="287" ht="15.75" customHeight="1">
      <c r="A287" s="40"/>
      <c r="B287" s="40"/>
      <c r="C287" s="15"/>
      <c r="D287" s="15"/>
      <c r="E287" s="15"/>
      <c r="F287" s="146"/>
      <c r="G287" s="40"/>
      <c r="H287" s="40"/>
      <c r="I287" s="15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2"/>
      <c r="AD287" s="40"/>
      <c r="AE287" s="40"/>
      <c r="AF287" s="40"/>
      <c r="AG287" s="40"/>
      <c r="AH287" s="30"/>
      <c r="AI287" s="29"/>
      <c r="AJ287" s="40"/>
    </row>
    <row r="288" ht="15.75" customHeight="1">
      <c r="A288" s="40"/>
      <c r="B288" s="40"/>
      <c r="C288" s="15"/>
      <c r="D288" s="15"/>
      <c r="E288" s="15"/>
      <c r="F288" s="146"/>
      <c r="G288" s="40"/>
      <c r="H288" s="40"/>
      <c r="I288" s="15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2"/>
      <c r="AD288" s="40"/>
      <c r="AE288" s="40"/>
      <c r="AF288" s="40"/>
      <c r="AG288" s="40"/>
      <c r="AH288" s="30"/>
      <c r="AI288" s="29"/>
      <c r="AJ288" s="40"/>
    </row>
    <row r="289" ht="15.75" customHeight="1">
      <c r="A289" s="40"/>
      <c r="B289" s="40"/>
      <c r="C289" s="15"/>
      <c r="D289" s="15"/>
      <c r="E289" s="15"/>
      <c r="F289" s="146"/>
      <c r="G289" s="40"/>
      <c r="H289" s="40"/>
      <c r="I289" s="15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2"/>
      <c r="AD289" s="40"/>
      <c r="AE289" s="40"/>
      <c r="AF289" s="40"/>
      <c r="AG289" s="40"/>
      <c r="AH289" s="30"/>
      <c r="AI289" s="29"/>
      <c r="AJ289" s="40"/>
    </row>
    <row r="290" ht="15.75" customHeight="1">
      <c r="A290" s="40"/>
      <c r="B290" s="40"/>
      <c r="C290" s="15"/>
      <c r="D290" s="15"/>
      <c r="E290" s="15"/>
      <c r="F290" s="146"/>
      <c r="G290" s="40"/>
      <c r="H290" s="40"/>
      <c r="I290" s="15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2"/>
      <c r="AD290" s="40"/>
      <c r="AE290" s="40"/>
      <c r="AF290" s="40"/>
      <c r="AG290" s="40"/>
      <c r="AH290" s="30"/>
      <c r="AI290" s="29"/>
      <c r="AJ290" s="40"/>
    </row>
    <row r="291" ht="15.75" customHeight="1">
      <c r="A291" s="40"/>
      <c r="B291" s="40"/>
      <c r="C291" s="15"/>
      <c r="D291" s="15"/>
      <c r="E291" s="15"/>
      <c r="F291" s="146"/>
      <c r="G291" s="40"/>
      <c r="H291" s="40"/>
      <c r="I291" s="15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2"/>
      <c r="AD291" s="40"/>
      <c r="AE291" s="40"/>
      <c r="AF291" s="40"/>
      <c r="AG291" s="40"/>
      <c r="AH291" s="30"/>
      <c r="AI291" s="29"/>
      <c r="AJ291" s="40"/>
    </row>
    <row r="292" ht="15.75" customHeight="1">
      <c r="A292" s="40"/>
      <c r="B292" s="40"/>
      <c r="C292" s="15"/>
      <c r="D292" s="15"/>
      <c r="E292" s="15"/>
      <c r="F292" s="146"/>
      <c r="G292" s="40"/>
      <c r="H292" s="40"/>
      <c r="I292" s="15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2"/>
      <c r="AD292" s="40"/>
      <c r="AE292" s="40"/>
      <c r="AF292" s="40"/>
      <c r="AG292" s="40"/>
      <c r="AH292" s="30"/>
      <c r="AI292" s="29"/>
      <c r="AJ292" s="40"/>
    </row>
    <row r="293" ht="15.75" customHeight="1">
      <c r="A293" s="40"/>
      <c r="B293" s="40"/>
      <c r="C293" s="15"/>
      <c r="D293" s="15"/>
      <c r="E293" s="15"/>
      <c r="F293" s="146"/>
      <c r="G293" s="40"/>
      <c r="H293" s="40"/>
      <c r="I293" s="15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2"/>
      <c r="AD293" s="40"/>
      <c r="AE293" s="40"/>
      <c r="AF293" s="40"/>
      <c r="AG293" s="40"/>
      <c r="AH293" s="30"/>
      <c r="AI293" s="29"/>
      <c r="AJ293" s="40"/>
    </row>
    <row r="294" ht="15.75" customHeight="1">
      <c r="A294" s="40"/>
      <c r="B294" s="40"/>
      <c r="C294" s="15"/>
      <c r="D294" s="15"/>
      <c r="E294" s="15"/>
      <c r="F294" s="146"/>
      <c r="G294" s="40"/>
      <c r="H294" s="40"/>
      <c r="I294" s="15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2"/>
      <c r="AD294" s="40"/>
      <c r="AE294" s="40"/>
      <c r="AF294" s="40"/>
      <c r="AG294" s="40"/>
      <c r="AH294" s="30"/>
      <c r="AI294" s="29"/>
      <c r="AJ294" s="40"/>
    </row>
    <row r="295" ht="15.75" customHeight="1">
      <c r="AC295" s="171"/>
      <c r="AH295" s="33"/>
      <c r="AI295" s="33"/>
    </row>
    <row r="296" ht="15.75" customHeight="1">
      <c r="AC296" s="171"/>
      <c r="AH296" s="33"/>
      <c r="AI296" s="33"/>
    </row>
    <row r="297" ht="15.75" customHeight="1">
      <c r="AC297" s="171"/>
      <c r="AH297" s="33"/>
      <c r="AI297" s="33"/>
    </row>
    <row r="298" ht="15.75" customHeight="1">
      <c r="AC298" s="171"/>
      <c r="AH298" s="33"/>
      <c r="AI298" s="33"/>
    </row>
    <row r="299" ht="15.75" customHeight="1">
      <c r="AC299" s="171"/>
      <c r="AH299" s="33"/>
      <c r="AI299" s="33"/>
    </row>
    <row r="300" ht="15.75" customHeight="1">
      <c r="AC300" s="171"/>
      <c r="AH300" s="33"/>
      <c r="AI300" s="33"/>
    </row>
    <row r="301" ht="15.75" customHeight="1">
      <c r="AC301" s="171"/>
      <c r="AH301" s="33"/>
      <c r="AI301" s="33"/>
    </row>
    <row r="302" ht="15.75" customHeight="1">
      <c r="AC302" s="171"/>
      <c r="AH302" s="33"/>
      <c r="AI302" s="33"/>
    </row>
    <row r="303" ht="15.75" customHeight="1">
      <c r="AC303" s="171"/>
      <c r="AH303" s="33"/>
      <c r="AI303" s="33"/>
    </row>
    <row r="304" ht="15.75" customHeight="1">
      <c r="AC304" s="171"/>
      <c r="AH304" s="33"/>
      <c r="AI304" s="33"/>
    </row>
    <row r="305" ht="15.75" customHeight="1">
      <c r="AC305" s="171"/>
      <c r="AH305" s="33"/>
      <c r="AI305" s="33"/>
    </row>
    <row r="306" ht="15.75" customHeight="1">
      <c r="AC306" s="171"/>
      <c r="AH306" s="33"/>
      <c r="AI306" s="33"/>
    </row>
    <row r="307" ht="15.75" customHeight="1">
      <c r="AC307" s="171"/>
      <c r="AH307" s="33"/>
      <c r="AI307" s="33"/>
    </row>
    <row r="308" ht="15.75" customHeight="1">
      <c r="AC308" s="171"/>
      <c r="AH308" s="33"/>
      <c r="AI308" s="33"/>
    </row>
    <row r="309" ht="15.75" customHeight="1">
      <c r="AC309" s="171"/>
      <c r="AH309" s="33"/>
      <c r="AI309" s="33"/>
    </row>
    <row r="310" ht="15.75" customHeight="1">
      <c r="AC310" s="171"/>
      <c r="AH310" s="33"/>
      <c r="AI310" s="33"/>
    </row>
    <row r="311" ht="15.75" customHeight="1">
      <c r="AC311" s="171"/>
      <c r="AH311" s="33"/>
      <c r="AI311" s="33"/>
    </row>
    <row r="312" ht="15.75" customHeight="1">
      <c r="AC312" s="171"/>
      <c r="AH312" s="33"/>
      <c r="AI312" s="33"/>
    </row>
    <row r="313" ht="15.75" customHeight="1">
      <c r="AC313" s="171"/>
      <c r="AH313" s="33"/>
      <c r="AI313" s="33"/>
    </row>
    <row r="314" ht="15.75" customHeight="1">
      <c r="AC314" s="171"/>
      <c r="AH314" s="33"/>
      <c r="AI314" s="33"/>
    </row>
    <row r="315" ht="15.75" customHeight="1">
      <c r="AC315" s="171"/>
      <c r="AH315" s="33"/>
      <c r="AI315" s="33"/>
    </row>
    <row r="316" ht="15.75" customHeight="1">
      <c r="AC316" s="171"/>
      <c r="AH316" s="33"/>
      <c r="AI316" s="33"/>
    </row>
    <row r="317" ht="15.75" customHeight="1">
      <c r="AC317" s="171"/>
      <c r="AH317" s="33"/>
      <c r="AI317" s="33"/>
    </row>
    <row r="318" ht="15.75" customHeight="1">
      <c r="AC318" s="171"/>
      <c r="AH318" s="33"/>
      <c r="AI318" s="33"/>
    </row>
    <row r="319" ht="15.75" customHeight="1">
      <c r="AC319" s="171"/>
      <c r="AH319" s="33"/>
      <c r="AI319" s="33"/>
    </row>
    <row r="320" ht="15.75" customHeight="1">
      <c r="AC320" s="171"/>
      <c r="AH320" s="33"/>
      <c r="AI320" s="33"/>
    </row>
    <row r="321" ht="15.75" customHeight="1">
      <c r="AC321" s="171"/>
      <c r="AH321" s="33"/>
      <c r="AI321" s="33"/>
    </row>
    <row r="322" ht="15.75" customHeight="1">
      <c r="AC322" s="171"/>
      <c r="AH322" s="33"/>
      <c r="AI322" s="33"/>
    </row>
    <row r="323" ht="15.75" customHeight="1">
      <c r="AC323" s="171"/>
      <c r="AH323" s="33"/>
      <c r="AI323" s="33"/>
    </row>
    <row r="324" ht="15.75" customHeight="1">
      <c r="AC324" s="171"/>
      <c r="AH324" s="33"/>
      <c r="AI324" s="33"/>
    </row>
    <row r="325" ht="15.75" customHeight="1">
      <c r="AC325" s="171"/>
      <c r="AH325" s="33"/>
      <c r="AI325" s="33"/>
    </row>
    <row r="326" ht="15.75" customHeight="1">
      <c r="AC326" s="171"/>
      <c r="AH326" s="33"/>
      <c r="AI326" s="33"/>
    </row>
    <row r="327" ht="15.75" customHeight="1">
      <c r="AC327" s="171"/>
      <c r="AH327" s="33"/>
      <c r="AI327" s="33"/>
    </row>
    <row r="328" ht="15.75" customHeight="1">
      <c r="AC328" s="171"/>
      <c r="AH328" s="33"/>
      <c r="AI328" s="33"/>
    </row>
    <row r="329" ht="15.75" customHeight="1">
      <c r="AC329" s="171"/>
      <c r="AH329" s="33"/>
      <c r="AI329" s="33"/>
    </row>
    <row r="330" ht="15.75" customHeight="1">
      <c r="AC330" s="171"/>
      <c r="AH330" s="33"/>
      <c r="AI330" s="33"/>
    </row>
    <row r="331" ht="15.75" customHeight="1">
      <c r="AC331" s="171"/>
      <c r="AH331" s="33"/>
      <c r="AI331" s="33"/>
    </row>
    <row r="332" ht="15.75" customHeight="1">
      <c r="AC332" s="171"/>
      <c r="AH332" s="33"/>
      <c r="AI332" s="33"/>
    </row>
    <row r="333" ht="15.75" customHeight="1">
      <c r="AC333" s="171"/>
      <c r="AH333" s="33"/>
      <c r="AI333" s="33"/>
    </row>
    <row r="334" ht="15.75" customHeight="1">
      <c r="AC334" s="171"/>
      <c r="AH334" s="33"/>
      <c r="AI334" s="33"/>
    </row>
    <row r="335" ht="15.75" customHeight="1">
      <c r="AC335" s="171"/>
      <c r="AH335" s="33"/>
      <c r="AI335" s="33"/>
    </row>
    <row r="336" ht="15.75" customHeight="1">
      <c r="AC336" s="171"/>
      <c r="AH336" s="33"/>
      <c r="AI336" s="33"/>
    </row>
    <row r="337" ht="15.75" customHeight="1">
      <c r="AC337" s="171"/>
      <c r="AH337" s="33"/>
      <c r="AI337" s="33"/>
    </row>
    <row r="338" ht="15.75" customHeight="1">
      <c r="AC338" s="171"/>
      <c r="AH338" s="33"/>
      <c r="AI338" s="33"/>
    </row>
    <row r="339" ht="15.75" customHeight="1">
      <c r="AC339" s="171"/>
      <c r="AH339" s="33"/>
      <c r="AI339" s="33"/>
    </row>
    <row r="340" ht="15.75" customHeight="1">
      <c r="AC340" s="171"/>
      <c r="AH340" s="33"/>
      <c r="AI340" s="33"/>
    </row>
    <row r="341" ht="15.75" customHeight="1">
      <c r="AC341" s="171"/>
      <c r="AH341" s="33"/>
      <c r="AI341" s="33"/>
    </row>
    <row r="342" ht="15.75" customHeight="1">
      <c r="AC342" s="171"/>
      <c r="AH342" s="33"/>
      <c r="AI342" s="33"/>
    </row>
    <row r="343" ht="15.75" customHeight="1">
      <c r="AC343" s="171"/>
      <c r="AH343" s="33"/>
      <c r="AI343" s="33"/>
    </row>
    <row r="344" ht="15.75" customHeight="1">
      <c r="AC344" s="171"/>
      <c r="AH344" s="33"/>
      <c r="AI344" s="33"/>
    </row>
    <row r="345" ht="15.75" customHeight="1">
      <c r="AC345" s="171"/>
      <c r="AH345" s="33"/>
      <c r="AI345" s="33"/>
    </row>
    <row r="346" ht="15.75" customHeight="1">
      <c r="AC346" s="171"/>
      <c r="AH346" s="33"/>
      <c r="AI346" s="33"/>
    </row>
    <row r="347" ht="15.75" customHeight="1">
      <c r="AC347" s="171"/>
      <c r="AH347" s="33"/>
      <c r="AI347" s="33"/>
    </row>
    <row r="348" ht="15.75" customHeight="1">
      <c r="AC348" s="171"/>
      <c r="AH348" s="33"/>
      <c r="AI348" s="33"/>
    </row>
    <row r="349" ht="15.75" customHeight="1">
      <c r="AC349" s="171"/>
      <c r="AH349" s="33"/>
      <c r="AI349" s="33"/>
    </row>
    <row r="350" ht="15.75" customHeight="1">
      <c r="AC350" s="171"/>
      <c r="AH350" s="33"/>
      <c r="AI350" s="33"/>
    </row>
    <row r="351" ht="15.75" customHeight="1">
      <c r="AC351" s="171"/>
      <c r="AH351" s="33"/>
      <c r="AI351" s="33"/>
    </row>
    <row r="352" ht="15.75" customHeight="1">
      <c r="AC352" s="171"/>
      <c r="AH352" s="33"/>
      <c r="AI352" s="33"/>
    </row>
    <row r="353" ht="15.75" customHeight="1">
      <c r="AC353" s="171"/>
      <c r="AH353" s="33"/>
      <c r="AI353" s="33"/>
    </row>
    <row r="354" ht="15.75" customHeight="1">
      <c r="AC354" s="171"/>
      <c r="AH354" s="33"/>
      <c r="AI354" s="33"/>
    </row>
    <row r="355" ht="15.75" customHeight="1">
      <c r="AC355" s="171"/>
      <c r="AH355" s="33"/>
      <c r="AI355" s="33"/>
    </row>
    <row r="356" ht="15.75" customHeight="1">
      <c r="AC356" s="171"/>
      <c r="AH356" s="33"/>
      <c r="AI356" s="33"/>
    </row>
    <row r="357" ht="15.75" customHeight="1">
      <c r="AC357" s="171"/>
      <c r="AH357" s="33"/>
      <c r="AI357" s="33"/>
    </row>
    <row r="358" ht="15.75" customHeight="1">
      <c r="AC358" s="171"/>
      <c r="AH358" s="33"/>
      <c r="AI358" s="33"/>
    </row>
    <row r="359" ht="15.75" customHeight="1">
      <c r="AC359" s="171"/>
      <c r="AH359" s="33"/>
      <c r="AI359" s="33"/>
    </row>
    <row r="360" ht="15.75" customHeight="1">
      <c r="AC360" s="171"/>
      <c r="AH360" s="33"/>
      <c r="AI360" s="33"/>
    </row>
    <row r="361" ht="15.75" customHeight="1">
      <c r="AC361" s="171"/>
      <c r="AH361" s="33"/>
      <c r="AI361" s="33"/>
    </row>
    <row r="362" ht="15.75" customHeight="1">
      <c r="AC362" s="171"/>
      <c r="AH362" s="33"/>
      <c r="AI362" s="33"/>
    </row>
    <row r="363" ht="15.75" customHeight="1">
      <c r="AC363" s="171"/>
      <c r="AH363" s="33"/>
      <c r="AI363" s="33"/>
    </row>
    <row r="364" ht="15.75" customHeight="1">
      <c r="AC364" s="171"/>
      <c r="AH364" s="33"/>
      <c r="AI364" s="33"/>
    </row>
    <row r="365" ht="15.75" customHeight="1">
      <c r="AC365" s="171"/>
      <c r="AH365" s="33"/>
      <c r="AI365" s="33"/>
    </row>
    <row r="366" ht="15.75" customHeight="1">
      <c r="AC366" s="171"/>
      <c r="AH366" s="33"/>
      <c r="AI366" s="33"/>
    </row>
    <row r="367" ht="15.75" customHeight="1">
      <c r="AC367" s="171"/>
      <c r="AH367" s="33"/>
      <c r="AI367" s="33"/>
    </row>
    <row r="368" ht="15.75" customHeight="1">
      <c r="AC368" s="171"/>
      <c r="AH368" s="33"/>
      <c r="AI368" s="33"/>
    </row>
    <row r="369" ht="15.75" customHeight="1">
      <c r="AC369" s="171"/>
      <c r="AH369" s="33"/>
      <c r="AI369" s="33"/>
    </row>
    <row r="370" ht="15.75" customHeight="1">
      <c r="AC370" s="171"/>
      <c r="AH370" s="33"/>
      <c r="AI370" s="33"/>
    </row>
    <row r="371" ht="15.75" customHeight="1">
      <c r="AC371" s="171"/>
      <c r="AH371" s="33"/>
      <c r="AI371" s="33"/>
    </row>
    <row r="372" ht="15.75" customHeight="1">
      <c r="AC372" s="171"/>
      <c r="AH372" s="33"/>
      <c r="AI372" s="33"/>
    </row>
    <row r="373" ht="15.75" customHeight="1">
      <c r="AC373" s="171"/>
      <c r="AH373" s="33"/>
      <c r="AI373" s="33"/>
    </row>
    <row r="374" ht="15.75" customHeight="1">
      <c r="AC374" s="171"/>
      <c r="AH374" s="33"/>
      <c r="AI374" s="33"/>
    </row>
    <row r="375" ht="15.75" customHeight="1">
      <c r="AC375" s="171"/>
      <c r="AH375" s="33"/>
      <c r="AI375" s="33"/>
    </row>
    <row r="376" ht="15.75" customHeight="1">
      <c r="AC376" s="171"/>
      <c r="AH376" s="33"/>
      <c r="AI376" s="33"/>
    </row>
    <row r="377" ht="15.75" customHeight="1">
      <c r="AC377" s="171"/>
      <c r="AH377" s="33"/>
      <c r="AI377" s="33"/>
    </row>
    <row r="378" ht="15.75" customHeight="1">
      <c r="AC378" s="171"/>
      <c r="AH378" s="33"/>
      <c r="AI378" s="33"/>
    </row>
    <row r="379" ht="15.75" customHeight="1">
      <c r="AC379" s="171"/>
      <c r="AH379" s="33"/>
      <c r="AI379" s="33"/>
    </row>
    <row r="380" ht="15.75" customHeight="1">
      <c r="AC380" s="171"/>
      <c r="AH380" s="33"/>
      <c r="AI380" s="33"/>
    </row>
    <row r="381" ht="15.75" customHeight="1">
      <c r="AC381" s="171"/>
      <c r="AH381" s="33"/>
      <c r="AI381" s="33"/>
    </row>
    <row r="382" ht="15.75" customHeight="1">
      <c r="AC382" s="171"/>
      <c r="AH382" s="33"/>
      <c r="AI382" s="33"/>
    </row>
    <row r="383" ht="15.75" customHeight="1">
      <c r="AC383" s="171"/>
      <c r="AH383" s="33"/>
      <c r="AI383" s="33"/>
    </row>
    <row r="384" ht="15.75" customHeight="1">
      <c r="AC384" s="171"/>
      <c r="AH384" s="33"/>
      <c r="AI384" s="33"/>
    </row>
    <row r="385" ht="15.75" customHeight="1">
      <c r="AC385" s="171"/>
      <c r="AH385" s="33"/>
      <c r="AI385" s="33"/>
    </row>
    <row r="386" ht="15.75" customHeight="1">
      <c r="AC386" s="171"/>
      <c r="AH386" s="33"/>
      <c r="AI386" s="33"/>
    </row>
    <row r="387" ht="15.75" customHeight="1">
      <c r="AC387" s="171"/>
      <c r="AH387" s="33"/>
      <c r="AI387" s="33"/>
    </row>
    <row r="388" ht="15.75" customHeight="1">
      <c r="AC388" s="171"/>
      <c r="AH388" s="33"/>
      <c r="AI388" s="33"/>
    </row>
    <row r="389" ht="15.75" customHeight="1">
      <c r="AC389" s="171"/>
      <c r="AH389" s="33"/>
      <c r="AI389" s="33"/>
    </row>
    <row r="390" ht="15.75" customHeight="1">
      <c r="AC390" s="171"/>
      <c r="AH390" s="33"/>
      <c r="AI390" s="33"/>
    </row>
    <row r="391" ht="15.75" customHeight="1">
      <c r="AC391" s="171"/>
      <c r="AH391" s="33"/>
      <c r="AI391" s="33"/>
    </row>
    <row r="392" ht="15.75" customHeight="1">
      <c r="AC392" s="171"/>
      <c r="AH392" s="33"/>
      <c r="AI392" s="33"/>
    </row>
    <row r="393" ht="15.75" customHeight="1">
      <c r="AC393" s="171"/>
      <c r="AH393" s="33"/>
      <c r="AI393" s="33"/>
    </row>
    <row r="394" ht="15.75" customHeight="1">
      <c r="AC394" s="171"/>
      <c r="AH394" s="33"/>
      <c r="AI394" s="33"/>
    </row>
    <row r="395" ht="15.75" customHeight="1">
      <c r="AC395" s="171"/>
      <c r="AH395" s="33"/>
      <c r="AI395" s="33"/>
    </row>
    <row r="396" ht="15.75" customHeight="1">
      <c r="AC396" s="171"/>
      <c r="AH396" s="33"/>
      <c r="AI396" s="33"/>
    </row>
    <row r="397" ht="15.75" customHeight="1">
      <c r="AC397" s="171"/>
      <c r="AH397" s="33"/>
      <c r="AI397" s="33"/>
    </row>
    <row r="398" ht="15.75" customHeight="1">
      <c r="AC398" s="171"/>
      <c r="AH398" s="33"/>
      <c r="AI398" s="33"/>
    </row>
    <row r="399" ht="15.75" customHeight="1">
      <c r="AC399" s="171"/>
      <c r="AH399" s="33"/>
      <c r="AI399" s="33"/>
    </row>
    <row r="400" ht="15.75" customHeight="1">
      <c r="AC400" s="171"/>
      <c r="AH400" s="33"/>
      <c r="AI400" s="33"/>
    </row>
    <row r="401" ht="15.75" customHeight="1">
      <c r="AC401" s="171"/>
      <c r="AH401" s="33"/>
      <c r="AI401" s="33"/>
    </row>
    <row r="402" ht="15.75" customHeight="1">
      <c r="AC402" s="171"/>
      <c r="AH402" s="33"/>
      <c r="AI402" s="33"/>
    </row>
    <row r="403" ht="15.75" customHeight="1">
      <c r="AC403" s="171"/>
      <c r="AH403" s="33"/>
      <c r="AI403" s="33"/>
    </row>
    <row r="404" ht="15.75" customHeight="1">
      <c r="AC404" s="171"/>
      <c r="AH404" s="33"/>
      <c r="AI404" s="33"/>
    </row>
    <row r="405" ht="15.75" customHeight="1">
      <c r="AC405" s="171"/>
      <c r="AH405" s="33"/>
      <c r="AI405" s="33"/>
    </row>
    <row r="406" ht="15.75" customHeight="1">
      <c r="AC406" s="171"/>
      <c r="AH406" s="33"/>
      <c r="AI406" s="33"/>
    </row>
    <row r="407" ht="15.75" customHeight="1">
      <c r="AC407" s="171"/>
      <c r="AH407" s="33"/>
      <c r="AI407" s="33"/>
    </row>
    <row r="408" ht="15.75" customHeight="1">
      <c r="AC408" s="171"/>
      <c r="AH408" s="33"/>
      <c r="AI408" s="33"/>
    </row>
    <row r="409" ht="15.75" customHeight="1">
      <c r="AC409" s="171"/>
      <c r="AH409" s="33"/>
      <c r="AI409" s="33"/>
    </row>
    <row r="410" ht="15.75" customHeight="1">
      <c r="AC410" s="171"/>
      <c r="AH410" s="33"/>
      <c r="AI410" s="33"/>
    </row>
    <row r="411" ht="15.75" customHeight="1">
      <c r="AC411" s="171"/>
      <c r="AH411" s="33"/>
      <c r="AI411" s="33"/>
    </row>
    <row r="412" ht="15.75" customHeight="1">
      <c r="AC412" s="171"/>
      <c r="AH412" s="33"/>
      <c r="AI412" s="33"/>
    </row>
    <row r="413" ht="15.75" customHeight="1">
      <c r="AC413" s="171"/>
      <c r="AH413" s="33"/>
      <c r="AI413" s="33"/>
    </row>
    <row r="414" ht="15.75" customHeight="1">
      <c r="AC414" s="171"/>
      <c r="AH414" s="33"/>
      <c r="AI414" s="33"/>
    </row>
    <row r="415" ht="15.75" customHeight="1">
      <c r="AC415" s="171"/>
      <c r="AH415" s="33"/>
      <c r="AI415" s="33"/>
    </row>
    <row r="416" ht="15.75" customHeight="1">
      <c r="AC416" s="171"/>
      <c r="AH416" s="33"/>
      <c r="AI416" s="33"/>
    </row>
    <row r="417" ht="15.75" customHeight="1">
      <c r="AC417" s="171"/>
      <c r="AH417" s="33"/>
      <c r="AI417" s="33"/>
    </row>
    <row r="418" ht="15.75" customHeight="1">
      <c r="AC418" s="171"/>
      <c r="AH418" s="33"/>
      <c r="AI418" s="33"/>
    </row>
    <row r="419" ht="15.75" customHeight="1">
      <c r="AC419" s="171"/>
      <c r="AH419" s="33"/>
      <c r="AI419" s="33"/>
    </row>
    <row r="420" ht="15.75" customHeight="1">
      <c r="AC420" s="171"/>
      <c r="AH420" s="33"/>
      <c r="AI420" s="33"/>
    </row>
    <row r="421" ht="15.75" customHeight="1">
      <c r="AC421" s="171"/>
      <c r="AH421" s="33"/>
      <c r="AI421" s="33"/>
    </row>
    <row r="422" ht="15.75" customHeight="1">
      <c r="AC422" s="171"/>
      <c r="AH422" s="33"/>
      <c r="AI422" s="33"/>
    </row>
    <row r="423" ht="15.75" customHeight="1">
      <c r="AC423" s="171"/>
      <c r="AH423" s="33"/>
      <c r="AI423" s="33"/>
    </row>
    <row r="424" ht="15.75" customHeight="1">
      <c r="AC424" s="171"/>
      <c r="AH424" s="33"/>
      <c r="AI424" s="33"/>
    </row>
    <row r="425" ht="15.75" customHeight="1">
      <c r="AC425" s="171"/>
      <c r="AH425" s="33"/>
      <c r="AI425" s="33"/>
    </row>
    <row r="426" ht="15.75" customHeight="1">
      <c r="AC426" s="171"/>
      <c r="AH426" s="33"/>
      <c r="AI426" s="33"/>
    </row>
    <row r="427" ht="15.75" customHeight="1">
      <c r="AC427" s="171"/>
      <c r="AH427" s="33"/>
      <c r="AI427" s="33"/>
    </row>
    <row r="428" ht="15.75" customHeight="1">
      <c r="AC428" s="171"/>
      <c r="AH428" s="33"/>
      <c r="AI428" s="33"/>
    </row>
    <row r="429" ht="15.75" customHeight="1">
      <c r="AC429" s="171"/>
      <c r="AH429" s="33"/>
      <c r="AI429" s="33"/>
    </row>
    <row r="430" ht="15.75" customHeight="1">
      <c r="AC430" s="171"/>
      <c r="AH430" s="33"/>
      <c r="AI430" s="33"/>
    </row>
    <row r="431" ht="15.75" customHeight="1">
      <c r="AC431" s="171"/>
      <c r="AH431" s="33"/>
      <c r="AI431" s="33"/>
    </row>
    <row r="432" ht="15.75" customHeight="1">
      <c r="AC432" s="171"/>
      <c r="AH432" s="33"/>
      <c r="AI432" s="33"/>
    </row>
    <row r="433" ht="15.75" customHeight="1">
      <c r="AC433" s="171"/>
      <c r="AH433" s="33"/>
      <c r="AI433" s="33"/>
    </row>
    <row r="434" ht="15.75" customHeight="1">
      <c r="AC434" s="171"/>
      <c r="AH434" s="33"/>
      <c r="AI434" s="33"/>
    </row>
    <row r="435" ht="15.75" customHeight="1">
      <c r="AC435" s="171"/>
      <c r="AH435" s="33"/>
      <c r="AI435" s="33"/>
    </row>
    <row r="436" ht="15.75" customHeight="1">
      <c r="AC436" s="171"/>
      <c r="AH436" s="33"/>
      <c r="AI436" s="33"/>
    </row>
    <row r="437" ht="15.75" customHeight="1">
      <c r="AC437" s="171"/>
      <c r="AH437" s="33"/>
      <c r="AI437" s="33"/>
    </row>
    <row r="438" ht="15.75" customHeight="1">
      <c r="AC438" s="171"/>
      <c r="AH438" s="33"/>
      <c r="AI438" s="33"/>
    </row>
    <row r="439" ht="15.75" customHeight="1">
      <c r="AC439" s="171"/>
      <c r="AH439" s="33"/>
      <c r="AI439" s="33"/>
    </row>
    <row r="440" ht="15.75" customHeight="1">
      <c r="AC440" s="171"/>
      <c r="AH440" s="33"/>
      <c r="AI440" s="33"/>
    </row>
    <row r="441" ht="15.75" customHeight="1">
      <c r="AC441" s="171"/>
      <c r="AH441" s="33"/>
      <c r="AI441" s="33"/>
    </row>
    <row r="442" ht="15.75" customHeight="1">
      <c r="AC442" s="171"/>
      <c r="AH442" s="33"/>
      <c r="AI442" s="33"/>
    </row>
    <row r="443" ht="15.75" customHeight="1">
      <c r="AC443" s="171"/>
      <c r="AH443" s="33"/>
      <c r="AI443" s="33"/>
    </row>
    <row r="444" ht="15.75" customHeight="1">
      <c r="AC444" s="171"/>
      <c r="AH444" s="33"/>
      <c r="AI444" s="33"/>
    </row>
    <row r="445" ht="15.75" customHeight="1">
      <c r="AC445" s="171"/>
      <c r="AH445" s="33"/>
      <c r="AI445" s="33"/>
    </row>
    <row r="446" ht="15.75" customHeight="1">
      <c r="AC446" s="171"/>
      <c r="AH446" s="33"/>
      <c r="AI446" s="33"/>
    </row>
    <row r="447" ht="15.75" customHeight="1">
      <c r="AC447" s="171"/>
      <c r="AH447" s="33"/>
      <c r="AI447" s="33"/>
    </row>
    <row r="448" ht="15.75" customHeight="1">
      <c r="AC448" s="171"/>
      <c r="AH448" s="33"/>
      <c r="AI448" s="33"/>
    </row>
    <row r="449" ht="15.75" customHeight="1">
      <c r="AC449" s="171"/>
      <c r="AH449" s="33"/>
      <c r="AI449" s="33"/>
    </row>
    <row r="450" ht="15.75" customHeight="1">
      <c r="AC450" s="171"/>
      <c r="AH450" s="33"/>
      <c r="AI450" s="33"/>
    </row>
    <row r="451" ht="15.75" customHeight="1">
      <c r="AC451" s="171"/>
      <c r="AH451" s="33"/>
      <c r="AI451" s="33"/>
    </row>
    <row r="452" ht="15.75" customHeight="1">
      <c r="AC452" s="171"/>
      <c r="AH452" s="33"/>
      <c r="AI452" s="33"/>
    </row>
    <row r="453" ht="15.75" customHeight="1">
      <c r="AC453" s="171"/>
      <c r="AH453" s="33"/>
      <c r="AI453" s="33"/>
    </row>
    <row r="454" ht="15.75" customHeight="1">
      <c r="AC454" s="171"/>
      <c r="AH454" s="33"/>
      <c r="AI454" s="33"/>
    </row>
    <row r="455" ht="15.75" customHeight="1">
      <c r="AC455" s="171"/>
      <c r="AH455" s="33"/>
      <c r="AI455" s="33"/>
    </row>
    <row r="456" ht="15.75" customHeight="1">
      <c r="AC456" s="171"/>
      <c r="AH456" s="33"/>
      <c r="AI456" s="33"/>
    </row>
    <row r="457" ht="15.75" customHeight="1">
      <c r="AC457" s="171"/>
      <c r="AH457" s="33"/>
      <c r="AI457" s="33"/>
    </row>
    <row r="458" ht="15.75" customHeight="1">
      <c r="AC458" s="171"/>
      <c r="AH458" s="33"/>
      <c r="AI458" s="33"/>
    </row>
    <row r="459" ht="15.75" customHeight="1">
      <c r="AC459" s="171"/>
      <c r="AH459" s="33"/>
      <c r="AI459" s="33"/>
    </row>
    <row r="460" ht="15.75" customHeight="1">
      <c r="AC460" s="171"/>
      <c r="AH460" s="33"/>
      <c r="AI460" s="33"/>
    </row>
    <row r="461" ht="15.75" customHeight="1">
      <c r="AC461" s="171"/>
      <c r="AH461" s="33"/>
      <c r="AI461" s="33"/>
    </row>
    <row r="462" ht="15.75" customHeight="1">
      <c r="AC462" s="171"/>
      <c r="AH462" s="33"/>
      <c r="AI462" s="33"/>
    </row>
    <row r="463" ht="15.75" customHeight="1">
      <c r="AC463" s="171"/>
      <c r="AH463" s="33"/>
      <c r="AI463" s="33"/>
    </row>
    <row r="464" ht="15.75" customHeight="1">
      <c r="AC464" s="171"/>
      <c r="AH464" s="33"/>
      <c r="AI464" s="33"/>
    </row>
    <row r="465" ht="15.75" customHeight="1">
      <c r="AC465" s="171"/>
      <c r="AH465" s="33"/>
      <c r="AI465" s="33"/>
    </row>
    <row r="466" ht="15.75" customHeight="1">
      <c r="AC466" s="171"/>
      <c r="AH466" s="33"/>
      <c r="AI466" s="33"/>
    </row>
    <row r="467" ht="15.75" customHeight="1">
      <c r="AC467" s="171"/>
      <c r="AH467" s="33"/>
      <c r="AI467" s="33"/>
    </row>
    <row r="468" ht="15.75" customHeight="1">
      <c r="AC468" s="171"/>
      <c r="AH468" s="33"/>
      <c r="AI468" s="33"/>
    </row>
    <row r="469" ht="15.75" customHeight="1">
      <c r="AC469" s="171"/>
      <c r="AH469" s="33"/>
      <c r="AI469" s="33"/>
    </row>
    <row r="470" ht="15.75" customHeight="1">
      <c r="AC470" s="171"/>
      <c r="AH470" s="33"/>
      <c r="AI470" s="33"/>
    </row>
    <row r="471" ht="15.75" customHeight="1">
      <c r="AC471" s="171"/>
      <c r="AH471" s="33"/>
      <c r="AI471" s="33"/>
    </row>
    <row r="472" ht="15.75" customHeight="1">
      <c r="AC472" s="171"/>
      <c r="AH472" s="33"/>
      <c r="AI472" s="33"/>
    </row>
    <row r="473" ht="15.75" customHeight="1">
      <c r="AC473" s="171"/>
      <c r="AH473" s="33"/>
      <c r="AI473" s="33"/>
    </row>
    <row r="474" ht="15.75" customHeight="1">
      <c r="AC474" s="171"/>
      <c r="AH474" s="33"/>
      <c r="AI474" s="33"/>
    </row>
    <row r="475" ht="15.75" customHeight="1">
      <c r="AC475" s="171"/>
      <c r="AH475" s="33"/>
      <c r="AI475" s="33"/>
    </row>
    <row r="476" ht="15.75" customHeight="1">
      <c r="AC476" s="171"/>
      <c r="AH476" s="33"/>
      <c r="AI476" s="33"/>
    </row>
    <row r="477" ht="15.75" customHeight="1">
      <c r="AC477" s="171"/>
      <c r="AH477" s="33"/>
      <c r="AI477" s="33"/>
    </row>
    <row r="478" ht="15.75" customHeight="1">
      <c r="AC478" s="171"/>
      <c r="AH478" s="33"/>
      <c r="AI478" s="33"/>
    </row>
    <row r="479" ht="15.75" customHeight="1">
      <c r="AC479" s="171"/>
      <c r="AH479" s="33"/>
      <c r="AI479" s="33"/>
    </row>
    <row r="480" ht="15.75" customHeight="1">
      <c r="AC480" s="171"/>
      <c r="AH480" s="33"/>
      <c r="AI480" s="33"/>
    </row>
    <row r="481" ht="15.75" customHeight="1">
      <c r="AC481" s="171"/>
      <c r="AH481" s="33"/>
      <c r="AI481" s="33"/>
    </row>
    <row r="482" ht="15.75" customHeight="1">
      <c r="AC482" s="171"/>
      <c r="AH482" s="33"/>
      <c r="AI482" s="33"/>
    </row>
    <row r="483" ht="15.75" customHeight="1">
      <c r="AC483" s="171"/>
      <c r="AH483" s="33"/>
      <c r="AI483" s="33"/>
    </row>
    <row r="484" ht="15.75" customHeight="1">
      <c r="AC484" s="171"/>
      <c r="AH484" s="33"/>
      <c r="AI484" s="33"/>
    </row>
    <row r="485" ht="15.75" customHeight="1">
      <c r="AC485" s="171"/>
      <c r="AH485" s="33"/>
      <c r="AI485" s="33"/>
    </row>
    <row r="486" ht="15.75" customHeight="1">
      <c r="AC486" s="171"/>
      <c r="AH486" s="33"/>
      <c r="AI486" s="33"/>
    </row>
    <row r="487" ht="15.75" customHeight="1">
      <c r="AC487" s="171"/>
      <c r="AH487" s="33"/>
      <c r="AI487" s="33"/>
    </row>
    <row r="488" ht="15.75" customHeight="1">
      <c r="AC488" s="171"/>
      <c r="AH488" s="33"/>
      <c r="AI488" s="33"/>
    </row>
    <row r="489" ht="15.75" customHeight="1">
      <c r="AC489" s="171"/>
      <c r="AH489" s="33"/>
      <c r="AI489" s="33"/>
    </row>
    <row r="490" ht="15.75" customHeight="1">
      <c r="AC490" s="171"/>
      <c r="AH490" s="33"/>
      <c r="AI490" s="33"/>
    </row>
    <row r="491" ht="15.75" customHeight="1">
      <c r="AC491" s="171"/>
      <c r="AH491" s="33"/>
      <c r="AI491" s="33"/>
    </row>
    <row r="492" ht="15.75" customHeight="1">
      <c r="AC492" s="171"/>
      <c r="AH492" s="33"/>
      <c r="AI492" s="33"/>
    </row>
    <row r="493" ht="15.75" customHeight="1">
      <c r="AC493" s="171"/>
      <c r="AH493" s="33"/>
      <c r="AI493" s="33"/>
    </row>
    <row r="494" ht="15.75" customHeight="1">
      <c r="AC494" s="171"/>
      <c r="AH494" s="33"/>
      <c r="AI494" s="33"/>
    </row>
    <row r="495" ht="15.75" customHeight="1">
      <c r="AC495" s="171"/>
      <c r="AH495" s="33"/>
      <c r="AI495" s="33"/>
    </row>
    <row r="496" ht="15.75" customHeight="1">
      <c r="AC496" s="171"/>
      <c r="AH496" s="33"/>
      <c r="AI496" s="33"/>
    </row>
    <row r="497" ht="15.75" customHeight="1">
      <c r="AC497" s="171"/>
      <c r="AH497" s="33"/>
      <c r="AI497" s="33"/>
    </row>
    <row r="498" ht="15.75" customHeight="1">
      <c r="AC498" s="171"/>
      <c r="AH498" s="33"/>
      <c r="AI498" s="33"/>
    </row>
    <row r="499" ht="15.75" customHeight="1">
      <c r="AC499" s="171"/>
      <c r="AH499" s="33"/>
      <c r="AI499" s="33"/>
    </row>
    <row r="500" ht="15.75" customHeight="1">
      <c r="AC500" s="171"/>
      <c r="AH500" s="33"/>
      <c r="AI500" s="33"/>
    </row>
    <row r="501" ht="15.75" customHeight="1">
      <c r="AC501" s="171"/>
      <c r="AH501" s="33"/>
      <c r="AI501" s="33"/>
    </row>
    <row r="502" ht="15.75" customHeight="1">
      <c r="AC502" s="171"/>
      <c r="AH502" s="33"/>
      <c r="AI502" s="33"/>
    </row>
    <row r="503" ht="15.75" customHeight="1">
      <c r="AC503" s="171"/>
      <c r="AH503" s="33"/>
      <c r="AI503" s="33"/>
    </row>
    <row r="504" ht="15.75" customHeight="1">
      <c r="AC504" s="171"/>
      <c r="AH504" s="33"/>
      <c r="AI504" s="33"/>
    </row>
    <row r="505" ht="15.75" customHeight="1">
      <c r="AC505" s="171"/>
      <c r="AH505" s="33"/>
      <c r="AI505" s="33"/>
    </row>
    <row r="506" ht="15.75" customHeight="1">
      <c r="AC506" s="171"/>
      <c r="AH506" s="33"/>
      <c r="AI506" s="33"/>
    </row>
    <row r="507" ht="15.75" customHeight="1">
      <c r="AC507" s="171"/>
      <c r="AH507" s="33"/>
      <c r="AI507" s="33"/>
    </row>
    <row r="508" ht="15.75" customHeight="1">
      <c r="AC508" s="171"/>
      <c r="AH508" s="33"/>
      <c r="AI508" s="33"/>
    </row>
    <row r="509" ht="15.75" customHeight="1">
      <c r="AC509" s="171"/>
      <c r="AH509" s="33"/>
      <c r="AI509" s="33"/>
    </row>
    <row r="510" ht="15.75" customHeight="1">
      <c r="AC510" s="171"/>
      <c r="AH510" s="33"/>
      <c r="AI510" s="33"/>
    </row>
    <row r="511" ht="15.75" customHeight="1">
      <c r="AC511" s="171"/>
      <c r="AH511" s="33"/>
      <c r="AI511" s="33"/>
    </row>
    <row r="512" ht="15.75" customHeight="1">
      <c r="AC512" s="171"/>
      <c r="AH512" s="33"/>
      <c r="AI512" s="33"/>
    </row>
    <row r="513" ht="15.75" customHeight="1">
      <c r="AC513" s="171"/>
      <c r="AH513" s="33"/>
      <c r="AI513" s="33"/>
    </row>
    <row r="514" ht="15.75" customHeight="1">
      <c r="AC514" s="171"/>
      <c r="AH514" s="33"/>
      <c r="AI514" s="33"/>
    </row>
    <row r="515" ht="15.75" customHeight="1">
      <c r="AC515" s="171"/>
      <c r="AH515" s="33"/>
      <c r="AI515" s="33"/>
    </row>
    <row r="516" ht="15.75" customHeight="1">
      <c r="AC516" s="171"/>
      <c r="AH516" s="33"/>
      <c r="AI516" s="33"/>
    </row>
    <row r="517" ht="15.75" customHeight="1">
      <c r="AC517" s="171"/>
      <c r="AH517" s="33"/>
      <c r="AI517" s="33"/>
    </row>
    <row r="518" ht="15.75" customHeight="1">
      <c r="AC518" s="171"/>
      <c r="AH518" s="33"/>
      <c r="AI518" s="33"/>
    </row>
    <row r="519" ht="15.75" customHeight="1">
      <c r="AC519" s="171"/>
      <c r="AH519" s="33"/>
      <c r="AI519" s="33"/>
    </row>
    <row r="520" ht="15.75" customHeight="1">
      <c r="AC520" s="171"/>
      <c r="AH520" s="33"/>
      <c r="AI520" s="33"/>
    </row>
    <row r="521" ht="15.75" customHeight="1">
      <c r="AC521" s="171"/>
      <c r="AH521" s="33"/>
      <c r="AI521" s="33"/>
    </row>
    <row r="522" ht="15.75" customHeight="1">
      <c r="AC522" s="171"/>
      <c r="AH522" s="33"/>
      <c r="AI522" s="33"/>
    </row>
    <row r="523" ht="15.75" customHeight="1">
      <c r="AC523" s="171"/>
      <c r="AH523" s="33"/>
      <c r="AI523" s="33"/>
    </row>
    <row r="524" ht="15.75" customHeight="1">
      <c r="AC524" s="171"/>
      <c r="AH524" s="33"/>
      <c r="AI524" s="33"/>
    </row>
    <row r="525" ht="15.75" customHeight="1">
      <c r="AC525" s="171"/>
      <c r="AH525" s="33"/>
      <c r="AI525" s="33"/>
    </row>
    <row r="526" ht="15.75" customHeight="1">
      <c r="AC526" s="171"/>
      <c r="AH526" s="33"/>
      <c r="AI526" s="33"/>
    </row>
    <row r="527" ht="15.75" customHeight="1">
      <c r="AC527" s="171"/>
      <c r="AH527" s="33"/>
      <c r="AI527" s="33"/>
    </row>
    <row r="528" ht="15.75" customHeight="1">
      <c r="AC528" s="171"/>
      <c r="AH528" s="33"/>
      <c r="AI528" s="33"/>
    </row>
    <row r="529" ht="15.75" customHeight="1">
      <c r="AC529" s="171"/>
      <c r="AH529" s="33"/>
      <c r="AI529" s="33"/>
    </row>
    <row r="530" ht="15.75" customHeight="1">
      <c r="AC530" s="171"/>
      <c r="AH530" s="33"/>
      <c r="AI530" s="33"/>
    </row>
    <row r="531" ht="15.75" customHeight="1">
      <c r="AC531" s="171"/>
      <c r="AH531" s="33"/>
      <c r="AI531" s="33"/>
    </row>
    <row r="532" ht="15.75" customHeight="1">
      <c r="AC532" s="171"/>
      <c r="AH532" s="33"/>
      <c r="AI532" s="33"/>
    </row>
    <row r="533" ht="15.75" customHeight="1">
      <c r="AC533" s="171"/>
      <c r="AH533" s="33"/>
      <c r="AI533" s="33"/>
    </row>
    <row r="534" ht="15.75" customHeight="1">
      <c r="AC534" s="171"/>
      <c r="AH534" s="33"/>
      <c r="AI534" s="33"/>
    </row>
    <row r="535" ht="15.75" customHeight="1">
      <c r="AC535" s="171"/>
      <c r="AH535" s="33"/>
      <c r="AI535" s="33"/>
    </row>
    <row r="536" ht="15.75" customHeight="1">
      <c r="AC536" s="171"/>
      <c r="AH536" s="33"/>
      <c r="AI536" s="33"/>
    </row>
    <row r="537" ht="15.75" customHeight="1">
      <c r="AC537" s="171"/>
      <c r="AH537" s="33"/>
      <c r="AI537" s="33"/>
    </row>
    <row r="538" ht="15.75" customHeight="1">
      <c r="AC538" s="171"/>
      <c r="AH538" s="33"/>
      <c r="AI538" s="33"/>
    </row>
    <row r="539" ht="15.75" customHeight="1">
      <c r="AC539" s="171"/>
      <c r="AH539" s="33"/>
      <c r="AI539" s="33"/>
    </row>
    <row r="540" ht="15.75" customHeight="1">
      <c r="AC540" s="171"/>
      <c r="AH540" s="33"/>
      <c r="AI540" s="33"/>
    </row>
    <row r="541" ht="15.75" customHeight="1">
      <c r="AC541" s="171"/>
      <c r="AH541" s="33"/>
      <c r="AI541" s="33"/>
    </row>
    <row r="542" ht="15.75" customHeight="1">
      <c r="AC542" s="171"/>
      <c r="AH542" s="33"/>
      <c r="AI542" s="33"/>
    </row>
    <row r="543" ht="15.75" customHeight="1">
      <c r="AC543" s="171"/>
      <c r="AH543" s="33"/>
      <c r="AI543" s="33"/>
    </row>
    <row r="544" ht="15.75" customHeight="1">
      <c r="AC544" s="171"/>
      <c r="AH544" s="33"/>
      <c r="AI544" s="33"/>
    </row>
    <row r="545" ht="15.75" customHeight="1">
      <c r="AC545" s="171"/>
      <c r="AH545" s="33"/>
      <c r="AI545" s="33"/>
    </row>
    <row r="546" ht="15.75" customHeight="1">
      <c r="AC546" s="171"/>
      <c r="AH546" s="33"/>
      <c r="AI546" s="33"/>
    </row>
    <row r="547" ht="15.75" customHeight="1">
      <c r="AC547" s="171"/>
      <c r="AH547" s="33"/>
      <c r="AI547" s="33"/>
    </row>
    <row r="548" ht="15.75" customHeight="1">
      <c r="AC548" s="171"/>
      <c r="AH548" s="33"/>
      <c r="AI548" s="33"/>
    </row>
    <row r="549" ht="15.75" customHeight="1">
      <c r="AC549" s="171"/>
      <c r="AH549" s="33"/>
      <c r="AI549" s="33"/>
    </row>
    <row r="550" ht="15.75" customHeight="1">
      <c r="AC550" s="171"/>
      <c r="AH550" s="33"/>
      <c r="AI550" s="33"/>
    </row>
    <row r="551" ht="15.75" customHeight="1">
      <c r="AC551" s="171"/>
      <c r="AH551" s="33"/>
      <c r="AI551" s="33"/>
    </row>
    <row r="552" ht="15.75" customHeight="1">
      <c r="AC552" s="171"/>
      <c r="AH552" s="33"/>
      <c r="AI552" s="33"/>
    </row>
    <row r="553" ht="15.75" customHeight="1">
      <c r="AC553" s="171"/>
      <c r="AH553" s="33"/>
      <c r="AI553" s="33"/>
    </row>
    <row r="554" ht="15.75" customHeight="1">
      <c r="AC554" s="171"/>
      <c r="AH554" s="33"/>
      <c r="AI554" s="33"/>
    </row>
    <row r="555" ht="15.75" customHeight="1">
      <c r="AC555" s="171"/>
      <c r="AH555" s="33"/>
      <c r="AI555" s="33"/>
    </row>
    <row r="556" ht="15.75" customHeight="1">
      <c r="AC556" s="171"/>
      <c r="AH556" s="33"/>
      <c r="AI556" s="33"/>
    </row>
    <row r="557" ht="15.75" customHeight="1">
      <c r="AC557" s="171"/>
      <c r="AH557" s="33"/>
      <c r="AI557" s="33"/>
    </row>
    <row r="558" ht="15.75" customHeight="1">
      <c r="AC558" s="171"/>
      <c r="AH558" s="33"/>
      <c r="AI558" s="33"/>
    </row>
    <row r="559" ht="15.75" customHeight="1">
      <c r="AC559" s="171"/>
      <c r="AH559" s="33"/>
      <c r="AI559" s="33"/>
    </row>
    <row r="560" ht="15.75" customHeight="1">
      <c r="AC560" s="171"/>
      <c r="AH560" s="33"/>
      <c r="AI560" s="33"/>
    </row>
    <row r="561" ht="15.75" customHeight="1">
      <c r="AC561" s="171"/>
      <c r="AH561" s="33"/>
      <c r="AI561" s="33"/>
    </row>
    <row r="562" ht="15.75" customHeight="1">
      <c r="AC562" s="171"/>
      <c r="AH562" s="33"/>
      <c r="AI562" s="33"/>
    </row>
    <row r="563" ht="15.75" customHeight="1">
      <c r="AC563" s="171"/>
      <c r="AH563" s="33"/>
      <c r="AI563" s="33"/>
    </row>
    <row r="564" ht="15.75" customHeight="1">
      <c r="AC564" s="171"/>
      <c r="AH564" s="33"/>
      <c r="AI564" s="33"/>
    </row>
    <row r="565" ht="15.75" customHeight="1">
      <c r="AC565" s="171"/>
      <c r="AH565" s="33"/>
      <c r="AI565" s="33"/>
    </row>
    <row r="566" ht="15.75" customHeight="1">
      <c r="AC566" s="171"/>
      <c r="AH566" s="33"/>
      <c r="AI566" s="33"/>
    </row>
    <row r="567" ht="15.75" customHeight="1">
      <c r="AC567" s="171"/>
      <c r="AH567" s="33"/>
      <c r="AI567" s="33"/>
    </row>
    <row r="568" ht="15.75" customHeight="1">
      <c r="AC568" s="171"/>
      <c r="AH568" s="33"/>
      <c r="AI568" s="33"/>
    </row>
    <row r="569" ht="15.75" customHeight="1">
      <c r="AC569" s="171"/>
      <c r="AH569" s="33"/>
      <c r="AI569" s="33"/>
    </row>
    <row r="570" ht="15.75" customHeight="1">
      <c r="AC570" s="171"/>
      <c r="AH570" s="33"/>
      <c r="AI570" s="33"/>
    </row>
    <row r="571" ht="15.75" customHeight="1">
      <c r="AC571" s="171"/>
      <c r="AH571" s="33"/>
      <c r="AI571" s="33"/>
    </row>
    <row r="572" ht="15.75" customHeight="1">
      <c r="AC572" s="171"/>
      <c r="AH572" s="33"/>
      <c r="AI572" s="33"/>
    </row>
    <row r="573" ht="15.75" customHeight="1">
      <c r="AC573" s="171"/>
      <c r="AH573" s="33"/>
      <c r="AI573" s="33"/>
    </row>
    <row r="574" ht="15.75" customHeight="1">
      <c r="AC574" s="171"/>
      <c r="AH574" s="33"/>
      <c r="AI574" s="33"/>
    </row>
    <row r="575" ht="15.75" customHeight="1">
      <c r="AC575" s="171"/>
      <c r="AH575" s="33"/>
      <c r="AI575" s="33"/>
    </row>
    <row r="576" ht="15.75" customHeight="1">
      <c r="AC576" s="171"/>
      <c r="AH576" s="33"/>
      <c r="AI576" s="33"/>
    </row>
    <row r="577" ht="15.75" customHeight="1">
      <c r="AC577" s="171"/>
      <c r="AH577" s="33"/>
      <c r="AI577" s="33"/>
    </row>
    <row r="578" ht="15.75" customHeight="1">
      <c r="AC578" s="171"/>
      <c r="AH578" s="33"/>
      <c r="AI578" s="33"/>
    </row>
    <row r="579" ht="15.75" customHeight="1">
      <c r="AC579" s="171"/>
      <c r="AH579" s="33"/>
      <c r="AI579" s="33"/>
    </row>
    <row r="580" ht="15.75" customHeight="1">
      <c r="AC580" s="171"/>
      <c r="AH580" s="33"/>
      <c r="AI580" s="33"/>
    </row>
    <row r="581" ht="15.75" customHeight="1">
      <c r="AC581" s="171"/>
      <c r="AH581" s="33"/>
      <c r="AI581" s="33"/>
    </row>
    <row r="582" ht="15.75" customHeight="1">
      <c r="AC582" s="171"/>
      <c r="AH582" s="33"/>
      <c r="AI582" s="33"/>
    </row>
    <row r="583" ht="15.75" customHeight="1">
      <c r="AC583" s="171"/>
      <c r="AH583" s="33"/>
      <c r="AI583" s="33"/>
    </row>
    <row r="584" ht="15.75" customHeight="1">
      <c r="AC584" s="171"/>
      <c r="AH584" s="33"/>
      <c r="AI584" s="33"/>
    </row>
    <row r="585" ht="15.75" customHeight="1">
      <c r="AC585" s="171"/>
      <c r="AH585" s="33"/>
      <c r="AI585" s="33"/>
    </row>
    <row r="586" ht="15.75" customHeight="1">
      <c r="AC586" s="171"/>
      <c r="AH586" s="33"/>
      <c r="AI586" s="33"/>
    </row>
    <row r="587" ht="15.75" customHeight="1">
      <c r="AC587" s="171"/>
      <c r="AH587" s="33"/>
      <c r="AI587" s="33"/>
    </row>
    <row r="588" ht="15.75" customHeight="1">
      <c r="AC588" s="171"/>
      <c r="AH588" s="33"/>
      <c r="AI588" s="33"/>
    </row>
    <row r="589" ht="15.75" customHeight="1">
      <c r="AC589" s="171"/>
      <c r="AH589" s="33"/>
      <c r="AI589" s="33"/>
    </row>
    <row r="590" ht="15.75" customHeight="1">
      <c r="AC590" s="171"/>
      <c r="AH590" s="33"/>
      <c r="AI590" s="33"/>
    </row>
    <row r="591" ht="15.75" customHeight="1">
      <c r="AC591" s="171"/>
      <c r="AH591" s="33"/>
      <c r="AI591" s="33"/>
    </row>
    <row r="592" ht="15.75" customHeight="1">
      <c r="AC592" s="171"/>
      <c r="AH592" s="33"/>
      <c r="AI592" s="33"/>
    </row>
    <row r="593" ht="15.75" customHeight="1">
      <c r="AC593" s="171"/>
      <c r="AH593" s="33"/>
      <c r="AI593" s="33"/>
    </row>
    <row r="594" ht="15.75" customHeight="1">
      <c r="AC594" s="171"/>
      <c r="AH594" s="33"/>
      <c r="AI594" s="33"/>
    </row>
    <row r="595" ht="15.75" customHeight="1">
      <c r="AC595" s="171"/>
      <c r="AH595" s="33"/>
      <c r="AI595" s="33"/>
    </row>
    <row r="596" ht="15.75" customHeight="1">
      <c r="AC596" s="171"/>
      <c r="AH596" s="33"/>
      <c r="AI596" s="33"/>
    </row>
    <row r="597" ht="15.75" customHeight="1">
      <c r="AC597" s="171"/>
      <c r="AH597" s="33"/>
      <c r="AI597" s="33"/>
    </row>
    <row r="598" ht="15.75" customHeight="1">
      <c r="AC598" s="171"/>
      <c r="AH598" s="33"/>
      <c r="AI598" s="33"/>
    </row>
    <row r="599" ht="15.75" customHeight="1">
      <c r="AC599" s="171"/>
      <c r="AH599" s="33"/>
      <c r="AI599" s="33"/>
    </row>
    <row r="600" ht="15.75" customHeight="1">
      <c r="AC600" s="171"/>
      <c r="AH600" s="33"/>
      <c r="AI600" s="33"/>
    </row>
    <row r="601" ht="15.75" customHeight="1">
      <c r="AC601" s="171"/>
      <c r="AH601" s="33"/>
      <c r="AI601" s="33"/>
    </row>
    <row r="602" ht="15.75" customHeight="1">
      <c r="AC602" s="171"/>
      <c r="AH602" s="33"/>
      <c r="AI602" s="33"/>
    </row>
    <row r="603" ht="15.75" customHeight="1">
      <c r="AC603" s="171"/>
      <c r="AH603" s="33"/>
      <c r="AI603" s="33"/>
    </row>
    <row r="604" ht="15.75" customHeight="1">
      <c r="AC604" s="171"/>
      <c r="AH604" s="33"/>
      <c r="AI604" s="33"/>
    </row>
    <row r="605" ht="15.75" customHeight="1">
      <c r="AC605" s="171"/>
      <c r="AH605" s="33"/>
      <c r="AI605" s="33"/>
    </row>
    <row r="606" ht="15.75" customHeight="1">
      <c r="AC606" s="171"/>
      <c r="AH606" s="33"/>
      <c r="AI606" s="33"/>
    </row>
    <row r="607" ht="15.75" customHeight="1">
      <c r="AC607" s="171"/>
      <c r="AH607" s="33"/>
      <c r="AI607" s="33"/>
    </row>
    <row r="608" ht="15.75" customHeight="1">
      <c r="AC608" s="171"/>
      <c r="AH608" s="33"/>
      <c r="AI608" s="33"/>
    </row>
    <row r="609" ht="15.75" customHeight="1">
      <c r="AC609" s="171"/>
      <c r="AH609" s="33"/>
      <c r="AI609" s="33"/>
    </row>
    <row r="610" ht="15.75" customHeight="1">
      <c r="AC610" s="171"/>
      <c r="AH610" s="33"/>
      <c r="AI610" s="33"/>
    </row>
    <row r="611" ht="15.75" customHeight="1">
      <c r="AC611" s="171"/>
      <c r="AH611" s="33"/>
      <c r="AI611" s="33"/>
    </row>
    <row r="612" ht="15.75" customHeight="1">
      <c r="AC612" s="171"/>
      <c r="AH612" s="33"/>
      <c r="AI612" s="33"/>
    </row>
    <row r="613" ht="15.75" customHeight="1">
      <c r="AC613" s="171"/>
      <c r="AH613" s="33"/>
      <c r="AI613" s="33"/>
    </row>
    <row r="614" ht="15.75" customHeight="1">
      <c r="AC614" s="171"/>
      <c r="AH614" s="33"/>
      <c r="AI614" s="33"/>
    </row>
    <row r="615" ht="15.75" customHeight="1">
      <c r="AC615" s="171"/>
      <c r="AH615" s="33"/>
      <c r="AI615" s="33"/>
    </row>
    <row r="616" ht="15.75" customHeight="1">
      <c r="AC616" s="171"/>
      <c r="AH616" s="33"/>
      <c r="AI616" s="33"/>
    </row>
    <row r="617" ht="15.75" customHeight="1">
      <c r="AC617" s="171"/>
      <c r="AH617" s="33"/>
      <c r="AI617" s="33"/>
    </row>
    <row r="618" ht="15.75" customHeight="1">
      <c r="AC618" s="171"/>
      <c r="AH618" s="33"/>
      <c r="AI618" s="33"/>
    </row>
    <row r="619" ht="15.75" customHeight="1">
      <c r="AC619" s="171"/>
      <c r="AH619" s="33"/>
      <c r="AI619" s="33"/>
    </row>
    <row r="620" ht="15.75" customHeight="1">
      <c r="AC620" s="171"/>
      <c r="AH620" s="33"/>
      <c r="AI620" s="33"/>
    </row>
    <row r="621" ht="15.75" customHeight="1">
      <c r="AC621" s="171"/>
      <c r="AH621" s="33"/>
      <c r="AI621" s="33"/>
    </row>
    <row r="622" ht="15.75" customHeight="1">
      <c r="AC622" s="171"/>
      <c r="AH622" s="33"/>
      <c r="AI622" s="33"/>
    </row>
    <row r="623" ht="15.75" customHeight="1">
      <c r="AC623" s="171"/>
      <c r="AH623" s="33"/>
      <c r="AI623" s="33"/>
    </row>
    <row r="624" ht="15.75" customHeight="1">
      <c r="AC624" s="171"/>
      <c r="AH624" s="33"/>
      <c r="AI624" s="33"/>
    </row>
    <row r="625" ht="15.75" customHeight="1">
      <c r="AC625" s="171"/>
      <c r="AH625" s="33"/>
      <c r="AI625" s="33"/>
    </row>
    <row r="626" ht="15.75" customHeight="1">
      <c r="AC626" s="171"/>
      <c r="AH626" s="33"/>
      <c r="AI626" s="33"/>
    </row>
    <row r="627" ht="15.75" customHeight="1">
      <c r="AC627" s="171"/>
      <c r="AH627" s="33"/>
      <c r="AI627" s="33"/>
    </row>
    <row r="628" ht="15.75" customHeight="1">
      <c r="AC628" s="171"/>
      <c r="AH628" s="33"/>
      <c r="AI628" s="33"/>
    </row>
    <row r="629" ht="15.75" customHeight="1">
      <c r="AC629" s="171"/>
      <c r="AH629" s="33"/>
      <c r="AI629" s="33"/>
    </row>
    <row r="630" ht="15.75" customHeight="1">
      <c r="AC630" s="171"/>
      <c r="AH630" s="33"/>
      <c r="AI630" s="33"/>
    </row>
    <row r="631" ht="15.75" customHeight="1">
      <c r="AC631" s="171"/>
      <c r="AH631" s="33"/>
      <c r="AI631" s="33"/>
    </row>
    <row r="632" ht="15.75" customHeight="1">
      <c r="AC632" s="171"/>
      <c r="AH632" s="33"/>
      <c r="AI632" s="33"/>
    </row>
    <row r="633" ht="15.75" customHeight="1">
      <c r="AC633" s="171"/>
      <c r="AH633" s="33"/>
      <c r="AI633" s="33"/>
    </row>
    <row r="634" ht="15.75" customHeight="1">
      <c r="AC634" s="171"/>
      <c r="AH634" s="33"/>
      <c r="AI634" s="33"/>
    </row>
    <row r="635" ht="15.75" customHeight="1">
      <c r="AC635" s="171"/>
      <c r="AH635" s="33"/>
      <c r="AI635" s="33"/>
    </row>
    <row r="636" ht="15.75" customHeight="1">
      <c r="AC636" s="171"/>
      <c r="AH636" s="33"/>
      <c r="AI636" s="33"/>
    </row>
    <row r="637" ht="15.75" customHeight="1">
      <c r="AC637" s="171"/>
      <c r="AH637" s="33"/>
      <c r="AI637" s="33"/>
    </row>
    <row r="638" ht="15.75" customHeight="1">
      <c r="AC638" s="171"/>
      <c r="AH638" s="33"/>
      <c r="AI638" s="33"/>
    </row>
    <row r="639" ht="15.75" customHeight="1">
      <c r="AC639" s="171"/>
      <c r="AH639" s="33"/>
      <c r="AI639" s="33"/>
    </row>
    <row r="640" ht="15.75" customHeight="1">
      <c r="AC640" s="171"/>
      <c r="AH640" s="33"/>
      <c r="AI640" s="33"/>
    </row>
    <row r="641" ht="15.75" customHeight="1">
      <c r="AC641" s="171"/>
      <c r="AH641" s="33"/>
      <c r="AI641" s="33"/>
    </row>
    <row r="642" ht="15.75" customHeight="1">
      <c r="AC642" s="171"/>
      <c r="AH642" s="33"/>
      <c r="AI642" s="33"/>
    </row>
    <row r="643" ht="15.75" customHeight="1">
      <c r="AC643" s="171"/>
      <c r="AH643" s="33"/>
      <c r="AI643" s="33"/>
    </row>
    <row r="644" ht="15.75" customHeight="1">
      <c r="AC644" s="171"/>
      <c r="AH644" s="33"/>
      <c r="AI644" s="33"/>
    </row>
    <row r="645" ht="15.75" customHeight="1">
      <c r="AC645" s="171"/>
      <c r="AH645" s="33"/>
      <c r="AI645" s="33"/>
    </row>
    <row r="646" ht="15.75" customHeight="1">
      <c r="AC646" s="171"/>
      <c r="AH646" s="33"/>
      <c r="AI646" s="33"/>
    </row>
    <row r="647" ht="15.75" customHeight="1">
      <c r="AC647" s="171"/>
      <c r="AH647" s="33"/>
      <c r="AI647" s="33"/>
    </row>
    <row r="648" ht="15.75" customHeight="1">
      <c r="AC648" s="171"/>
      <c r="AH648" s="33"/>
      <c r="AI648" s="33"/>
    </row>
    <row r="649" ht="15.75" customHeight="1">
      <c r="AC649" s="171"/>
      <c r="AH649" s="33"/>
      <c r="AI649" s="33"/>
    </row>
    <row r="650" ht="15.75" customHeight="1">
      <c r="AC650" s="171"/>
      <c r="AH650" s="33"/>
      <c r="AI650" s="33"/>
    </row>
    <row r="651" ht="15.75" customHeight="1">
      <c r="AC651" s="171"/>
      <c r="AH651" s="33"/>
      <c r="AI651" s="33"/>
    </row>
    <row r="652" ht="15.75" customHeight="1">
      <c r="AC652" s="171"/>
      <c r="AH652" s="33"/>
      <c r="AI652" s="33"/>
    </row>
    <row r="653" ht="15.75" customHeight="1">
      <c r="AC653" s="171"/>
      <c r="AH653" s="33"/>
      <c r="AI653" s="33"/>
    </row>
    <row r="654" ht="15.75" customHeight="1">
      <c r="AC654" s="171"/>
      <c r="AH654" s="33"/>
      <c r="AI654" s="33"/>
    </row>
    <row r="655" ht="15.75" customHeight="1">
      <c r="AC655" s="171"/>
      <c r="AH655" s="33"/>
      <c r="AI655" s="33"/>
    </row>
    <row r="656" ht="15.75" customHeight="1">
      <c r="AC656" s="171"/>
      <c r="AH656" s="33"/>
      <c r="AI656" s="33"/>
    </row>
    <row r="657" ht="15.75" customHeight="1">
      <c r="AC657" s="171"/>
      <c r="AH657" s="33"/>
      <c r="AI657" s="33"/>
    </row>
    <row r="658" ht="15.75" customHeight="1">
      <c r="AC658" s="171"/>
      <c r="AH658" s="33"/>
      <c r="AI658" s="33"/>
    </row>
    <row r="659" ht="15.75" customHeight="1">
      <c r="AC659" s="171"/>
      <c r="AH659" s="33"/>
      <c r="AI659" s="33"/>
    </row>
    <row r="660" ht="15.75" customHeight="1">
      <c r="AC660" s="171"/>
      <c r="AH660" s="33"/>
      <c r="AI660" s="33"/>
    </row>
    <row r="661" ht="15.75" customHeight="1">
      <c r="AC661" s="171"/>
      <c r="AH661" s="33"/>
      <c r="AI661" s="33"/>
    </row>
    <row r="662" ht="15.75" customHeight="1">
      <c r="AC662" s="171"/>
      <c r="AH662" s="33"/>
      <c r="AI662" s="33"/>
    </row>
    <row r="663" ht="15.75" customHeight="1">
      <c r="AC663" s="171"/>
      <c r="AH663" s="33"/>
      <c r="AI663" s="33"/>
    </row>
    <row r="664" ht="15.75" customHeight="1">
      <c r="AC664" s="171"/>
      <c r="AH664" s="33"/>
      <c r="AI664" s="33"/>
    </row>
    <row r="665" ht="15.75" customHeight="1">
      <c r="AC665" s="171"/>
      <c r="AH665" s="33"/>
      <c r="AI665" s="33"/>
    </row>
    <row r="666" ht="15.75" customHeight="1">
      <c r="AC666" s="171"/>
      <c r="AH666" s="33"/>
      <c r="AI666" s="33"/>
    </row>
    <row r="667" ht="15.75" customHeight="1">
      <c r="AC667" s="171"/>
      <c r="AH667" s="33"/>
      <c r="AI667" s="33"/>
    </row>
    <row r="668" ht="15.75" customHeight="1">
      <c r="AC668" s="171"/>
      <c r="AH668" s="33"/>
      <c r="AI668" s="33"/>
    </row>
    <row r="669" ht="15.75" customHeight="1">
      <c r="AC669" s="171"/>
      <c r="AH669" s="33"/>
      <c r="AI669" s="33"/>
    </row>
    <row r="670" ht="15.75" customHeight="1">
      <c r="AC670" s="171"/>
      <c r="AH670" s="33"/>
      <c r="AI670" s="33"/>
    </row>
    <row r="671" ht="15.75" customHeight="1">
      <c r="AC671" s="171"/>
      <c r="AH671" s="33"/>
      <c r="AI671" s="33"/>
    </row>
    <row r="672" ht="15.75" customHeight="1">
      <c r="AC672" s="171"/>
      <c r="AH672" s="33"/>
      <c r="AI672" s="33"/>
    </row>
    <row r="673" ht="15.75" customHeight="1">
      <c r="AC673" s="171"/>
      <c r="AH673" s="33"/>
      <c r="AI673" s="33"/>
    </row>
    <row r="674" ht="15.75" customHeight="1">
      <c r="AC674" s="171"/>
      <c r="AH674" s="33"/>
      <c r="AI674" s="33"/>
    </row>
    <row r="675" ht="15.75" customHeight="1">
      <c r="AC675" s="171"/>
      <c r="AH675" s="33"/>
      <c r="AI675" s="33"/>
    </row>
    <row r="676" ht="15.75" customHeight="1">
      <c r="AC676" s="171"/>
      <c r="AH676" s="33"/>
      <c r="AI676" s="33"/>
    </row>
    <row r="677" ht="15.75" customHeight="1">
      <c r="AC677" s="171"/>
      <c r="AH677" s="33"/>
      <c r="AI677" s="33"/>
    </row>
    <row r="678" ht="15.75" customHeight="1">
      <c r="AC678" s="171"/>
      <c r="AH678" s="33"/>
      <c r="AI678" s="33"/>
    </row>
    <row r="679" ht="15.75" customHeight="1">
      <c r="AC679" s="171"/>
      <c r="AH679" s="33"/>
      <c r="AI679" s="33"/>
    </row>
    <row r="680" ht="15.75" customHeight="1">
      <c r="AC680" s="171"/>
      <c r="AH680" s="33"/>
      <c r="AI680" s="33"/>
    </row>
    <row r="681" ht="15.75" customHeight="1">
      <c r="AC681" s="171"/>
      <c r="AH681" s="33"/>
      <c r="AI681" s="33"/>
    </row>
    <row r="682" ht="15.75" customHeight="1">
      <c r="AC682" s="171"/>
      <c r="AH682" s="33"/>
      <c r="AI682" s="33"/>
    </row>
    <row r="683" ht="15.75" customHeight="1">
      <c r="AC683" s="171"/>
      <c r="AH683" s="33"/>
      <c r="AI683" s="33"/>
    </row>
    <row r="684" ht="15.75" customHeight="1">
      <c r="AC684" s="171"/>
      <c r="AH684" s="33"/>
      <c r="AI684" s="33"/>
    </row>
    <row r="685" ht="15.75" customHeight="1">
      <c r="AC685" s="171"/>
      <c r="AH685" s="33"/>
      <c r="AI685" s="33"/>
    </row>
    <row r="686" ht="15.75" customHeight="1">
      <c r="AC686" s="171"/>
      <c r="AH686" s="33"/>
      <c r="AI686" s="33"/>
    </row>
    <row r="687" ht="15.75" customHeight="1">
      <c r="AC687" s="171"/>
      <c r="AH687" s="33"/>
      <c r="AI687" s="33"/>
    </row>
    <row r="688" ht="15.75" customHeight="1">
      <c r="AC688" s="171"/>
      <c r="AH688" s="33"/>
      <c r="AI688" s="33"/>
    </row>
    <row r="689" ht="15.75" customHeight="1">
      <c r="AC689" s="171"/>
      <c r="AH689" s="33"/>
      <c r="AI689" s="33"/>
    </row>
    <row r="690" ht="15.75" customHeight="1">
      <c r="AC690" s="171"/>
      <c r="AH690" s="33"/>
      <c r="AI690" s="33"/>
    </row>
    <row r="691" ht="15.75" customHeight="1">
      <c r="AC691" s="171"/>
      <c r="AH691" s="33"/>
      <c r="AI691" s="33"/>
    </row>
    <row r="692" ht="15.75" customHeight="1">
      <c r="AC692" s="171"/>
      <c r="AH692" s="33"/>
      <c r="AI692" s="33"/>
    </row>
    <row r="693" ht="15.75" customHeight="1">
      <c r="AC693" s="171"/>
      <c r="AH693" s="33"/>
      <c r="AI693" s="33"/>
    </row>
    <row r="694" ht="15.75" customHeight="1">
      <c r="AC694" s="171"/>
      <c r="AH694" s="33"/>
      <c r="AI694" s="33"/>
    </row>
    <row r="695" ht="15.75" customHeight="1">
      <c r="AC695" s="171"/>
      <c r="AH695" s="33"/>
      <c r="AI695" s="33"/>
    </row>
    <row r="696" ht="15.75" customHeight="1">
      <c r="AC696" s="171"/>
      <c r="AH696" s="33"/>
      <c r="AI696" s="33"/>
    </row>
    <row r="697" ht="15.75" customHeight="1">
      <c r="AC697" s="171"/>
      <c r="AH697" s="33"/>
      <c r="AI697" s="33"/>
    </row>
    <row r="698" ht="15.75" customHeight="1">
      <c r="AC698" s="171"/>
      <c r="AH698" s="33"/>
      <c r="AI698" s="33"/>
    </row>
    <row r="699" ht="15.75" customHeight="1">
      <c r="AC699" s="171"/>
      <c r="AH699" s="33"/>
      <c r="AI699" s="33"/>
    </row>
    <row r="700" ht="15.75" customHeight="1">
      <c r="AC700" s="171"/>
      <c r="AH700" s="33"/>
      <c r="AI700" s="33"/>
    </row>
    <row r="701" ht="15.75" customHeight="1">
      <c r="AC701" s="171"/>
      <c r="AH701" s="33"/>
      <c r="AI701" s="33"/>
    </row>
    <row r="702" ht="15.75" customHeight="1">
      <c r="AC702" s="171"/>
      <c r="AH702" s="33"/>
      <c r="AI702" s="33"/>
    </row>
    <row r="703" ht="15.75" customHeight="1">
      <c r="AC703" s="171"/>
      <c r="AH703" s="33"/>
      <c r="AI703" s="33"/>
    </row>
    <row r="704" ht="15.75" customHeight="1">
      <c r="AC704" s="171"/>
      <c r="AH704" s="33"/>
      <c r="AI704" s="33"/>
    </row>
    <row r="705" ht="15.75" customHeight="1">
      <c r="AC705" s="171"/>
      <c r="AH705" s="33"/>
      <c r="AI705" s="33"/>
    </row>
    <row r="706" ht="15.75" customHeight="1">
      <c r="AC706" s="171"/>
      <c r="AH706" s="33"/>
      <c r="AI706" s="33"/>
    </row>
    <row r="707" ht="15.75" customHeight="1">
      <c r="AC707" s="171"/>
      <c r="AH707" s="33"/>
      <c r="AI707" s="33"/>
    </row>
    <row r="708" ht="15.75" customHeight="1">
      <c r="AC708" s="171"/>
      <c r="AH708" s="33"/>
      <c r="AI708" s="33"/>
    </row>
    <row r="709" ht="15.75" customHeight="1">
      <c r="AC709" s="171"/>
      <c r="AH709" s="33"/>
      <c r="AI709" s="33"/>
    </row>
    <row r="710" ht="15.75" customHeight="1">
      <c r="AC710" s="171"/>
      <c r="AH710" s="33"/>
      <c r="AI710" s="33"/>
    </row>
    <row r="711" ht="15.75" customHeight="1">
      <c r="AC711" s="171"/>
      <c r="AH711" s="33"/>
      <c r="AI711" s="33"/>
    </row>
    <row r="712" ht="15.75" customHeight="1">
      <c r="AC712" s="171"/>
      <c r="AH712" s="33"/>
      <c r="AI712" s="33"/>
    </row>
    <row r="713" ht="15.75" customHeight="1">
      <c r="AC713" s="171"/>
      <c r="AH713" s="33"/>
      <c r="AI713" s="33"/>
    </row>
    <row r="714" ht="15.75" customHeight="1">
      <c r="AC714" s="171"/>
      <c r="AH714" s="33"/>
      <c r="AI714" s="33"/>
    </row>
    <row r="715" ht="15.75" customHeight="1">
      <c r="AC715" s="171"/>
      <c r="AH715" s="33"/>
      <c r="AI715" s="33"/>
    </row>
    <row r="716" ht="15.75" customHeight="1">
      <c r="AC716" s="171"/>
      <c r="AH716" s="33"/>
      <c r="AI716" s="33"/>
    </row>
    <row r="717" ht="15.75" customHeight="1">
      <c r="AC717" s="171"/>
      <c r="AH717" s="33"/>
      <c r="AI717" s="33"/>
    </row>
    <row r="718" ht="15.75" customHeight="1">
      <c r="AC718" s="171"/>
      <c r="AH718" s="33"/>
      <c r="AI718" s="33"/>
    </row>
    <row r="719" ht="15.75" customHeight="1">
      <c r="AC719" s="171"/>
      <c r="AH719" s="33"/>
      <c r="AI719" s="33"/>
    </row>
    <row r="720" ht="15.75" customHeight="1">
      <c r="AC720" s="171"/>
      <c r="AH720" s="33"/>
      <c r="AI720" s="33"/>
    </row>
    <row r="721" ht="15.75" customHeight="1">
      <c r="AC721" s="171"/>
      <c r="AH721" s="33"/>
      <c r="AI721" s="33"/>
    </row>
    <row r="722" ht="15.75" customHeight="1">
      <c r="AC722" s="171"/>
      <c r="AH722" s="33"/>
      <c r="AI722" s="33"/>
    </row>
    <row r="723" ht="15.75" customHeight="1">
      <c r="AC723" s="171"/>
      <c r="AH723" s="33"/>
      <c r="AI723" s="33"/>
    </row>
    <row r="724" ht="15.75" customHeight="1">
      <c r="AC724" s="171"/>
      <c r="AH724" s="33"/>
      <c r="AI724" s="33"/>
    </row>
    <row r="725" ht="15.75" customHeight="1">
      <c r="AC725" s="171"/>
      <c r="AH725" s="33"/>
      <c r="AI725" s="33"/>
    </row>
    <row r="726" ht="15.75" customHeight="1">
      <c r="AC726" s="171"/>
      <c r="AH726" s="33"/>
      <c r="AI726" s="33"/>
    </row>
    <row r="727" ht="15.75" customHeight="1">
      <c r="AC727" s="171"/>
      <c r="AH727" s="33"/>
      <c r="AI727" s="33"/>
    </row>
    <row r="728" ht="15.75" customHeight="1">
      <c r="AC728" s="171"/>
      <c r="AH728" s="33"/>
      <c r="AI728" s="33"/>
    </row>
    <row r="729" ht="15.75" customHeight="1">
      <c r="AC729" s="171"/>
      <c r="AH729" s="33"/>
      <c r="AI729" s="33"/>
    </row>
    <row r="730" ht="15.75" customHeight="1">
      <c r="AC730" s="171"/>
      <c r="AH730" s="33"/>
      <c r="AI730" s="33"/>
    </row>
    <row r="731" ht="15.75" customHeight="1">
      <c r="AC731" s="171"/>
      <c r="AH731" s="33"/>
      <c r="AI731" s="33"/>
    </row>
    <row r="732" ht="15.75" customHeight="1">
      <c r="AC732" s="171"/>
      <c r="AH732" s="33"/>
      <c r="AI732" s="33"/>
    </row>
    <row r="733" ht="15.75" customHeight="1">
      <c r="AC733" s="171"/>
      <c r="AH733" s="33"/>
      <c r="AI733" s="33"/>
    </row>
    <row r="734" ht="15.75" customHeight="1">
      <c r="AC734" s="171"/>
      <c r="AH734" s="33"/>
      <c r="AI734" s="33"/>
    </row>
    <row r="735" ht="15.75" customHeight="1">
      <c r="AC735" s="171"/>
      <c r="AH735" s="33"/>
      <c r="AI735" s="33"/>
    </row>
    <row r="736" ht="15.75" customHeight="1">
      <c r="AC736" s="171"/>
      <c r="AH736" s="33"/>
      <c r="AI736" s="33"/>
    </row>
    <row r="737" ht="15.75" customHeight="1">
      <c r="AC737" s="171"/>
      <c r="AH737" s="33"/>
      <c r="AI737" s="33"/>
    </row>
    <row r="738" ht="15.75" customHeight="1">
      <c r="AC738" s="171"/>
      <c r="AH738" s="33"/>
      <c r="AI738" s="33"/>
    </row>
    <row r="739" ht="15.75" customHeight="1">
      <c r="AC739" s="171"/>
      <c r="AH739" s="33"/>
      <c r="AI739" s="33"/>
    </row>
    <row r="740" ht="15.75" customHeight="1">
      <c r="AC740" s="171"/>
      <c r="AH740" s="33"/>
      <c r="AI740" s="33"/>
    </row>
    <row r="741" ht="15.75" customHeight="1">
      <c r="AC741" s="171"/>
      <c r="AH741" s="33"/>
      <c r="AI741" s="33"/>
    </row>
    <row r="742" ht="15.75" customHeight="1">
      <c r="AC742" s="171"/>
      <c r="AH742" s="33"/>
      <c r="AI742" s="33"/>
    </row>
    <row r="743" ht="15.75" customHeight="1">
      <c r="AC743" s="171"/>
      <c r="AH743" s="33"/>
      <c r="AI743" s="33"/>
    </row>
    <row r="744" ht="15.75" customHeight="1">
      <c r="AC744" s="171"/>
      <c r="AH744" s="33"/>
      <c r="AI744" s="33"/>
    </row>
    <row r="745" ht="15.75" customHeight="1">
      <c r="AC745" s="171"/>
      <c r="AH745" s="33"/>
      <c r="AI745" s="33"/>
    </row>
    <row r="746" ht="15.75" customHeight="1">
      <c r="AC746" s="171"/>
      <c r="AH746" s="33"/>
      <c r="AI746" s="33"/>
    </row>
    <row r="747" ht="15.75" customHeight="1">
      <c r="AC747" s="171"/>
      <c r="AH747" s="33"/>
      <c r="AI747" s="33"/>
    </row>
    <row r="748" ht="15.75" customHeight="1">
      <c r="AC748" s="171"/>
      <c r="AH748" s="33"/>
      <c r="AI748" s="33"/>
    </row>
    <row r="749" ht="15.75" customHeight="1">
      <c r="AC749" s="171"/>
      <c r="AH749" s="33"/>
      <c r="AI749" s="33"/>
    </row>
    <row r="750" ht="15.75" customHeight="1">
      <c r="AC750" s="171"/>
      <c r="AH750" s="33"/>
      <c r="AI750" s="33"/>
    </row>
    <row r="751" ht="15.75" customHeight="1">
      <c r="AC751" s="171"/>
      <c r="AH751" s="33"/>
      <c r="AI751" s="33"/>
    </row>
    <row r="752" ht="15.75" customHeight="1">
      <c r="AC752" s="171"/>
      <c r="AH752" s="33"/>
      <c r="AI752" s="33"/>
    </row>
    <row r="753" ht="15.75" customHeight="1">
      <c r="AC753" s="171"/>
      <c r="AH753" s="33"/>
      <c r="AI753" s="33"/>
    </row>
    <row r="754" ht="15.75" customHeight="1">
      <c r="AC754" s="171"/>
      <c r="AH754" s="33"/>
      <c r="AI754" s="33"/>
    </row>
    <row r="755" ht="15.75" customHeight="1">
      <c r="AC755" s="171"/>
      <c r="AH755" s="33"/>
      <c r="AI755" s="33"/>
    </row>
    <row r="756" ht="15.75" customHeight="1">
      <c r="AC756" s="171"/>
      <c r="AH756" s="33"/>
      <c r="AI756" s="33"/>
    </row>
    <row r="757" ht="15.75" customHeight="1">
      <c r="AC757" s="171"/>
      <c r="AH757" s="33"/>
      <c r="AI757" s="33"/>
    </row>
    <row r="758" ht="15.75" customHeight="1">
      <c r="AC758" s="171"/>
      <c r="AH758" s="33"/>
      <c r="AI758" s="33"/>
    </row>
    <row r="759" ht="15.75" customHeight="1">
      <c r="AC759" s="171"/>
      <c r="AH759" s="33"/>
      <c r="AI759" s="33"/>
    </row>
    <row r="760" ht="15.75" customHeight="1">
      <c r="AC760" s="171"/>
      <c r="AH760" s="33"/>
      <c r="AI760" s="33"/>
    </row>
    <row r="761" ht="15.75" customHeight="1">
      <c r="AC761" s="171"/>
      <c r="AH761" s="33"/>
      <c r="AI761" s="33"/>
    </row>
    <row r="762" ht="15.75" customHeight="1">
      <c r="AC762" s="171"/>
      <c r="AH762" s="33"/>
      <c r="AI762" s="33"/>
    </row>
    <row r="763" ht="15.75" customHeight="1">
      <c r="AC763" s="171"/>
      <c r="AH763" s="33"/>
      <c r="AI763" s="33"/>
    </row>
    <row r="764" ht="15.75" customHeight="1">
      <c r="AC764" s="171"/>
      <c r="AH764" s="33"/>
      <c r="AI764" s="33"/>
    </row>
    <row r="765" ht="15.75" customHeight="1">
      <c r="AC765" s="171"/>
      <c r="AH765" s="33"/>
      <c r="AI765" s="33"/>
    </row>
    <row r="766" ht="15.75" customHeight="1">
      <c r="AC766" s="171"/>
      <c r="AH766" s="33"/>
      <c r="AI766" s="33"/>
    </row>
    <row r="767" ht="15.75" customHeight="1">
      <c r="AC767" s="171"/>
      <c r="AH767" s="33"/>
      <c r="AI767" s="33"/>
    </row>
    <row r="768" ht="15.75" customHeight="1">
      <c r="AC768" s="171"/>
      <c r="AH768" s="33"/>
      <c r="AI768" s="33"/>
    </row>
    <row r="769" ht="15.75" customHeight="1">
      <c r="AC769" s="171"/>
      <c r="AH769" s="33"/>
      <c r="AI769" s="33"/>
    </row>
    <row r="770" ht="15.75" customHeight="1">
      <c r="AC770" s="171"/>
      <c r="AH770" s="33"/>
      <c r="AI770" s="33"/>
    </row>
    <row r="771" ht="15.75" customHeight="1">
      <c r="AC771" s="171"/>
      <c r="AH771" s="33"/>
      <c r="AI771" s="33"/>
    </row>
    <row r="772" ht="15.75" customHeight="1">
      <c r="AC772" s="171"/>
      <c r="AH772" s="33"/>
      <c r="AI772" s="33"/>
    </row>
    <row r="773" ht="15.75" customHeight="1">
      <c r="AC773" s="171"/>
      <c r="AH773" s="33"/>
      <c r="AI773" s="33"/>
    </row>
    <row r="774" ht="15.75" customHeight="1">
      <c r="AC774" s="171"/>
      <c r="AH774" s="33"/>
      <c r="AI774" s="33"/>
    </row>
    <row r="775" ht="15.75" customHeight="1">
      <c r="AC775" s="171"/>
      <c r="AH775" s="33"/>
      <c r="AI775" s="33"/>
    </row>
    <row r="776" ht="15.75" customHeight="1">
      <c r="AC776" s="171"/>
      <c r="AH776" s="33"/>
      <c r="AI776" s="33"/>
    </row>
    <row r="777" ht="15.75" customHeight="1">
      <c r="AC777" s="171"/>
      <c r="AH777" s="33"/>
      <c r="AI777" s="33"/>
    </row>
    <row r="778" ht="15.75" customHeight="1">
      <c r="AC778" s="171"/>
      <c r="AH778" s="33"/>
      <c r="AI778" s="33"/>
    </row>
    <row r="779" ht="15.75" customHeight="1">
      <c r="AC779" s="171"/>
      <c r="AH779" s="33"/>
      <c r="AI779" s="33"/>
    </row>
    <row r="780" ht="15.75" customHeight="1">
      <c r="AC780" s="171"/>
      <c r="AH780" s="33"/>
      <c r="AI780" s="33"/>
    </row>
    <row r="781" ht="15.75" customHeight="1">
      <c r="AC781" s="171"/>
      <c r="AH781" s="33"/>
      <c r="AI781" s="33"/>
    </row>
    <row r="782" ht="15.75" customHeight="1">
      <c r="AC782" s="171"/>
      <c r="AH782" s="33"/>
      <c r="AI782" s="33"/>
    </row>
    <row r="783" ht="15.75" customHeight="1">
      <c r="AC783" s="171"/>
      <c r="AH783" s="33"/>
      <c r="AI783" s="33"/>
    </row>
    <row r="784" ht="15.75" customHeight="1">
      <c r="AC784" s="171"/>
      <c r="AH784" s="33"/>
      <c r="AI784" s="33"/>
    </row>
    <row r="785" ht="15.75" customHeight="1">
      <c r="AC785" s="171"/>
      <c r="AH785" s="33"/>
      <c r="AI785" s="33"/>
    </row>
    <row r="786" ht="15.75" customHeight="1">
      <c r="AC786" s="171"/>
      <c r="AH786" s="33"/>
      <c r="AI786" s="33"/>
    </row>
    <row r="787" ht="15.75" customHeight="1">
      <c r="AC787" s="171"/>
      <c r="AH787" s="33"/>
      <c r="AI787" s="33"/>
    </row>
    <row r="788" ht="15.75" customHeight="1">
      <c r="AC788" s="171"/>
      <c r="AH788" s="33"/>
      <c r="AI788" s="33"/>
    </row>
    <row r="789" ht="15.75" customHeight="1">
      <c r="AC789" s="171"/>
      <c r="AH789" s="33"/>
      <c r="AI789" s="33"/>
    </row>
    <row r="790" ht="15.75" customHeight="1">
      <c r="AC790" s="171"/>
      <c r="AH790" s="33"/>
      <c r="AI790" s="33"/>
    </row>
    <row r="791" ht="15.75" customHeight="1">
      <c r="AC791" s="171"/>
      <c r="AH791" s="33"/>
      <c r="AI791" s="33"/>
    </row>
    <row r="792" ht="15.75" customHeight="1">
      <c r="AC792" s="171"/>
      <c r="AH792" s="33"/>
      <c r="AI792" s="33"/>
    </row>
    <row r="793" ht="15.75" customHeight="1">
      <c r="AC793" s="171"/>
      <c r="AH793" s="33"/>
      <c r="AI793" s="33"/>
    </row>
    <row r="794" ht="15.75" customHeight="1">
      <c r="AC794" s="171"/>
      <c r="AH794" s="33"/>
      <c r="AI794" s="33"/>
    </row>
    <row r="795" ht="15.75" customHeight="1">
      <c r="AC795" s="171"/>
      <c r="AH795" s="33"/>
      <c r="AI795" s="33"/>
    </row>
    <row r="796" ht="15.75" customHeight="1">
      <c r="AC796" s="171"/>
      <c r="AH796" s="33"/>
      <c r="AI796" s="33"/>
    </row>
    <row r="797" ht="15.75" customHeight="1">
      <c r="AC797" s="171"/>
      <c r="AH797" s="33"/>
      <c r="AI797" s="33"/>
    </row>
    <row r="798" ht="15.75" customHeight="1">
      <c r="AC798" s="171"/>
      <c r="AH798" s="33"/>
      <c r="AI798" s="33"/>
    </row>
    <row r="799" ht="15.75" customHeight="1">
      <c r="AC799" s="171"/>
      <c r="AH799" s="33"/>
      <c r="AI799" s="33"/>
    </row>
    <row r="800" ht="15.75" customHeight="1">
      <c r="AC800" s="171"/>
      <c r="AH800" s="33"/>
      <c r="AI800" s="33"/>
    </row>
    <row r="801" ht="15.75" customHeight="1">
      <c r="AC801" s="171"/>
      <c r="AH801" s="33"/>
      <c r="AI801" s="33"/>
    </row>
    <row r="802" ht="15.75" customHeight="1">
      <c r="AC802" s="171"/>
      <c r="AH802" s="33"/>
      <c r="AI802" s="33"/>
    </row>
    <row r="803" ht="15.75" customHeight="1">
      <c r="AC803" s="171"/>
      <c r="AH803" s="33"/>
      <c r="AI803" s="33"/>
    </row>
    <row r="804" ht="15.75" customHeight="1">
      <c r="AC804" s="171"/>
      <c r="AH804" s="33"/>
      <c r="AI804" s="33"/>
    </row>
    <row r="805" ht="15.75" customHeight="1">
      <c r="AC805" s="171"/>
      <c r="AH805" s="33"/>
      <c r="AI805" s="33"/>
    </row>
    <row r="806" ht="15.75" customHeight="1">
      <c r="AC806" s="171"/>
      <c r="AH806" s="33"/>
      <c r="AI806" s="33"/>
    </row>
    <row r="807" ht="15.75" customHeight="1">
      <c r="AC807" s="171"/>
      <c r="AH807" s="33"/>
      <c r="AI807" s="33"/>
    </row>
    <row r="808" ht="15.75" customHeight="1">
      <c r="AC808" s="171"/>
      <c r="AH808" s="33"/>
      <c r="AI808" s="33"/>
    </row>
    <row r="809" ht="15.75" customHeight="1">
      <c r="AC809" s="171"/>
      <c r="AH809" s="33"/>
      <c r="AI809" s="33"/>
    </row>
    <row r="810" ht="15.75" customHeight="1">
      <c r="AC810" s="171"/>
      <c r="AH810" s="33"/>
      <c r="AI810" s="33"/>
    </row>
    <row r="811" ht="15.75" customHeight="1">
      <c r="AC811" s="171"/>
      <c r="AH811" s="33"/>
      <c r="AI811" s="33"/>
    </row>
    <row r="812" ht="15.75" customHeight="1">
      <c r="AC812" s="171"/>
      <c r="AH812" s="33"/>
      <c r="AI812" s="33"/>
    </row>
    <row r="813" ht="15.75" customHeight="1">
      <c r="AC813" s="171"/>
      <c r="AH813" s="33"/>
      <c r="AI813" s="33"/>
    </row>
    <row r="814" ht="15.75" customHeight="1">
      <c r="AC814" s="171"/>
      <c r="AH814" s="33"/>
      <c r="AI814" s="33"/>
    </row>
    <row r="815" ht="15.75" customHeight="1">
      <c r="AC815" s="171"/>
      <c r="AH815" s="33"/>
      <c r="AI815" s="33"/>
    </row>
    <row r="816" ht="15.75" customHeight="1">
      <c r="AC816" s="171"/>
      <c r="AH816" s="33"/>
      <c r="AI816" s="33"/>
    </row>
    <row r="817" ht="15.75" customHeight="1">
      <c r="AC817" s="171"/>
      <c r="AH817" s="33"/>
      <c r="AI817" s="33"/>
    </row>
    <row r="818" ht="15.75" customHeight="1">
      <c r="AC818" s="171"/>
      <c r="AH818" s="33"/>
      <c r="AI818" s="33"/>
    </row>
    <row r="819" ht="15.75" customHeight="1">
      <c r="AC819" s="171"/>
      <c r="AH819" s="33"/>
      <c r="AI819" s="33"/>
    </row>
    <row r="820" ht="15.75" customHeight="1">
      <c r="AC820" s="171"/>
      <c r="AH820" s="33"/>
      <c r="AI820" s="33"/>
    </row>
    <row r="821" ht="15.75" customHeight="1">
      <c r="AC821" s="171"/>
      <c r="AH821" s="33"/>
      <c r="AI821" s="33"/>
    </row>
    <row r="822" ht="15.75" customHeight="1">
      <c r="AC822" s="171"/>
      <c r="AH822" s="33"/>
      <c r="AI822" s="33"/>
    </row>
    <row r="823" ht="15.75" customHeight="1">
      <c r="AC823" s="171"/>
      <c r="AH823" s="33"/>
      <c r="AI823" s="33"/>
    </row>
    <row r="824" ht="15.75" customHeight="1">
      <c r="AC824" s="171"/>
      <c r="AH824" s="33"/>
      <c r="AI824" s="33"/>
    </row>
    <row r="825" ht="15.75" customHeight="1">
      <c r="AC825" s="171"/>
      <c r="AH825" s="33"/>
      <c r="AI825" s="33"/>
    </row>
    <row r="826" ht="15.75" customHeight="1">
      <c r="AC826" s="171"/>
      <c r="AH826" s="33"/>
      <c r="AI826" s="33"/>
    </row>
    <row r="827" ht="15.75" customHeight="1">
      <c r="AC827" s="171"/>
      <c r="AH827" s="33"/>
      <c r="AI827" s="33"/>
    </row>
    <row r="828" ht="15.75" customHeight="1">
      <c r="AC828" s="171"/>
      <c r="AH828" s="33"/>
      <c r="AI828" s="33"/>
    </row>
    <row r="829" ht="15.75" customHeight="1">
      <c r="AC829" s="171"/>
      <c r="AH829" s="33"/>
      <c r="AI829" s="33"/>
    </row>
    <row r="830" ht="15.75" customHeight="1">
      <c r="AC830" s="171"/>
      <c r="AH830" s="33"/>
      <c r="AI830" s="33"/>
    </row>
    <row r="831" ht="15.75" customHeight="1">
      <c r="AC831" s="171"/>
      <c r="AH831" s="33"/>
      <c r="AI831" s="33"/>
    </row>
    <row r="832" ht="15.75" customHeight="1">
      <c r="AC832" s="171"/>
      <c r="AH832" s="33"/>
      <c r="AI832" s="33"/>
    </row>
    <row r="833" ht="15.75" customHeight="1">
      <c r="AC833" s="171"/>
      <c r="AH833" s="33"/>
      <c r="AI833" s="33"/>
    </row>
    <row r="834" ht="15.75" customHeight="1">
      <c r="AC834" s="171"/>
      <c r="AH834" s="33"/>
      <c r="AI834" s="33"/>
    </row>
    <row r="835" ht="15.75" customHeight="1">
      <c r="AC835" s="171"/>
      <c r="AH835" s="33"/>
      <c r="AI835" s="33"/>
    </row>
    <row r="836" ht="15.75" customHeight="1">
      <c r="AC836" s="171"/>
      <c r="AH836" s="33"/>
      <c r="AI836" s="33"/>
    </row>
    <row r="837" ht="15.75" customHeight="1">
      <c r="AC837" s="171"/>
      <c r="AH837" s="33"/>
      <c r="AI837" s="33"/>
    </row>
    <row r="838" ht="15.75" customHeight="1">
      <c r="AC838" s="171"/>
      <c r="AH838" s="33"/>
      <c r="AI838" s="33"/>
    </row>
    <row r="839" ht="15.75" customHeight="1">
      <c r="AC839" s="171"/>
      <c r="AH839" s="33"/>
      <c r="AI839" s="33"/>
    </row>
    <row r="840" ht="15.75" customHeight="1">
      <c r="AC840" s="171"/>
      <c r="AH840" s="33"/>
      <c r="AI840" s="33"/>
    </row>
    <row r="841" ht="15.75" customHeight="1">
      <c r="AC841" s="171"/>
      <c r="AH841" s="33"/>
      <c r="AI841" s="33"/>
    </row>
    <row r="842" ht="15.75" customHeight="1">
      <c r="AC842" s="171"/>
      <c r="AH842" s="33"/>
      <c r="AI842" s="33"/>
    </row>
    <row r="843" ht="15.75" customHeight="1">
      <c r="AC843" s="171"/>
      <c r="AH843" s="33"/>
      <c r="AI843" s="33"/>
    </row>
    <row r="844" ht="15.75" customHeight="1">
      <c r="AC844" s="171"/>
      <c r="AH844" s="33"/>
      <c r="AI844" s="33"/>
    </row>
    <row r="845" ht="15.75" customHeight="1">
      <c r="AC845" s="171"/>
      <c r="AH845" s="33"/>
      <c r="AI845" s="33"/>
    </row>
    <row r="846" ht="15.75" customHeight="1">
      <c r="AC846" s="171"/>
      <c r="AH846" s="33"/>
      <c r="AI846" s="33"/>
    </row>
    <row r="847" ht="15.75" customHeight="1">
      <c r="AC847" s="171"/>
      <c r="AH847" s="33"/>
      <c r="AI847" s="33"/>
    </row>
    <row r="848" ht="15.75" customHeight="1">
      <c r="AC848" s="171"/>
      <c r="AH848" s="33"/>
      <c r="AI848" s="33"/>
    </row>
    <row r="849" ht="15.75" customHeight="1">
      <c r="AC849" s="171"/>
      <c r="AH849" s="33"/>
      <c r="AI849" s="33"/>
    </row>
    <row r="850" ht="15.75" customHeight="1">
      <c r="AC850" s="171"/>
      <c r="AH850" s="33"/>
      <c r="AI850" s="33"/>
    </row>
    <row r="851" ht="15.75" customHeight="1">
      <c r="AC851" s="171"/>
      <c r="AH851" s="33"/>
      <c r="AI851" s="33"/>
    </row>
    <row r="852" ht="15.75" customHeight="1">
      <c r="AC852" s="171"/>
      <c r="AH852" s="33"/>
      <c r="AI852" s="33"/>
    </row>
    <row r="853" ht="15.75" customHeight="1">
      <c r="AC853" s="171"/>
      <c r="AH853" s="33"/>
      <c r="AI853" s="33"/>
    </row>
    <row r="854" ht="15.75" customHeight="1">
      <c r="AC854" s="171"/>
      <c r="AH854" s="33"/>
      <c r="AI854" s="33"/>
    </row>
    <row r="855" ht="15.75" customHeight="1">
      <c r="AC855" s="171"/>
      <c r="AH855" s="33"/>
      <c r="AI855" s="33"/>
    </row>
    <row r="856" ht="15.75" customHeight="1">
      <c r="AC856" s="171"/>
      <c r="AH856" s="33"/>
      <c r="AI856" s="33"/>
    </row>
    <row r="857" ht="15.75" customHeight="1">
      <c r="AC857" s="171"/>
      <c r="AH857" s="33"/>
      <c r="AI857" s="33"/>
    </row>
    <row r="858" ht="15.75" customHeight="1">
      <c r="AC858" s="171"/>
      <c r="AH858" s="33"/>
      <c r="AI858" s="33"/>
    </row>
    <row r="859" ht="15.75" customHeight="1">
      <c r="AC859" s="171"/>
      <c r="AH859" s="33"/>
      <c r="AI859" s="33"/>
    </row>
    <row r="860" ht="15.75" customHeight="1">
      <c r="AC860" s="171"/>
      <c r="AH860" s="33"/>
      <c r="AI860" s="33"/>
    </row>
    <row r="861" ht="15.75" customHeight="1">
      <c r="AC861" s="171"/>
      <c r="AH861" s="33"/>
      <c r="AI861" s="33"/>
    </row>
    <row r="862" ht="15.75" customHeight="1">
      <c r="AC862" s="171"/>
      <c r="AH862" s="33"/>
      <c r="AI862" s="33"/>
    </row>
    <row r="863" ht="15.75" customHeight="1">
      <c r="AC863" s="171"/>
      <c r="AH863" s="33"/>
      <c r="AI863" s="33"/>
    </row>
    <row r="864" ht="15.75" customHeight="1">
      <c r="AC864" s="171"/>
      <c r="AH864" s="33"/>
      <c r="AI864" s="33"/>
    </row>
    <row r="865" ht="15.75" customHeight="1">
      <c r="AC865" s="171"/>
      <c r="AH865" s="33"/>
      <c r="AI865" s="33"/>
    </row>
    <row r="866" ht="15.75" customHeight="1">
      <c r="AC866" s="171"/>
      <c r="AH866" s="33"/>
      <c r="AI866" s="33"/>
    </row>
    <row r="867" ht="15.75" customHeight="1">
      <c r="AC867" s="171"/>
      <c r="AH867" s="33"/>
      <c r="AI867" s="33"/>
    </row>
    <row r="868" ht="15.75" customHeight="1">
      <c r="AC868" s="171"/>
      <c r="AH868" s="33"/>
      <c r="AI868" s="33"/>
    </row>
    <row r="869" ht="15.75" customHeight="1">
      <c r="AC869" s="171"/>
      <c r="AH869" s="33"/>
      <c r="AI869" s="33"/>
    </row>
    <row r="870" ht="15.75" customHeight="1">
      <c r="AC870" s="171"/>
      <c r="AH870" s="33"/>
      <c r="AI870" s="33"/>
    </row>
    <row r="871" ht="15.75" customHeight="1">
      <c r="AC871" s="171"/>
      <c r="AH871" s="33"/>
      <c r="AI871" s="33"/>
    </row>
    <row r="872" ht="15.75" customHeight="1">
      <c r="AC872" s="171"/>
      <c r="AH872" s="33"/>
      <c r="AI872" s="33"/>
    </row>
    <row r="873" ht="15.75" customHeight="1">
      <c r="AC873" s="171"/>
      <c r="AH873" s="33"/>
      <c r="AI873" s="33"/>
    </row>
    <row r="874" ht="15.75" customHeight="1">
      <c r="AC874" s="171"/>
      <c r="AH874" s="33"/>
      <c r="AI874" s="33"/>
    </row>
    <row r="875" ht="15.75" customHeight="1">
      <c r="AC875" s="171"/>
      <c r="AH875" s="33"/>
      <c r="AI875" s="33"/>
    </row>
    <row r="876" ht="15.75" customHeight="1">
      <c r="AC876" s="171"/>
      <c r="AH876" s="33"/>
      <c r="AI876" s="33"/>
    </row>
    <row r="877" ht="15.75" customHeight="1">
      <c r="AC877" s="171"/>
      <c r="AH877" s="33"/>
      <c r="AI877" s="33"/>
    </row>
    <row r="878" ht="15.75" customHeight="1">
      <c r="AC878" s="171"/>
      <c r="AH878" s="33"/>
      <c r="AI878" s="33"/>
    </row>
    <row r="879" ht="15.75" customHeight="1">
      <c r="AC879" s="171"/>
      <c r="AH879" s="33"/>
      <c r="AI879" s="33"/>
    </row>
    <row r="880" ht="15.75" customHeight="1">
      <c r="AC880" s="171"/>
      <c r="AH880" s="33"/>
      <c r="AI880" s="33"/>
    </row>
    <row r="881" ht="15.75" customHeight="1">
      <c r="AC881" s="171"/>
      <c r="AH881" s="33"/>
      <c r="AI881" s="33"/>
    </row>
    <row r="882" ht="15.75" customHeight="1">
      <c r="AC882" s="171"/>
      <c r="AH882" s="33"/>
      <c r="AI882" s="33"/>
    </row>
    <row r="883" ht="15.75" customHeight="1">
      <c r="AC883" s="171"/>
      <c r="AH883" s="33"/>
      <c r="AI883" s="33"/>
    </row>
    <row r="884" ht="15.75" customHeight="1">
      <c r="AC884" s="171"/>
      <c r="AH884" s="33"/>
      <c r="AI884" s="33"/>
    </row>
    <row r="885" ht="15.75" customHeight="1">
      <c r="AC885" s="171"/>
      <c r="AH885" s="33"/>
      <c r="AI885" s="33"/>
    </row>
    <row r="886" ht="15.75" customHeight="1">
      <c r="AC886" s="171"/>
      <c r="AH886" s="33"/>
      <c r="AI886" s="33"/>
    </row>
    <row r="887" ht="15.75" customHeight="1">
      <c r="AC887" s="171"/>
      <c r="AH887" s="33"/>
      <c r="AI887" s="33"/>
    </row>
    <row r="888" ht="15.75" customHeight="1">
      <c r="AC888" s="171"/>
      <c r="AH888" s="33"/>
      <c r="AI888" s="33"/>
    </row>
    <row r="889" ht="15.75" customHeight="1">
      <c r="AC889" s="171"/>
      <c r="AH889" s="33"/>
      <c r="AI889" s="33"/>
    </row>
    <row r="890" ht="15.75" customHeight="1">
      <c r="AC890" s="171"/>
      <c r="AH890" s="33"/>
      <c r="AI890" s="33"/>
    </row>
    <row r="891" ht="15.75" customHeight="1">
      <c r="AC891" s="171"/>
      <c r="AH891" s="33"/>
      <c r="AI891" s="33"/>
    </row>
    <row r="892" ht="15.75" customHeight="1">
      <c r="AC892" s="171"/>
      <c r="AH892" s="33"/>
      <c r="AI892" s="33"/>
    </row>
    <row r="893" ht="15.75" customHeight="1">
      <c r="AC893" s="171"/>
      <c r="AH893" s="33"/>
      <c r="AI893" s="33"/>
    </row>
    <row r="894" ht="15.75" customHeight="1">
      <c r="AC894" s="171"/>
      <c r="AH894" s="33"/>
      <c r="AI894" s="33"/>
    </row>
    <row r="895" ht="15.75" customHeight="1">
      <c r="AC895" s="171"/>
      <c r="AH895" s="33"/>
      <c r="AI895" s="33"/>
    </row>
    <row r="896" ht="15.75" customHeight="1">
      <c r="AC896" s="171"/>
      <c r="AH896" s="33"/>
      <c r="AI896" s="33"/>
    </row>
    <row r="897" ht="15.75" customHeight="1">
      <c r="AC897" s="171"/>
      <c r="AH897" s="33"/>
      <c r="AI897" s="33"/>
    </row>
    <row r="898" ht="15.75" customHeight="1">
      <c r="AC898" s="171"/>
      <c r="AH898" s="33"/>
      <c r="AI898" s="33"/>
    </row>
    <row r="899" ht="15.75" customHeight="1">
      <c r="AC899" s="171"/>
      <c r="AH899" s="33"/>
      <c r="AI899" s="33"/>
    </row>
    <row r="900" ht="15.75" customHeight="1">
      <c r="AC900" s="171"/>
      <c r="AH900" s="33"/>
      <c r="AI900" s="33"/>
    </row>
    <row r="901" ht="15.75" customHeight="1">
      <c r="AC901" s="171"/>
      <c r="AH901" s="33"/>
      <c r="AI901" s="33"/>
    </row>
    <row r="902" ht="15.75" customHeight="1">
      <c r="AC902" s="171"/>
      <c r="AH902" s="33"/>
      <c r="AI902" s="33"/>
    </row>
    <row r="903" ht="15.75" customHeight="1">
      <c r="AC903" s="171"/>
      <c r="AH903" s="33"/>
      <c r="AI903" s="33"/>
    </row>
    <row r="904" ht="15.75" customHeight="1">
      <c r="AC904" s="171"/>
      <c r="AH904" s="33"/>
      <c r="AI904" s="33"/>
    </row>
    <row r="905" ht="15.75" customHeight="1">
      <c r="AC905" s="171"/>
      <c r="AH905" s="33"/>
      <c r="AI905" s="33"/>
    </row>
    <row r="906" ht="15.75" customHeight="1">
      <c r="AC906" s="171"/>
      <c r="AH906" s="33"/>
      <c r="AI906" s="33"/>
    </row>
    <row r="907" ht="15.75" customHeight="1">
      <c r="AC907" s="171"/>
      <c r="AH907" s="33"/>
      <c r="AI907" s="33"/>
    </row>
    <row r="908" ht="15.75" customHeight="1">
      <c r="AC908" s="171"/>
      <c r="AH908" s="33"/>
      <c r="AI908" s="33"/>
    </row>
    <row r="909" ht="15.75" customHeight="1">
      <c r="AC909" s="171"/>
      <c r="AH909" s="33"/>
      <c r="AI909" s="33"/>
    </row>
    <row r="910" ht="15.75" customHeight="1">
      <c r="AC910" s="171"/>
      <c r="AH910" s="33"/>
      <c r="AI910" s="33"/>
    </row>
    <row r="911" ht="15.75" customHeight="1">
      <c r="AC911" s="171"/>
      <c r="AH911" s="33"/>
      <c r="AI911" s="33"/>
    </row>
    <row r="912" ht="15.75" customHeight="1">
      <c r="AC912" s="171"/>
      <c r="AH912" s="33"/>
      <c r="AI912" s="33"/>
    </row>
    <row r="913" ht="15.75" customHeight="1">
      <c r="AC913" s="171"/>
      <c r="AH913" s="33"/>
      <c r="AI913" s="33"/>
    </row>
    <row r="914" ht="15.75" customHeight="1">
      <c r="AC914" s="171"/>
      <c r="AH914" s="33"/>
      <c r="AI914" s="33"/>
    </row>
    <row r="915" ht="15.75" customHeight="1">
      <c r="AC915" s="171"/>
      <c r="AH915" s="33"/>
      <c r="AI915" s="33"/>
    </row>
    <row r="916" ht="15.75" customHeight="1">
      <c r="AC916" s="171"/>
      <c r="AH916" s="33"/>
      <c r="AI916" s="33"/>
    </row>
    <row r="917" ht="15.75" customHeight="1">
      <c r="AC917" s="171"/>
      <c r="AH917" s="33"/>
      <c r="AI917" s="33"/>
    </row>
    <row r="918" ht="15.75" customHeight="1">
      <c r="AC918" s="171"/>
      <c r="AH918" s="33"/>
      <c r="AI918" s="33"/>
    </row>
    <row r="919" ht="15.75" customHeight="1">
      <c r="AC919" s="171"/>
      <c r="AH919" s="33"/>
      <c r="AI919" s="33"/>
    </row>
    <row r="920" ht="15.75" customHeight="1">
      <c r="AC920" s="171"/>
      <c r="AH920" s="33"/>
      <c r="AI920" s="33"/>
    </row>
    <row r="921" ht="15.75" customHeight="1">
      <c r="AC921" s="171"/>
      <c r="AH921" s="33"/>
      <c r="AI921" s="33"/>
    </row>
    <row r="922" ht="15.75" customHeight="1">
      <c r="AC922" s="171"/>
      <c r="AH922" s="33"/>
      <c r="AI922" s="33"/>
    </row>
    <row r="923" ht="15.75" customHeight="1">
      <c r="AC923" s="171"/>
      <c r="AH923" s="33"/>
      <c r="AI923" s="33"/>
    </row>
    <row r="924" ht="15.75" customHeight="1">
      <c r="AC924" s="171"/>
      <c r="AH924" s="33"/>
      <c r="AI924" s="33"/>
    </row>
    <row r="925" ht="15.75" customHeight="1">
      <c r="AC925" s="171"/>
      <c r="AH925" s="33"/>
      <c r="AI925" s="33"/>
    </row>
    <row r="926" ht="15.75" customHeight="1">
      <c r="AC926" s="171"/>
      <c r="AH926" s="33"/>
      <c r="AI926" s="33"/>
    </row>
    <row r="927" ht="15.75" customHeight="1">
      <c r="AC927" s="171"/>
      <c r="AH927" s="33"/>
      <c r="AI927" s="33"/>
    </row>
    <row r="928" ht="15.75" customHeight="1">
      <c r="AC928" s="171"/>
      <c r="AH928" s="33"/>
      <c r="AI928" s="33"/>
    </row>
    <row r="929" ht="15.75" customHeight="1">
      <c r="AC929" s="171"/>
      <c r="AH929" s="33"/>
      <c r="AI929" s="33"/>
    </row>
    <row r="930" ht="15.75" customHeight="1">
      <c r="AC930" s="171"/>
      <c r="AH930" s="33"/>
      <c r="AI930" s="33"/>
    </row>
    <row r="931" ht="15.75" customHeight="1">
      <c r="AC931" s="171"/>
      <c r="AH931" s="33"/>
      <c r="AI931" s="33"/>
    </row>
    <row r="932" ht="15.75" customHeight="1">
      <c r="AC932" s="171"/>
      <c r="AH932" s="33"/>
      <c r="AI932" s="33"/>
    </row>
    <row r="933" ht="15.75" customHeight="1">
      <c r="AC933" s="171"/>
      <c r="AH933" s="33"/>
      <c r="AI933" s="33"/>
    </row>
    <row r="934" ht="15.75" customHeight="1">
      <c r="AC934" s="171"/>
      <c r="AH934" s="33"/>
      <c r="AI934" s="33"/>
    </row>
    <row r="935" ht="15.75" customHeight="1">
      <c r="AC935" s="171"/>
      <c r="AH935" s="33"/>
      <c r="AI935" s="33"/>
    </row>
    <row r="936" ht="15.75" customHeight="1">
      <c r="AC936" s="171"/>
      <c r="AH936" s="33"/>
      <c r="AI936" s="33"/>
    </row>
    <row r="937" ht="15.75" customHeight="1">
      <c r="AC937" s="171"/>
      <c r="AH937" s="33"/>
      <c r="AI937" s="33"/>
    </row>
    <row r="938" ht="15.75" customHeight="1">
      <c r="AC938" s="171"/>
      <c r="AH938" s="33"/>
      <c r="AI938" s="33"/>
    </row>
    <row r="939" ht="15.75" customHeight="1">
      <c r="AC939" s="171"/>
      <c r="AH939" s="33"/>
      <c r="AI939" s="33"/>
    </row>
    <row r="940" ht="15.75" customHeight="1">
      <c r="AC940" s="171"/>
      <c r="AH940" s="33"/>
      <c r="AI940" s="33"/>
    </row>
    <row r="941" ht="15.75" customHeight="1">
      <c r="AC941" s="171"/>
      <c r="AH941" s="33"/>
      <c r="AI941" s="33"/>
    </row>
    <row r="942" ht="15.75" customHeight="1">
      <c r="AC942" s="171"/>
      <c r="AH942" s="33"/>
      <c r="AI942" s="33"/>
    </row>
    <row r="943" ht="15.75" customHeight="1">
      <c r="AC943" s="171"/>
      <c r="AH943" s="33"/>
      <c r="AI943" s="33"/>
    </row>
    <row r="944" ht="15.75" customHeight="1">
      <c r="AC944" s="171"/>
      <c r="AH944" s="33"/>
      <c r="AI944" s="33"/>
    </row>
    <row r="945" ht="15.75" customHeight="1">
      <c r="AC945" s="171"/>
      <c r="AH945" s="33"/>
      <c r="AI945" s="33"/>
    </row>
    <row r="946" ht="15.75" customHeight="1">
      <c r="AC946" s="171"/>
      <c r="AH946" s="33"/>
      <c r="AI946" s="33"/>
    </row>
    <row r="947" ht="15.75" customHeight="1">
      <c r="AC947" s="171"/>
      <c r="AH947" s="33"/>
      <c r="AI947" s="33"/>
    </row>
    <row r="948" ht="15.75" customHeight="1">
      <c r="AC948" s="171"/>
      <c r="AH948" s="33"/>
      <c r="AI948" s="33"/>
    </row>
    <row r="949" ht="15.75" customHeight="1">
      <c r="AC949" s="171"/>
      <c r="AH949" s="33"/>
      <c r="AI949" s="33"/>
    </row>
    <row r="950" ht="15.75" customHeight="1">
      <c r="AC950" s="171"/>
      <c r="AH950" s="33"/>
      <c r="AI950" s="33"/>
    </row>
    <row r="951" ht="15.75" customHeight="1">
      <c r="AC951" s="171"/>
      <c r="AH951" s="33"/>
      <c r="AI951" s="33"/>
    </row>
    <row r="952" ht="15.75" customHeight="1">
      <c r="AC952" s="171"/>
      <c r="AH952" s="33"/>
      <c r="AI952" s="33"/>
    </row>
    <row r="953" ht="15.75" customHeight="1">
      <c r="AC953" s="171"/>
      <c r="AH953" s="33"/>
      <c r="AI953" s="33"/>
    </row>
    <row r="954" ht="15.75" customHeight="1">
      <c r="AC954" s="171"/>
      <c r="AH954" s="33"/>
      <c r="AI954" s="33"/>
    </row>
    <row r="955" ht="15.75" customHeight="1">
      <c r="AC955" s="171"/>
      <c r="AH955" s="33"/>
      <c r="AI955" s="33"/>
    </row>
    <row r="956" ht="15.75" customHeight="1">
      <c r="AC956" s="171"/>
      <c r="AH956" s="33"/>
      <c r="AI956" s="33"/>
    </row>
    <row r="957" ht="15.75" customHeight="1">
      <c r="AC957" s="171"/>
      <c r="AH957" s="33"/>
      <c r="AI957" s="33"/>
    </row>
    <row r="958" ht="15.75" customHeight="1">
      <c r="AC958" s="171"/>
      <c r="AH958" s="33"/>
      <c r="AI958" s="33"/>
    </row>
    <row r="959" ht="15.75" customHeight="1">
      <c r="AC959" s="171"/>
      <c r="AH959" s="33"/>
      <c r="AI959" s="33"/>
    </row>
    <row r="960" ht="15.75" customHeight="1">
      <c r="AC960" s="171"/>
      <c r="AH960" s="33"/>
      <c r="AI960" s="33"/>
    </row>
    <row r="961" ht="15.75" customHeight="1">
      <c r="AC961" s="171"/>
      <c r="AH961" s="33"/>
      <c r="AI961" s="33"/>
    </row>
    <row r="962" ht="15.75" customHeight="1">
      <c r="AC962" s="171"/>
      <c r="AH962" s="33"/>
      <c r="AI962" s="33"/>
    </row>
    <row r="963" ht="15.75" customHeight="1">
      <c r="AC963" s="171"/>
      <c r="AH963" s="33"/>
      <c r="AI963" s="33"/>
    </row>
    <row r="964" ht="15.75" customHeight="1">
      <c r="AC964" s="171"/>
      <c r="AH964" s="33"/>
      <c r="AI964" s="33"/>
    </row>
    <row r="965" ht="15.75" customHeight="1">
      <c r="AC965" s="171"/>
      <c r="AH965" s="33"/>
      <c r="AI965" s="33"/>
    </row>
    <row r="966" ht="15.75" customHeight="1">
      <c r="AC966" s="171"/>
      <c r="AH966" s="33"/>
      <c r="AI966" s="33"/>
    </row>
    <row r="967" ht="15.75" customHeight="1">
      <c r="AC967" s="171"/>
      <c r="AH967" s="33"/>
      <c r="AI967" s="33"/>
    </row>
    <row r="968" ht="15.75" customHeight="1">
      <c r="AC968" s="171"/>
      <c r="AH968" s="33"/>
      <c r="AI968" s="33"/>
    </row>
    <row r="969" ht="15.75" customHeight="1">
      <c r="AC969" s="171"/>
      <c r="AH969" s="33"/>
      <c r="AI969" s="33"/>
    </row>
    <row r="970" ht="15.75" customHeight="1">
      <c r="AC970" s="171"/>
      <c r="AH970" s="33"/>
      <c r="AI970" s="33"/>
    </row>
    <row r="971" ht="15.75" customHeight="1">
      <c r="AC971" s="171"/>
      <c r="AH971" s="33"/>
      <c r="AI971" s="33"/>
    </row>
    <row r="972" ht="15.75" customHeight="1">
      <c r="AC972" s="171"/>
      <c r="AH972" s="33"/>
      <c r="AI972" s="33"/>
    </row>
    <row r="973" ht="15.75" customHeight="1">
      <c r="AC973" s="171"/>
      <c r="AH973" s="33"/>
      <c r="AI973" s="33"/>
    </row>
    <row r="974" ht="15.75" customHeight="1">
      <c r="AC974" s="171"/>
      <c r="AH974" s="33"/>
      <c r="AI974" s="33"/>
    </row>
    <row r="975" ht="15.75" customHeight="1">
      <c r="AC975" s="171"/>
      <c r="AH975" s="33"/>
      <c r="AI975" s="33"/>
    </row>
    <row r="976" ht="15.75" customHeight="1">
      <c r="AC976" s="171"/>
      <c r="AH976" s="33"/>
      <c r="AI976" s="33"/>
    </row>
    <row r="977" ht="15.75" customHeight="1">
      <c r="AC977" s="171"/>
      <c r="AH977" s="33"/>
      <c r="AI977" s="33"/>
    </row>
    <row r="978" ht="15.75" customHeight="1">
      <c r="AC978" s="171"/>
      <c r="AH978" s="33"/>
      <c r="AI978" s="33"/>
    </row>
    <row r="979" ht="15.75" customHeight="1">
      <c r="AC979" s="171"/>
      <c r="AH979" s="33"/>
      <c r="AI979" s="33"/>
    </row>
    <row r="980" ht="15.75" customHeight="1">
      <c r="AC980" s="171"/>
      <c r="AH980" s="33"/>
      <c r="AI980" s="33"/>
    </row>
    <row r="981" ht="15.75" customHeight="1">
      <c r="AC981" s="171"/>
      <c r="AH981" s="33"/>
      <c r="AI981" s="33"/>
    </row>
    <row r="982" ht="15.75" customHeight="1">
      <c r="AC982" s="171"/>
      <c r="AH982" s="33"/>
      <c r="AI982" s="33"/>
    </row>
    <row r="983" ht="15.75" customHeight="1">
      <c r="AC983" s="171"/>
      <c r="AH983" s="33"/>
      <c r="AI983" s="33"/>
    </row>
    <row r="984" ht="15.75" customHeight="1">
      <c r="AC984" s="171"/>
      <c r="AH984" s="33"/>
      <c r="AI984" s="33"/>
    </row>
    <row r="985" ht="15.75" customHeight="1">
      <c r="AC985" s="171"/>
      <c r="AH985" s="33"/>
      <c r="AI985" s="33"/>
    </row>
    <row r="986" ht="15.75" customHeight="1">
      <c r="AC986" s="171"/>
      <c r="AH986" s="33"/>
      <c r="AI986" s="33"/>
    </row>
    <row r="987" ht="15.75" customHeight="1">
      <c r="AC987" s="171"/>
      <c r="AH987" s="33"/>
      <c r="AI987" s="33"/>
    </row>
    <row r="988" ht="15.75" customHeight="1">
      <c r="AC988" s="171"/>
      <c r="AH988" s="33"/>
      <c r="AI988" s="33"/>
    </row>
    <row r="989" ht="15.75" customHeight="1">
      <c r="AC989" s="171"/>
      <c r="AH989" s="33"/>
      <c r="AI989" s="33"/>
    </row>
    <row r="990" ht="15.75" customHeight="1">
      <c r="AC990" s="171"/>
      <c r="AH990" s="33"/>
      <c r="AI990" s="33"/>
    </row>
    <row r="991" ht="15.75" customHeight="1">
      <c r="AC991" s="171"/>
      <c r="AH991" s="33"/>
      <c r="AI991" s="33"/>
    </row>
    <row r="992" ht="15.75" customHeight="1">
      <c r="AC992" s="171"/>
      <c r="AH992" s="33"/>
      <c r="AI992" s="33"/>
    </row>
    <row r="993" ht="15.75" customHeight="1">
      <c r="AC993" s="171"/>
      <c r="AH993" s="33"/>
      <c r="AI993" s="33"/>
    </row>
    <row r="994" ht="15.75" customHeight="1">
      <c r="AC994" s="171"/>
      <c r="AH994" s="33"/>
      <c r="AI994" s="33"/>
    </row>
    <row r="995" ht="15.75" customHeight="1">
      <c r="AC995" s="171"/>
      <c r="AH995" s="33"/>
      <c r="AI995" s="33"/>
    </row>
    <row r="996" ht="15.75" customHeight="1">
      <c r="AC996" s="171"/>
      <c r="AH996" s="33"/>
      <c r="AI996" s="33"/>
    </row>
    <row r="997" ht="15.75" customHeight="1">
      <c r="AC997" s="171"/>
      <c r="AH997" s="33"/>
      <c r="AI997" s="33"/>
    </row>
    <row r="998" ht="15.75" customHeight="1">
      <c r="AC998" s="171"/>
      <c r="AH998" s="33"/>
      <c r="AI998" s="33"/>
    </row>
    <row r="999" ht="15.75" customHeight="1">
      <c r="AC999" s="171"/>
      <c r="AH999" s="33"/>
      <c r="AI999" s="33"/>
    </row>
  </sheetData>
  <conditionalFormatting sqref="AI13:AI6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3:I6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3:AB68 AG13:AG68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U13:U68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04:H109">
    <cfRule type="cellIs" dxfId="0" priority="5" operator="greaterThan">
      <formula>0</formula>
    </cfRule>
  </conditionalFormatting>
  <conditionalFormatting sqref="H104:H109">
    <cfRule type="cellIs" dxfId="1" priority="6" operator="lessThanOrEqual">
      <formula>0</formula>
    </cfRule>
  </conditionalFormatting>
  <hyperlinks>
    <hyperlink r:id="rId2" ref="B13"/>
    <hyperlink r:id="rId3" ref="B14"/>
    <hyperlink r:id="rId4" ref="B15"/>
    <hyperlink r:id="rId5" ref="B16"/>
    <hyperlink r:id="rId6" ref="B17"/>
    <hyperlink r:id="rId7" ref="B18"/>
    <hyperlink r:id="rId8" ref="B19"/>
    <hyperlink r:id="rId9" ref="B20"/>
    <hyperlink r:id="rId10" ref="B21"/>
    <hyperlink r:id="rId11" ref="B22"/>
    <hyperlink r:id="rId12" ref="B23"/>
    <hyperlink r:id="rId13" ref="B24"/>
    <hyperlink r:id="rId14" ref="B25"/>
    <hyperlink r:id="rId15" ref="B26"/>
    <hyperlink r:id="rId16" ref="B28"/>
    <hyperlink r:id="rId17" ref="B30"/>
    <hyperlink r:id="rId18" ref="B31"/>
    <hyperlink r:id="rId19" ref="B32"/>
    <hyperlink r:id="rId20" ref="B33"/>
    <hyperlink r:id="rId21" ref="B35"/>
    <hyperlink r:id="rId22" ref="B36"/>
    <hyperlink r:id="rId23" ref="B37"/>
    <hyperlink r:id="rId24" ref="B38"/>
    <hyperlink r:id="rId25" ref="B39"/>
    <hyperlink r:id="rId26" ref="B40"/>
    <hyperlink r:id="rId27" ref="B41"/>
    <hyperlink r:id="rId28" ref="B42"/>
    <hyperlink r:id="rId29" ref="B43"/>
    <hyperlink r:id="rId30" ref="B44"/>
    <hyperlink r:id="rId31" ref="B45"/>
    <hyperlink r:id="rId32" ref="B46"/>
    <hyperlink r:id="rId33" ref="B47"/>
    <hyperlink r:id="rId34" ref="B48"/>
    <hyperlink r:id="rId35" ref="B49"/>
    <hyperlink r:id="rId36" ref="B50"/>
    <hyperlink r:id="rId37" ref="B51"/>
    <hyperlink r:id="rId38" ref="B52"/>
    <hyperlink r:id="rId39" ref="B53"/>
    <hyperlink r:id="rId40" ref="B54"/>
    <hyperlink r:id="rId41" ref="B55"/>
    <hyperlink r:id="rId42" ref="B56"/>
    <hyperlink r:id="rId43" ref="B57"/>
    <hyperlink r:id="rId44" ref="B58"/>
    <hyperlink r:id="rId45" ref="B59"/>
    <hyperlink r:id="rId46" ref="B60"/>
    <hyperlink r:id="rId47" ref="B61"/>
    <hyperlink r:id="rId48" ref="B62"/>
    <hyperlink r:id="rId49" ref="B63"/>
    <hyperlink r:id="rId50" ref="B64"/>
    <hyperlink r:id="rId51" ref="B65"/>
    <hyperlink r:id="rId52" ref="B66"/>
    <hyperlink r:id="rId53" ref="B67"/>
    <hyperlink r:id="rId54" ref="B68"/>
  </hyperlinks>
  <printOptions gridLines="1"/>
  <pageMargins bottom="0.75" footer="0.0" header="0.0" left="0.25" right="0.25" top="0.75"/>
  <pageSetup fitToHeight="0" paperSize="5" orientation="landscape"/>
  <headerFooter>
    <oddHeader>&amp;LSAGE LIBRARY SYSTEM Membership fee schedule</oddHeader>
    <oddFooter>&amp;R&amp;P of</oddFooter>
  </headerFooter>
  <drawing r:id="rId55"/>
  <legacyDrawing r:id="rId5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7.0"/>
    <col customWidth="1" min="2" max="2" width="1.86"/>
    <col customWidth="1" min="3" max="9" width="12.43"/>
    <col customWidth="1" min="10" max="10" width="11.14"/>
    <col customWidth="1" min="11" max="11" width="2.14"/>
    <col customWidth="1" min="12" max="15" width="12.86"/>
    <col customWidth="1" min="16" max="19" width="11.14"/>
    <col customWidth="1" min="20" max="20" width="2.14"/>
    <col customWidth="1" min="21" max="21" width="11.71"/>
    <col customWidth="1" min="22" max="22" width="12.14"/>
    <col customWidth="1" min="23" max="23" width="11.71"/>
    <col customWidth="1" min="24" max="24" width="12.14"/>
    <col customWidth="1" min="25" max="31" width="11.14"/>
    <col customWidth="1" min="32" max="32" width="12.43"/>
    <col customWidth="1" min="33" max="34" width="8.71"/>
    <col customWidth="1" min="35" max="35" width="2.14"/>
    <col customWidth="1" min="36" max="37" width="8.71"/>
  </cols>
  <sheetData>
    <row r="1">
      <c r="A1" s="172" t="s">
        <v>172</v>
      </c>
      <c r="B1" s="173"/>
      <c r="C1" s="174" t="s">
        <v>173</v>
      </c>
      <c r="D1" s="174" t="s">
        <v>174</v>
      </c>
      <c r="E1" s="174" t="s">
        <v>175</v>
      </c>
      <c r="F1" s="174" t="s">
        <v>176</v>
      </c>
      <c r="G1" s="174" t="s">
        <v>177</v>
      </c>
      <c r="H1" s="174" t="s">
        <v>178</v>
      </c>
      <c r="I1" s="175" t="s">
        <v>179</v>
      </c>
      <c r="J1" s="174" t="s">
        <v>180</v>
      </c>
      <c r="K1" s="43"/>
      <c r="L1" s="176" t="s">
        <v>181</v>
      </c>
      <c r="M1" s="176" t="s">
        <v>182</v>
      </c>
      <c r="N1" s="176" t="s">
        <v>183</v>
      </c>
      <c r="O1" s="176" t="s">
        <v>184</v>
      </c>
      <c r="P1" s="177" t="s">
        <v>185</v>
      </c>
      <c r="Q1" s="177" t="s">
        <v>186</v>
      </c>
      <c r="R1" s="177" t="s">
        <v>187</v>
      </c>
      <c r="S1" s="177" t="s">
        <v>188</v>
      </c>
      <c r="T1" s="43"/>
      <c r="U1" s="178" t="s">
        <v>189</v>
      </c>
      <c r="V1" s="179" t="s">
        <v>190</v>
      </c>
      <c r="W1" s="178" t="s">
        <v>191</v>
      </c>
      <c r="X1" s="179" t="s">
        <v>192</v>
      </c>
      <c r="Y1" s="180" t="s">
        <v>193</v>
      </c>
      <c r="Z1" s="181" t="s">
        <v>194</v>
      </c>
      <c r="AA1" s="180" t="s">
        <v>195</v>
      </c>
      <c r="AB1" s="181" t="s">
        <v>196</v>
      </c>
      <c r="AC1" s="180" t="s">
        <v>197</v>
      </c>
      <c r="AD1" s="181" t="s">
        <v>198</v>
      </c>
      <c r="AE1" s="178" t="s">
        <v>199</v>
      </c>
      <c r="AF1" s="179" t="s">
        <v>200</v>
      </c>
      <c r="AG1" s="182" t="s">
        <v>201</v>
      </c>
      <c r="AH1" s="182" t="s">
        <v>202</v>
      </c>
      <c r="AI1" s="43"/>
      <c r="AJ1" s="182" t="s">
        <v>203</v>
      </c>
      <c r="AK1" s="182" t="s">
        <v>204</v>
      </c>
    </row>
    <row r="2">
      <c r="A2" s="53" t="s">
        <v>205</v>
      </c>
      <c r="B2" s="53"/>
      <c r="C2" s="183">
        <v>528.0</v>
      </c>
      <c r="D2" s="61">
        <v>528.0</v>
      </c>
      <c r="E2" s="61">
        <v>537.0</v>
      </c>
      <c r="F2" s="61">
        <v>536.0</v>
      </c>
      <c r="G2" s="61">
        <v>532.0</v>
      </c>
      <c r="H2" s="144">
        <v>528.0</v>
      </c>
      <c r="I2" s="184">
        <v>542.0</v>
      </c>
      <c r="J2" s="61">
        <f t="shared" ref="J2:J6" si="3">AVERAGE(G2:I2)</f>
        <v>534</v>
      </c>
      <c r="K2" s="43"/>
      <c r="L2" s="183">
        <v>493.0</v>
      </c>
      <c r="M2" s="61">
        <v>460.0</v>
      </c>
      <c r="N2" s="61">
        <v>1402.0</v>
      </c>
      <c r="O2" s="185">
        <v>1088.0</v>
      </c>
      <c r="P2" s="185">
        <v>2511.0</v>
      </c>
      <c r="Q2" s="185">
        <v>2560.0</v>
      </c>
      <c r="R2" s="185">
        <v>3498.0</v>
      </c>
      <c r="S2" s="61">
        <f t="shared" ref="S2:S56" si="4">AVERAGE(N2:R2)</f>
        <v>2211.8</v>
      </c>
      <c r="T2" s="43"/>
      <c r="U2" s="186">
        <v>319.0</v>
      </c>
      <c r="V2" s="187">
        <v>54.0</v>
      </c>
      <c r="W2" s="186">
        <v>216.0</v>
      </c>
      <c r="X2" s="187">
        <v>57.0</v>
      </c>
      <c r="Y2" s="188">
        <v>415.0</v>
      </c>
      <c r="Z2" s="189">
        <v>300.0</v>
      </c>
      <c r="AA2" s="188">
        <v>400.0</v>
      </c>
      <c r="AB2" s="189">
        <v>305.0</v>
      </c>
      <c r="AC2" s="190">
        <v>347.0</v>
      </c>
      <c r="AD2" s="189">
        <v>498.0</v>
      </c>
      <c r="AE2" s="186">
        <f t="shared" ref="AE2:AF2" si="1">AVERAGE(U2,W2,Y2,AA2,AC2)</f>
        <v>339.4</v>
      </c>
      <c r="AF2" s="187">
        <f t="shared" si="1"/>
        <v>242.8</v>
      </c>
      <c r="AG2" s="116">
        <f t="shared" ref="AG2:AG6" si="6">SUM(AF2-AE2)</f>
        <v>-96.6</v>
      </c>
      <c r="AH2" s="139">
        <f t="shared" ref="AH2:AH6" si="7">SUM(AF2/AE2)</f>
        <v>0.7153800825</v>
      </c>
      <c r="AI2" s="43"/>
      <c r="AJ2" s="191">
        <f t="shared" ref="AJ2:AK2" si="2">SUM(AE2/$AE$57)</f>
        <v>0.004234296051</v>
      </c>
      <c r="AK2" s="191">
        <f t="shared" si="2"/>
        <v>0.003029131059</v>
      </c>
    </row>
    <row r="3">
      <c r="A3" s="53" t="s">
        <v>35</v>
      </c>
      <c r="B3" s="53"/>
      <c r="C3" s="183">
        <v>605.0</v>
      </c>
      <c r="D3" s="192">
        <v>605.0</v>
      </c>
      <c r="E3" s="61">
        <v>610.0</v>
      </c>
      <c r="F3" s="61">
        <v>610.0</v>
      </c>
      <c r="G3" s="61">
        <v>615.0</v>
      </c>
      <c r="H3" s="144">
        <v>615.0</v>
      </c>
      <c r="I3" s="184">
        <v>650.0</v>
      </c>
      <c r="J3" s="61">
        <f t="shared" si="3"/>
        <v>626.6666667</v>
      </c>
      <c r="K3" s="43"/>
      <c r="L3" s="183">
        <v>2644.0</v>
      </c>
      <c r="M3" s="61">
        <v>3382.0</v>
      </c>
      <c r="N3" s="61">
        <v>2761.0</v>
      </c>
      <c r="O3" s="185">
        <v>2409.0</v>
      </c>
      <c r="P3" s="185">
        <v>2230.0</v>
      </c>
      <c r="Q3" s="185">
        <v>225.0</v>
      </c>
      <c r="R3" s="185">
        <v>2311.0</v>
      </c>
      <c r="S3" s="61">
        <f t="shared" si="4"/>
        <v>1987.2</v>
      </c>
      <c r="T3" s="43"/>
      <c r="U3" s="186">
        <v>507.0</v>
      </c>
      <c r="V3" s="187">
        <v>80.0</v>
      </c>
      <c r="W3" s="186">
        <v>593.0</v>
      </c>
      <c r="X3" s="187">
        <v>152.0</v>
      </c>
      <c r="Y3" s="188">
        <v>614.0</v>
      </c>
      <c r="Z3" s="189">
        <v>98.0</v>
      </c>
      <c r="AA3" s="188">
        <v>986.0</v>
      </c>
      <c r="AB3" s="189">
        <v>132.0</v>
      </c>
      <c r="AC3" s="190">
        <v>796.0</v>
      </c>
      <c r="AD3" s="189">
        <v>154.0</v>
      </c>
      <c r="AE3" s="186">
        <f t="shared" ref="AE3:AF3" si="5">AVERAGE(U3,W3,Y3,AA3,AC3)</f>
        <v>699.2</v>
      </c>
      <c r="AF3" s="187">
        <f t="shared" si="5"/>
        <v>123.2</v>
      </c>
      <c r="AG3" s="116">
        <f t="shared" si="6"/>
        <v>-576</v>
      </c>
      <c r="AH3" s="139">
        <f t="shared" si="7"/>
        <v>0.176201373</v>
      </c>
      <c r="AI3" s="43"/>
      <c r="AJ3" s="191">
        <f t="shared" ref="AJ3:AK3" si="8">SUM(AE3/$AE$57)</f>
        <v>0.008723098996</v>
      </c>
      <c r="AK3" s="191">
        <f t="shared" si="8"/>
        <v>0.00153702202</v>
      </c>
    </row>
    <row r="4">
      <c r="A4" s="53" t="s">
        <v>206</v>
      </c>
      <c r="B4" s="53"/>
      <c r="C4" s="183">
        <v>1626.0</v>
      </c>
      <c r="D4" s="61">
        <v>1576.0</v>
      </c>
      <c r="E4" s="61">
        <v>1682.0</v>
      </c>
      <c r="F4" s="61">
        <v>1672.0</v>
      </c>
      <c r="G4" s="61">
        <v>1661.0</v>
      </c>
      <c r="H4" s="144">
        <v>1646.0</v>
      </c>
      <c r="I4" s="184">
        <v>1670.0</v>
      </c>
      <c r="J4" s="61">
        <f t="shared" si="3"/>
        <v>1659</v>
      </c>
      <c r="K4" s="43"/>
      <c r="L4" s="183">
        <v>6069.0</v>
      </c>
      <c r="M4" s="61">
        <v>5448.0</v>
      </c>
      <c r="N4" s="61">
        <v>7078.0</v>
      </c>
      <c r="O4" s="185">
        <v>9297.0</v>
      </c>
      <c r="P4" s="185">
        <v>7564.0</v>
      </c>
      <c r="Q4" s="185">
        <v>6112.0</v>
      </c>
      <c r="R4" s="185">
        <v>6398.0</v>
      </c>
      <c r="S4" s="61">
        <f t="shared" si="4"/>
        <v>7289.8</v>
      </c>
      <c r="T4" s="43"/>
      <c r="U4" s="186">
        <v>698.0</v>
      </c>
      <c r="V4" s="187">
        <v>715.0</v>
      </c>
      <c r="W4" s="186">
        <v>1036.0</v>
      </c>
      <c r="X4" s="187">
        <v>1476.0</v>
      </c>
      <c r="Y4" s="188">
        <v>915.0</v>
      </c>
      <c r="Z4" s="189">
        <v>1136.0</v>
      </c>
      <c r="AA4" s="188">
        <v>1022.0</v>
      </c>
      <c r="AB4" s="189">
        <v>1006.0</v>
      </c>
      <c r="AC4" s="190">
        <v>849.0</v>
      </c>
      <c r="AD4" s="189">
        <v>884.0</v>
      </c>
      <c r="AE4" s="186">
        <f t="shared" ref="AE4:AF4" si="9">AVERAGE(U4,W4,Y4,AA4,AC4)</f>
        <v>904</v>
      </c>
      <c r="AF4" s="187">
        <f t="shared" si="9"/>
        <v>1043.4</v>
      </c>
      <c r="AG4" s="116">
        <f t="shared" si="6"/>
        <v>139.4</v>
      </c>
      <c r="AH4" s="139">
        <f t="shared" si="7"/>
        <v>1.15420354</v>
      </c>
      <c r="AI4" s="43"/>
      <c r="AJ4" s="191">
        <f t="shared" ref="AJ4:AK4" si="10">SUM(AE4/$AE$57)</f>
        <v>0.01127814859</v>
      </c>
      <c r="AK4" s="191">
        <f t="shared" si="10"/>
        <v>0.01301727902</v>
      </c>
    </row>
    <row r="5">
      <c r="A5" s="53" t="s">
        <v>207</v>
      </c>
      <c r="B5" s="53"/>
      <c r="C5" s="183">
        <v>16425.0</v>
      </c>
      <c r="D5" s="61">
        <v>16510.0</v>
      </c>
      <c r="E5" s="61">
        <v>16750.0</v>
      </c>
      <c r="F5" s="61">
        <v>16765.0</v>
      </c>
      <c r="G5" s="61">
        <v>16820.0</v>
      </c>
      <c r="H5" s="144">
        <v>16910.0</v>
      </c>
      <c r="I5" s="184">
        <v>16860.0</v>
      </c>
      <c r="J5" s="61">
        <f t="shared" si="3"/>
        <v>16863.33333</v>
      </c>
      <c r="K5" s="43"/>
      <c r="L5" s="183">
        <v>164954.0</v>
      </c>
      <c r="M5" s="61">
        <v>150720.0</v>
      </c>
      <c r="N5" s="61">
        <v>136133.0</v>
      </c>
      <c r="O5" s="185">
        <v>134118.0</v>
      </c>
      <c r="P5" s="185">
        <v>99949.0</v>
      </c>
      <c r="Q5" s="185">
        <v>76233.0</v>
      </c>
      <c r="R5" s="185">
        <v>90951.0</v>
      </c>
      <c r="S5" s="61">
        <f t="shared" si="4"/>
        <v>107476.8</v>
      </c>
      <c r="T5" s="43"/>
      <c r="U5" s="186">
        <v>8246.0</v>
      </c>
      <c r="V5" s="187">
        <v>6390.0</v>
      </c>
      <c r="W5" s="186">
        <v>8331.0</v>
      </c>
      <c r="X5" s="187">
        <v>7498.0</v>
      </c>
      <c r="Y5" s="188">
        <v>7657.0</v>
      </c>
      <c r="Z5" s="189">
        <v>6257.0</v>
      </c>
      <c r="AA5" s="188">
        <v>8696.0</v>
      </c>
      <c r="AB5" s="189">
        <v>6129.0</v>
      </c>
      <c r="AC5" s="190">
        <v>7700.0</v>
      </c>
      <c r="AD5" s="189">
        <v>5860.0</v>
      </c>
      <c r="AE5" s="186">
        <f t="shared" ref="AE5:AF5" si="11">AVERAGE(U5,W5,Y5,AA5,AC5)</f>
        <v>8126</v>
      </c>
      <c r="AF5" s="187">
        <f t="shared" si="11"/>
        <v>6426.8</v>
      </c>
      <c r="AG5" s="116">
        <f t="shared" si="6"/>
        <v>-1699.2</v>
      </c>
      <c r="AH5" s="139">
        <f t="shared" si="7"/>
        <v>0.7908934285</v>
      </c>
      <c r="AI5" s="43"/>
      <c r="AJ5" s="191">
        <f t="shared" ref="AJ5:AK5" si="12">SUM(AE5/$AE$57)</f>
        <v>0.101378579</v>
      </c>
      <c r="AK5" s="191">
        <f t="shared" si="12"/>
        <v>0.08017965192</v>
      </c>
    </row>
    <row r="6">
      <c r="A6" s="193" t="s">
        <v>208</v>
      </c>
      <c r="B6" s="194"/>
      <c r="C6" s="195">
        <v>2491.0</v>
      </c>
      <c r="D6" s="195">
        <v>2766.0</v>
      </c>
      <c r="E6" s="195">
        <v>2442.0</v>
      </c>
      <c r="F6" s="196">
        <v>2185.0</v>
      </c>
      <c r="G6" s="196">
        <v>1531.0</v>
      </c>
      <c r="H6" s="197">
        <v>1569.0</v>
      </c>
      <c r="I6" s="198">
        <v>1685.0</v>
      </c>
      <c r="J6" s="61">
        <f t="shared" si="3"/>
        <v>1595</v>
      </c>
      <c r="K6" s="43"/>
      <c r="L6" s="183"/>
      <c r="M6" s="185">
        <v>1595.0</v>
      </c>
      <c r="N6" s="185">
        <v>1200.0</v>
      </c>
      <c r="O6" s="185">
        <v>1034.0</v>
      </c>
      <c r="P6" s="185">
        <v>561.0</v>
      </c>
      <c r="Q6" s="185">
        <v>218.0</v>
      </c>
      <c r="R6" s="185">
        <v>463.0</v>
      </c>
      <c r="S6" s="61">
        <f t="shared" si="4"/>
        <v>695.2</v>
      </c>
      <c r="T6" s="43"/>
      <c r="U6" s="199"/>
      <c r="V6" s="200"/>
      <c r="W6" s="186">
        <v>521.0</v>
      </c>
      <c r="X6" s="187">
        <v>98.0</v>
      </c>
      <c r="Y6" s="188">
        <v>278.0</v>
      </c>
      <c r="Z6" s="189">
        <v>46.0</v>
      </c>
      <c r="AA6" s="188">
        <v>393.0</v>
      </c>
      <c r="AB6" s="189">
        <v>37.0</v>
      </c>
      <c r="AC6" s="190">
        <v>344.0</v>
      </c>
      <c r="AD6" s="189">
        <v>55.0</v>
      </c>
      <c r="AE6" s="201">
        <f t="shared" ref="AE6:AF6" si="13">AVERAGE(U6,W6,Y6,AA6,AC6)</f>
        <v>384</v>
      </c>
      <c r="AF6" s="202">
        <f t="shared" si="13"/>
        <v>59</v>
      </c>
      <c r="AG6" s="116">
        <f t="shared" si="6"/>
        <v>-325</v>
      </c>
      <c r="AH6" s="139">
        <f t="shared" si="7"/>
        <v>0.1536458333</v>
      </c>
      <c r="AI6" s="43"/>
      <c r="AJ6" s="191">
        <f t="shared" ref="AJ6:AK6" si="14">SUM(AE6/$AE$57)</f>
        <v>0.004790717984</v>
      </c>
      <c r="AK6" s="191">
        <f t="shared" si="14"/>
        <v>0.0007360738569</v>
      </c>
    </row>
    <row r="7">
      <c r="A7" s="203" t="s">
        <v>209</v>
      </c>
      <c r="B7" s="204"/>
      <c r="C7" s="195"/>
      <c r="D7" s="195"/>
      <c r="E7" s="195"/>
      <c r="F7" s="196"/>
      <c r="G7" s="196"/>
      <c r="H7" s="205"/>
      <c r="I7" s="205"/>
      <c r="J7" s="61"/>
      <c r="K7" s="43"/>
      <c r="L7" s="183"/>
      <c r="M7" s="61"/>
      <c r="N7" s="61"/>
      <c r="O7" s="61"/>
      <c r="P7" s="185">
        <v>4.0</v>
      </c>
      <c r="Q7" s="185">
        <v>45.0</v>
      </c>
      <c r="R7" s="185">
        <v>121.0</v>
      </c>
      <c r="S7" s="61">
        <f t="shared" si="4"/>
        <v>56.66666667</v>
      </c>
      <c r="T7" s="43"/>
      <c r="U7" s="199"/>
      <c r="V7" s="200"/>
      <c r="W7" s="186"/>
      <c r="X7" s="187"/>
      <c r="Y7" s="188">
        <v>3.0</v>
      </c>
      <c r="Z7" s="189">
        <v>1.0</v>
      </c>
      <c r="AA7" s="188">
        <v>0.0</v>
      </c>
      <c r="AB7" s="189">
        <v>15.0</v>
      </c>
      <c r="AC7" s="190">
        <v>6.0</v>
      </c>
      <c r="AD7" s="189">
        <v>27.0</v>
      </c>
      <c r="AE7" s="186">
        <f t="shared" ref="AE7:AF7" si="15">AVERAGE(U7,W7,Y7,AA7,AC7)</f>
        <v>3</v>
      </c>
      <c r="AF7" s="187">
        <f t="shared" si="15"/>
        <v>14.33333333</v>
      </c>
      <c r="AG7" s="116"/>
      <c r="AH7" s="139"/>
      <c r="AI7" s="43"/>
      <c r="AJ7" s="191">
        <f t="shared" ref="AJ7:AK7" si="16">SUM(AE7/$AE$57)</f>
        <v>0.00003742748425</v>
      </c>
      <c r="AK7" s="191">
        <f t="shared" si="16"/>
        <v>0.0001788202025</v>
      </c>
    </row>
    <row r="8">
      <c r="A8" s="206" t="s">
        <v>210</v>
      </c>
      <c r="B8" s="204"/>
      <c r="C8" s="195">
        <v>1433.0</v>
      </c>
      <c r="D8" s="195">
        <v>1268.0</v>
      </c>
      <c r="E8" s="195">
        <v>1492.0</v>
      </c>
      <c r="F8" s="196">
        <v>1309.0</v>
      </c>
      <c r="G8" s="196">
        <v>1034.0</v>
      </c>
      <c r="H8" s="197">
        <v>884.0</v>
      </c>
      <c r="I8" s="198">
        <v>733.0</v>
      </c>
      <c r="J8" s="61">
        <f t="shared" ref="J8:J56" si="19">AVERAGE(G8:I8)</f>
        <v>883.6666667</v>
      </c>
      <c r="K8" s="43"/>
      <c r="L8" s="183"/>
      <c r="M8" s="185">
        <v>3171.0</v>
      </c>
      <c r="N8" s="185">
        <v>2931.0</v>
      </c>
      <c r="O8" s="185">
        <v>2081.0</v>
      </c>
      <c r="P8" s="185">
        <v>1499.0</v>
      </c>
      <c r="Q8" s="185">
        <v>1074.0</v>
      </c>
      <c r="R8" s="185">
        <v>1245.0</v>
      </c>
      <c r="S8" s="61">
        <f t="shared" si="4"/>
        <v>1766</v>
      </c>
      <c r="T8" s="43"/>
      <c r="U8" s="199"/>
      <c r="V8" s="200"/>
      <c r="W8" s="186">
        <v>1415.0</v>
      </c>
      <c r="X8" s="187">
        <v>184.0</v>
      </c>
      <c r="Y8" s="188">
        <v>1099.0</v>
      </c>
      <c r="Z8" s="189">
        <v>96.0</v>
      </c>
      <c r="AA8" s="188">
        <v>1062.0</v>
      </c>
      <c r="AB8" s="189">
        <v>63.0</v>
      </c>
      <c r="AC8" s="190">
        <v>990.0</v>
      </c>
      <c r="AD8" s="189">
        <v>34.0</v>
      </c>
      <c r="AE8" s="201">
        <f t="shared" ref="AE8:AF8" si="17">AVERAGE(U8,W8,Y8,AA8,AC8)</f>
        <v>1141.5</v>
      </c>
      <c r="AF8" s="202">
        <f t="shared" si="17"/>
        <v>94.25</v>
      </c>
      <c r="AG8" s="116">
        <f t="shared" ref="AG8:AG56" si="21">SUM(AF8-AE8)</f>
        <v>-1047.25</v>
      </c>
      <c r="AH8" s="139">
        <f t="shared" ref="AH8:AH14" si="22">SUM(AF8/AE8)</f>
        <v>0.08256679807</v>
      </c>
      <c r="AI8" s="43"/>
      <c r="AJ8" s="191">
        <f t="shared" ref="AJ8:AK8" si="18">SUM(AE8/$AE$57)</f>
        <v>0.01424115776</v>
      </c>
      <c r="AK8" s="191">
        <f t="shared" si="18"/>
        <v>0.001175846797</v>
      </c>
    </row>
    <row r="9">
      <c r="A9" s="193" t="s">
        <v>49</v>
      </c>
      <c r="B9" s="194"/>
      <c r="C9" s="195"/>
      <c r="D9" s="195"/>
      <c r="E9" s="195"/>
      <c r="F9" s="196">
        <v>292.0</v>
      </c>
      <c r="G9" s="196">
        <v>291.0</v>
      </c>
      <c r="H9" s="197">
        <v>252.0</v>
      </c>
      <c r="I9" s="198">
        <v>289.0</v>
      </c>
      <c r="J9" s="61">
        <f t="shared" si="19"/>
        <v>277.3333333</v>
      </c>
      <c r="K9" s="43"/>
      <c r="L9" s="183"/>
      <c r="M9" s="185">
        <v>2104.0</v>
      </c>
      <c r="N9" s="185">
        <v>1975.0</v>
      </c>
      <c r="O9" s="185">
        <v>1875.0</v>
      </c>
      <c r="P9" s="185">
        <v>117.0</v>
      </c>
      <c r="Q9" s="185">
        <v>1294.0</v>
      </c>
      <c r="R9" s="185">
        <v>1588.0</v>
      </c>
      <c r="S9" s="61">
        <f t="shared" si="4"/>
        <v>1369.8</v>
      </c>
      <c r="T9" s="43"/>
      <c r="U9" s="199"/>
      <c r="V9" s="200"/>
      <c r="W9" s="186">
        <v>3.0</v>
      </c>
      <c r="X9" s="187">
        <v>2.0</v>
      </c>
      <c r="Y9" s="188">
        <v>6.0</v>
      </c>
      <c r="Z9" s="189">
        <v>4.0</v>
      </c>
      <c r="AA9" s="188">
        <v>0.0</v>
      </c>
      <c r="AB9" s="189">
        <v>0.0</v>
      </c>
      <c r="AC9" s="190">
        <v>0.0</v>
      </c>
      <c r="AD9" s="189">
        <v>2.0</v>
      </c>
      <c r="AE9" s="186">
        <f t="shared" ref="AE9:AF9" si="20">AVERAGE(U9,W9,Y9,AA9,AC9)</f>
        <v>2.25</v>
      </c>
      <c r="AF9" s="187">
        <f t="shared" si="20"/>
        <v>2</v>
      </c>
      <c r="AG9" s="116">
        <f t="shared" si="21"/>
        <v>-0.25</v>
      </c>
      <c r="AH9" s="139">
        <f t="shared" si="22"/>
        <v>0.8888888889</v>
      </c>
      <c r="AI9" s="43"/>
      <c r="AJ9" s="191">
        <f t="shared" ref="AJ9:AK9" si="23">SUM(AE9/$AE$57)</f>
        <v>0.00002807061319</v>
      </c>
      <c r="AK9" s="191">
        <f t="shared" si="23"/>
        <v>0.00002495165617</v>
      </c>
    </row>
    <row r="10">
      <c r="A10" s="193" t="s">
        <v>211</v>
      </c>
      <c r="B10" s="194"/>
      <c r="C10" s="195"/>
      <c r="D10" s="196"/>
      <c r="E10" s="196"/>
      <c r="F10" s="196">
        <v>66.0</v>
      </c>
      <c r="G10" s="196">
        <v>86.0</v>
      </c>
      <c r="H10" s="197">
        <v>82.0</v>
      </c>
      <c r="I10" s="198">
        <v>83.0</v>
      </c>
      <c r="J10" s="61">
        <f t="shared" si="19"/>
        <v>83.66666667</v>
      </c>
      <c r="K10" s="43"/>
      <c r="L10" s="183"/>
      <c r="M10" s="185">
        <v>255.0</v>
      </c>
      <c r="N10" s="185">
        <v>203.0</v>
      </c>
      <c r="O10" s="185">
        <v>60.0</v>
      </c>
      <c r="P10" s="185">
        <v>5.0</v>
      </c>
      <c r="Q10" s="185">
        <v>32.0</v>
      </c>
      <c r="R10" s="185">
        <v>28.0</v>
      </c>
      <c r="S10" s="61">
        <f t="shared" si="4"/>
        <v>65.6</v>
      </c>
      <c r="T10" s="43"/>
      <c r="U10" s="199"/>
      <c r="V10" s="200"/>
      <c r="W10" s="186">
        <v>29.0</v>
      </c>
      <c r="X10" s="187">
        <v>18.0</v>
      </c>
      <c r="Y10" s="188">
        <v>7.0</v>
      </c>
      <c r="Z10" s="189">
        <v>1.0</v>
      </c>
      <c r="AA10" s="188">
        <v>41.0</v>
      </c>
      <c r="AB10" s="189">
        <v>14.0</v>
      </c>
      <c r="AC10" s="190">
        <v>36.0</v>
      </c>
      <c r="AD10" s="189">
        <v>11.0</v>
      </c>
      <c r="AE10" s="186">
        <f t="shared" ref="AE10:AF10" si="24">AVERAGE(U10,W10,Y10,AA10,AC10)</f>
        <v>28.25</v>
      </c>
      <c r="AF10" s="187">
        <f t="shared" si="24"/>
        <v>11</v>
      </c>
      <c r="AG10" s="116">
        <f t="shared" si="21"/>
        <v>-17.25</v>
      </c>
      <c r="AH10" s="139">
        <f t="shared" si="22"/>
        <v>0.389380531</v>
      </c>
      <c r="AI10" s="43"/>
      <c r="AJ10" s="191">
        <f t="shared" ref="AJ10:AK10" si="25">SUM(AE10/$AE$57)</f>
        <v>0.0003524421433</v>
      </c>
      <c r="AK10" s="191">
        <f t="shared" si="25"/>
        <v>0.0001372341089</v>
      </c>
    </row>
    <row r="11">
      <c r="A11" s="53" t="s">
        <v>212</v>
      </c>
      <c r="B11" s="53"/>
      <c r="C11" s="183">
        <v>1006.0</v>
      </c>
      <c r="D11" s="61">
        <v>1006.0</v>
      </c>
      <c r="E11" s="61">
        <v>1009.0</v>
      </c>
      <c r="F11" s="61">
        <v>1015.0</v>
      </c>
      <c r="G11" s="61">
        <v>1008.0</v>
      </c>
      <c r="H11" s="144">
        <v>1013.0</v>
      </c>
      <c r="I11" s="184">
        <v>905.0</v>
      </c>
      <c r="J11" s="61">
        <f t="shared" si="19"/>
        <v>975.3333333</v>
      </c>
      <c r="K11" s="43"/>
      <c r="L11" s="183">
        <v>12236.0</v>
      </c>
      <c r="M11" s="61">
        <v>8029.0</v>
      </c>
      <c r="N11" s="61">
        <v>5891.0</v>
      </c>
      <c r="O11" s="185">
        <v>4446.0</v>
      </c>
      <c r="P11" s="185">
        <v>5526.0</v>
      </c>
      <c r="Q11" s="185">
        <v>3265.0</v>
      </c>
      <c r="R11" s="185">
        <v>3970.0</v>
      </c>
      <c r="S11" s="61">
        <f t="shared" si="4"/>
        <v>4619.6</v>
      </c>
      <c r="T11" s="43"/>
      <c r="U11" s="186">
        <v>2316.0</v>
      </c>
      <c r="V11" s="187">
        <v>573.0</v>
      </c>
      <c r="W11" s="186">
        <v>2433.0</v>
      </c>
      <c r="X11" s="187">
        <v>405.0</v>
      </c>
      <c r="Y11" s="188">
        <v>2146.0</v>
      </c>
      <c r="Z11" s="189">
        <v>324.0</v>
      </c>
      <c r="AA11" s="188">
        <v>1989.0</v>
      </c>
      <c r="AB11" s="189">
        <v>436.0</v>
      </c>
      <c r="AC11" s="190">
        <v>1666.0</v>
      </c>
      <c r="AD11" s="189">
        <v>346.0</v>
      </c>
      <c r="AE11" s="201">
        <f t="shared" ref="AE11:AF11" si="26">AVERAGE(U11,W11,Y11,AA11,AC11)</f>
        <v>2110</v>
      </c>
      <c r="AF11" s="202">
        <f t="shared" si="26"/>
        <v>416.8</v>
      </c>
      <c r="AG11" s="116">
        <f t="shared" si="21"/>
        <v>-1693.2</v>
      </c>
      <c r="AH11" s="139">
        <f t="shared" si="22"/>
        <v>0.197535545</v>
      </c>
      <c r="AI11" s="43"/>
      <c r="AJ11" s="191">
        <f t="shared" ref="AJ11:AK11" si="27">SUM(AE11/$AE$57)</f>
        <v>0.02632399726</v>
      </c>
      <c r="AK11" s="191">
        <f t="shared" si="27"/>
        <v>0.005199925145</v>
      </c>
    </row>
    <row r="12">
      <c r="A12" s="193" t="s">
        <v>57</v>
      </c>
      <c r="B12" s="194"/>
      <c r="C12" s="195"/>
      <c r="D12" s="195"/>
      <c r="E12" s="195"/>
      <c r="F12" s="196">
        <f>'FY21-22 fees'!K22</f>
        <v>2</v>
      </c>
      <c r="G12" s="196">
        <f>$F$12</f>
        <v>2</v>
      </c>
      <c r="H12" s="205">
        <v>2.0</v>
      </c>
      <c r="I12" s="205">
        <v>2.0</v>
      </c>
      <c r="J12" s="61">
        <f t="shared" si="19"/>
        <v>2</v>
      </c>
      <c r="K12" s="43"/>
      <c r="L12" s="183"/>
      <c r="M12" s="185">
        <v>179.0</v>
      </c>
      <c r="N12" s="185">
        <v>115.0</v>
      </c>
      <c r="O12" s="185">
        <v>111.0</v>
      </c>
      <c r="P12" s="185">
        <v>63.0</v>
      </c>
      <c r="Q12" s="185">
        <v>19.0</v>
      </c>
      <c r="R12" s="61"/>
      <c r="S12" s="61">
        <f t="shared" si="4"/>
        <v>77</v>
      </c>
      <c r="T12" s="43"/>
      <c r="U12" s="199"/>
      <c r="V12" s="200"/>
      <c r="W12" s="186">
        <v>64.0</v>
      </c>
      <c r="X12" s="187">
        <v>66.0</v>
      </c>
      <c r="Y12" s="188">
        <v>33.0</v>
      </c>
      <c r="Z12" s="189">
        <v>44.0</v>
      </c>
      <c r="AA12" s="188">
        <v>0.0</v>
      </c>
      <c r="AB12" s="189">
        <v>12.0</v>
      </c>
      <c r="AC12" s="207"/>
      <c r="AD12" s="208"/>
      <c r="AE12" s="186">
        <f t="shared" ref="AE12:AF12" si="28">AVERAGE(U12,W12,Y12,AA12,AC12)</f>
        <v>32.33333333</v>
      </c>
      <c r="AF12" s="187">
        <f t="shared" si="28"/>
        <v>40.66666667</v>
      </c>
      <c r="AG12" s="116">
        <f t="shared" si="21"/>
        <v>8.333333333</v>
      </c>
      <c r="AH12" s="139">
        <f t="shared" si="22"/>
        <v>1.257731959</v>
      </c>
      <c r="AI12" s="43"/>
      <c r="AJ12" s="191">
        <f t="shared" ref="AJ12:AK12" si="29">SUM(AE12/$AE$57)</f>
        <v>0.000403385108</v>
      </c>
      <c r="AK12" s="191">
        <f t="shared" si="29"/>
        <v>0.000507350342</v>
      </c>
    </row>
    <row r="13">
      <c r="A13" s="53" t="s">
        <v>60</v>
      </c>
      <c r="B13" s="53"/>
      <c r="C13" s="183">
        <v>2633.0</v>
      </c>
      <c r="D13" s="61">
        <v>2640.0</v>
      </c>
      <c r="E13" s="61">
        <v>2655.0</v>
      </c>
      <c r="F13" s="61">
        <v>2631.0</v>
      </c>
      <c r="G13" s="61">
        <v>2867.0</v>
      </c>
      <c r="H13" s="144">
        <v>2607.0</v>
      </c>
      <c r="I13" s="209">
        <v>3226.0</v>
      </c>
      <c r="J13" s="61">
        <f t="shared" si="19"/>
        <v>2900</v>
      </c>
      <c r="K13" s="43"/>
      <c r="L13" s="183">
        <v>7846.0</v>
      </c>
      <c r="M13" s="61">
        <v>7039.0</v>
      </c>
      <c r="N13" s="61">
        <v>9101.0</v>
      </c>
      <c r="O13" s="185">
        <v>6637.0</v>
      </c>
      <c r="P13" s="185">
        <v>5032.0</v>
      </c>
      <c r="Q13" s="185">
        <v>4055.0</v>
      </c>
      <c r="R13" s="185">
        <v>4055.0</v>
      </c>
      <c r="S13" s="61">
        <f t="shared" si="4"/>
        <v>5776</v>
      </c>
      <c r="T13" s="43"/>
      <c r="U13" s="186">
        <v>1066.0</v>
      </c>
      <c r="V13" s="187">
        <v>1825.0</v>
      </c>
      <c r="W13" s="186">
        <v>1040.0</v>
      </c>
      <c r="X13" s="187">
        <v>1285.0</v>
      </c>
      <c r="Y13" s="188">
        <v>926.0</v>
      </c>
      <c r="Z13" s="189">
        <v>890.0</v>
      </c>
      <c r="AA13" s="188">
        <v>944.0</v>
      </c>
      <c r="AB13" s="189">
        <v>985.0</v>
      </c>
      <c r="AC13" s="207">
        <v>944.0</v>
      </c>
      <c r="AD13" s="210">
        <v>705.0</v>
      </c>
      <c r="AE13" s="186">
        <f t="shared" ref="AE13:AF13" si="30">AVERAGE(U13,W13,Y13,AA13,AC13)</f>
        <v>984</v>
      </c>
      <c r="AF13" s="187">
        <f t="shared" si="30"/>
        <v>1138</v>
      </c>
      <c r="AG13" s="116">
        <f t="shared" si="21"/>
        <v>154</v>
      </c>
      <c r="AH13" s="139">
        <f t="shared" si="22"/>
        <v>1.156504065</v>
      </c>
      <c r="AI13" s="43"/>
      <c r="AJ13" s="191">
        <f t="shared" ref="AJ13:AK13" si="31">SUM(AE13/$AE$57)</f>
        <v>0.01227621483</v>
      </c>
      <c r="AK13" s="191">
        <f t="shared" si="31"/>
        <v>0.01419749236</v>
      </c>
    </row>
    <row r="14">
      <c r="A14" s="53" t="s">
        <v>213</v>
      </c>
      <c r="B14" s="53"/>
      <c r="C14" s="183">
        <v>1940.0</v>
      </c>
      <c r="D14" s="192">
        <v>1940.0</v>
      </c>
      <c r="E14" s="61">
        <v>1985.0</v>
      </c>
      <c r="F14" s="61">
        <v>1985.0</v>
      </c>
      <c r="G14" s="61">
        <v>1985.0</v>
      </c>
      <c r="H14" s="144">
        <v>1995.0</v>
      </c>
      <c r="I14" s="184">
        <v>2080.0</v>
      </c>
      <c r="J14" s="61">
        <f t="shared" si="19"/>
        <v>2020</v>
      </c>
      <c r="K14" s="43"/>
      <c r="L14" s="183">
        <v>21530.0</v>
      </c>
      <c r="M14" s="61">
        <v>16584.0</v>
      </c>
      <c r="N14" s="61">
        <v>20707.0</v>
      </c>
      <c r="O14" s="185">
        <v>24774.0</v>
      </c>
      <c r="P14" s="185">
        <v>19845.0</v>
      </c>
      <c r="Q14" s="185">
        <v>13621.0</v>
      </c>
      <c r="R14" s="185">
        <v>20613.0</v>
      </c>
      <c r="S14" s="61">
        <f t="shared" si="4"/>
        <v>19912</v>
      </c>
      <c r="T14" s="43"/>
      <c r="U14" s="186">
        <v>1260.0</v>
      </c>
      <c r="V14" s="187">
        <v>2483.0</v>
      </c>
      <c r="W14" s="186">
        <v>1002.0</v>
      </c>
      <c r="X14" s="187">
        <v>2492.0</v>
      </c>
      <c r="Y14" s="188">
        <v>1014.0</v>
      </c>
      <c r="Z14" s="189">
        <v>2321.0</v>
      </c>
      <c r="AA14" s="188">
        <v>1279.0</v>
      </c>
      <c r="AB14" s="189">
        <v>2754.0</v>
      </c>
      <c r="AC14" s="190">
        <v>1117.0</v>
      </c>
      <c r="AD14" s="189">
        <v>2011.0</v>
      </c>
      <c r="AE14" s="211">
        <f t="shared" ref="AE14:AF14" si="32">AVERAGE(U14,W14,Y14,AA14,AC14)</f>
        <v>1134.4</v>
      </c>
      <c r="AF14" s="212">
        <f t="shared" si="32"/>
        <v>2412.2</v>
      </c>
      <c r="AG14" s="116">
        <f t="shared" si="21"/>
        <v>1277.8</v>
      </c>
      <c r="AH14" s="139">
        <f t="shared" si="22"/>
        <v>2.126410437</v>
      </c>
      <c r="AI14" s="43"/>
      <c r="AJ14" s="191">
        <f t="shared" ref="AJ14:AK14" si="33">SUM(AE14/$AE$57)</f>
        <v>0.01415257938</v>
      </c>
      <c r="AK14" s="191">
        <f t="shared" si="33"/>
        <v>0.0300941925</v>
      </c>
    </row>
    <row r="15">
      <c r="A15" s="53" t="s">
        <v>214</v>
      </c>
      <c r="B15" s="53"/>
      <c r="C15" s="183">
        <v>475.0</v>
      </c>
      <c r="D15" s="61">
        <v>475.0</v>
      </c>
      <c r="E15" s="61">
        <v>475.0</v>
      </c>
      <c r="F15" s="61">
        <v>475.0</v>
      </c>
      <c r="G15" s="61">
        <v>475.0</v>
      </c>
      <c r="H15" s="144">
        <v>475.0</v>
      </c>
      <c r="I15" s="184">
        <v>449.0</v>
      </c>
      <c r="J15" s="61">
        <f t="shared" si="19"/>
        <v>466.3333333</v>
      </c>
      <c r="K15" s="43"/>
      <c r="L15" s="183">
        <v>2240.0</v>
      </c>
      <c r="M15" s="61">
        <v>3264.0</v>
      </c>
      <c r="N15" s="61">
        <v>967.0</v>
      </c>
      <c r="O15" s="185">
        <v>2032.0</v>
      </c>
      <c r="P15" s="185">
        <v>1337.0</v>
      </c>
      <c r="Q15" s="185">
        <v>966.0</v>
      </c>
      <c r="R15" s="185">
        <v>1657.0</v>
      </c>
      <c r="S15" s="61">
        <f t="shared" si="4"/>
        <v>1391.8</v>
      </c>
      <c r="T15" s="43"/>
      <c r="U15" s="213">
        <v>0.0</v>
      </c>
      <c r="V15" s="214">
        <v>0.0</v>
      </c>
      <c r="W15" s="186">
        <v>69.0</v>
      </c>
      <c r="X15" s="187">
        <v>431.0</v>
      </c>
      <c r="Y15" s="188">
        <v>79.0</v>
      </c>
      <c r="Z15" s="189">
        <v>257.0</v>
      </c>
      <c r="AA15" s="188">
        <v>99.0</v>
      </c>
      <c r="AB15" s="189">
        <v>210.0</v>
      </c>
      <c r="AC15" s="190">
        <v>101.0</v>
      </c>
      <c r="AD15" s="189">
        <v>211.0</v>
      </c>
      <c r="AE15" s="186">
        <f t="shared" ref="AE15:AF15" si="34">AVERAGE(U15,W15,Y15,AA15,AC15)</f>
        <v>69.6</v>
      </c>
      <c r="AF15" s="187">
        <f t="shared" si="34"/>
        <v>221.8</v>
      </c>
      <c r="AG15" s="116">
        <f t="shared" si="21"/>
        <v>152.2</v>
      </c>
      <c r="AH15" s="139"/>
      <c r="AI15" s="43"/>
      <c r="AJ15" s="191">
        <f t="shared" ref="AJ15:AK15" si="35">SUM(AE15/$AE$57)</f>
        <v>0.0008683176346</v>
      </c>
      <c r="AK15" s="191">
        <f t="shared" si="35"/>
        <v>0.002767138669</v>
      </c>
    </row>
    <row r="16">
      <c r="A16" s="53" t="s">
        <v>67</v>
      </c>
      <c r="B16" s="53"/>
      <c r="C16" s="215">
        <v>1975.0</v>
      </c>
      <c r="D16" s="192">
        <v>1385.0</v>
      </c>
      <c r="E16" s="61">
        <v>1385.0</v>
      </c>
      <c r="F16" s="61">
        <v>1375.0</v>
      </c>
      <c r="G16" s="61">
        <v>1375.0</v>
      </c>
      <c r="H16" s="144">
        <v>1375.0</v>
      </c>
      <c r="I16" s="184">
        <v>1389.0</v>
      </c>
      <c r="J16" s="61">
        <f t="shared" si="19"/>
        <v>1379.666667</v>
      </c>
      <c r="K16" s="43"/>
      <c r="L16" s="183">
        <v>6854.0</v>
      </c>
      <c r="M16" s="61">
        <v>6165.0</v>
      </c>
      <c r="N16" s="61">
        <v>6404.0</v>
      </c>
      <c r="O16" s="185">
        <v>5241.0</v>
      </c>
      <c r="P16" s="185">
        <v>4661.0</v>
      </c>
      <c r="Q16" s="185">
        <v>5630.0</v>
      </c>
      <c r="R16" s="185">
        <v>8711.0</v>
      </c>
      <c r="S16" s="61">
        <f t="shared" si="4"/>
        <v>6129.4</v>
      </c>
      <c r="T16" s="43"/>
      <c r="U16" s="186">
        <v>321.0</v>
      </c>
      <c r="V16" s="187">
        <v>861.0</v>
      </c>
      <c r="W16" s="186">
        <v>412.0</v>
      </c>
      <c r="X16" s="187">
        <v>731.0</v>
      </c>
      <c r="Y16" s="188">
        <v>371.0</v>
      </c>
      <c r="Z16" s="189">
        <v>614.0</v>
      </c>
      <c r="AA16" s="188">
        <v>415.0</v>
      </c>
      <c r="AB16" s="189">
        <v>1189.0</v>
      </c>
      <c r="AC16" s="190">
        <v>385.0</v>
      </c>
      <c r="AD16" s="189">
        <v>1471.0</v>
      </c>
      <c r="AE16" s="186">
        <f t="shared" ref="AE16:AF16" si="36">AVERAGE(U16,W16,Y16,AA16,AC16)</f>
        <v>380.8</v>
      </c>
      <c r="AF16" s="187">
        <f t="shared" si="36"/>
        <v>973.2</v>
      </c>
      <c r="AG16" s="116">
        <f t="shared" si="21"/>
        <v>592.4</v>
      </c>
      <c r="AH16" s="139">
        <f t="shared" ref="AH16:AH25" si="39">SUM(AF16/AE16)</f>
        <v>2.555672269</v>
      </c>
      <c r="AI16" s="43"/>
      <c r="AJ16" s="191">
        <f t="shared" ref="AJ16:AK16" si="37">SUM(AE16/$AE$57)</f>
        <v>0.004750795334</v>
      </c>
      <c r="AK16" s="191">
        <f t="shared" si="37"/>
        <v>0.01214147589</v>
      </c>
    </row>
    <row r="17">
      <c r="A17" s="53" t="s">
        <v>69</v>
      </c>
      <c r="B17" s="53"/>
      <c r="C17" s="183">
        <v>7430.0</v>
      </c>
      <c r="D17" s="61">
        <v>7410.0</v>
      </c>
      <c r="E17" s="61">
        <v>7415.0</v>
      </c>
      <c r="F17" s="61">
        <v>7400.0</v>
      </c>
      <c r="G17" s="61">
        <v>7360.0</v>
      </c>
      <c r="H17" s="144">
        <v>7315.0</v>
      </c>
      <c r="I17" s="184">
        <v>7226.0</v>
      </c>
      <c r="J17" s="61">
        <f t="shared" si="19"/>
        <v>7300.333333</v>
      </c>
      <c r="K17" s="43"/>
      <c r="L17" s="183">
        <v>17427.0</v>
      </c>
      <c r="M17" s="61">
        <v>18352.0</v>
      </c>
      <c r="N17" s="61">
        <v>27011.0</v>
      </c>
      <c r="O17" s="185">
        <v>21465.0</v>
      </c>
      <c r="P17" s="185">
        <v>16377.0</v>
      </c>
      <c r="Q17" s="185">
        <v>7790.0</v>
      </c>
      <c r="R17" s="185">
        <v>19122.0</v>
      </c>
      <c r="S17" s="61">
        <f t="shared" si="4"/>
        <v>18353</v>
      </c>
      <c r="T17" s="43"/>
      <c r="U17" s="186">
        <v>1554.0</v>
      </c>
      <c r="V17" s="187">
        <v>1114.0</v>
      </c>
      <c r="W17" s="186">
        <v>1611.0</v>
      </c>
      <c r="X17" s="187">
        <v>985.0</v>
      </c>
      <c r="Y17" s="188">
        <v>1112.0</v>
      </c>
      <c r="Z17" s="189">
        <v>1072.0</v>
      </c>
      <c r="AA17" s="188">
        <v>2045.0</v>
      </c>
      <c r="AB17" s="189">
        <v>1761.0</v>
      </c>
      <c r="AC17" s="190">
        <v>1820.0</v>
      </c>
      <c r="AD17" s="189">
        <v>1984.0</v>
      </c>
      <c r="AE17" s="186">
        <f t="shared" ref="AE17:AF17" si="38">AVERAGE(U17,W17,Y17,AA17,AC17)</f>
        <v>1628.4</v>
      </c>
      <c r="AF17" s="187">
        <f t="shared" si="38"/>
        <v>1383.2</v>
      </c>
      <c r="AG17" s="116">
        <f t="shared" si="21"/>
        <v>-245.2</v>
      </c>
      <c r="AH17" s="139">
        <f t="shared" si="39"/>
        <v>0.8494227463</v>
      </c>
      <c r="AI17" s="43"/>
      <c r="AJ17" s="191">
        <f t="shared" ref="AJ17:AK17" si="40">SUM(AE17/$AE$57)</f>
        <v>0.02031563845</v>
      </c>
      <c r="AK17" s="191">
        <f t="shared" si="40"/>
        <v>0.0172565654</v>
      </c>
    </row>
    <row r="18">
      <c r="A18" s="194" t="s">
        <v>72</v>
      </c>
      <c r="B18" s="194"/>
      <c r="C18" s="195"/>
      <c r="D18" s="195"/>
      <c r="E18" s="195"/>
      <c r="F18" s="196">
        <f>'FY21-22 fees'!K28</f>
        <v>24.33333333</v>
      </c>
      <c r="G18" s="196">
        <f>$F$18</f>
        <v>24.33333333</v>
      </c>
      <c r="H18" s="205">
        <v>24.333333333333332</v>
      </c>
      <c r="I18" s="205">
        <v>24.333333333333332</v>
      </c>
      <c r="J18" s="61">
        <f t="shared" si="19"/>
        <v>24.33333333</v>
      </c>
      <c r="K18" s="43"/>
      <c r="L18" s="183"/>
      <c r="M18" s="61"/>
      <c r="N18" s="185">
        <v>104.0</v>
      </c>
      <c r="O18" s="185">
        <v>259.0</v>
      </c>
      <c r="P18" s="185">
        <v>191.0</v>
      </c>
      <c r="Q18" s="185">
        <v>239.0</v>
      </c>
      <c r="R18" s="185">
        <v>152.0</v>
      </c>
      <c r="S18" s="61">
        <f t="shared" si="4"/>
        <v>189</v>
      </c>
      <c r="T18" s="43"/>
      <c r="U18" s="199"/>
      <c r="V18" s="200"/>
      <c r="W18" s="186">
        <v>215.0</v>
      </c>
      <c r="X18" s="187">
        <v>49.0</v>
      </c>
      <c r="Y18" s="188">
        <v>192.0</v>
      </c>
      <c r="Z18" s="189">
        <v>60.0</v>
      </c>
      <c r="AA18" s="188">
        <v>205.0</v>
      </c>
      <c r="AB18" s="189">
        <v>52.0</v>
      </c>
      <c r="AC18" s="190">
        <v>206.0</v>
      </c>
      <c r="AD18" s="189">
        <v>42.0</v>
      </c>
      <c r="AE18" s="186">
        <f t="shared" ref="AE18:AF18" si="41">AVERAGE(U18,W18,Y18,AA18,AC18)</f>
        <v>204.5</v>
      </c>
      <c r="AF18" s="187">
        <f t="shared" si="41"/>
        <v>50.75</v>
      </c>
      <c r="AG18" s="116">
        <f t="shared" si="21"/>
        <v>-153.75</v>
      </c>
      <c r="AH18" s="139">
        <f t="shared" si="39"/>
        <v>0.2481662592</v>
      </c>
      <c r="AI18" s="43"/>
      <c r="AJ18" s="191">
        <f t="shared" ref="AJ18:AK18" si="42">SUM(AE18/$AE$57)</f>
        <v>0.002551306843</v>
      </c>
      <c r="AK18" s="191">
        <f t="shared" si="42"/>
        <v>0.0006331482752</v>
      </c>
    </row>
    <row r="19">
      <c r="A19" s="216" t="s">
        <v>75</v>
      </c>
      <c r="B19" s="53"/>
      <c r="C19" s="183">
        <v>7295.0</v>
      </c>
      <c r="D19" s="61">
        <v>7320.0</v>
      </c>
      <c r="E19" s="61">
        <v>7360.0</v>
      </c>
      <c r="F19" s="61">
        <v>7380.0</v>
      </c>
      <c r="G19" s="61">
        <v>7360.0</v>
      </c>
      <c r="H19" s="144">
        <v>7280.0</v>
      </c>
      <c r="I19" s="184">
        <v>7537.0</v>
      </c>
      <c r="J19" s="61">
        <f t="shared" si="19"/>
        <v>7392.333333</v>
      </c>
      <c r="K19" s="43"/>
      <c r="L19" s="183">
        <v>48335.0</v>
      </c>
      <c r="M19" s="61">
        <v>45403.0</v>
      </c>
      <c r="N19" s="61">
        <v>42033.0</v>
      </c>
      <c r="O19" s="185">
        <v>43269.0</v>
      </c>
      <c r="P19" s="185">
        <v>33500.0</v>
      </c>
      <c r="Q19" s="185">
        <v>25173.0</v>
      </c>
      <c r="R19" s="185">
        <v>27934.0</v>
      </c>
      <c r="S19" s="61">
        <f t="shared" si="4"/>
        <v>34381.8</v>
      </c>
      <c r="T19" s="43"/>
      <c r="U19" s="186">
        <v>2594.0</v>
      </c>
      <c r="V19" s="187">
        <v>3005.0</v>
      </c>
      <c r="W19" s="186">
        <v>2304.0</v>
      </c>
      <c r="X19" s="187">
        <v>3214.0</v>
      </c>
      <c r="Y19" s="188">
        <v>1720.0</v>
      </c>
      <c r="Z19" s="189">
        <v>2992.0</v>
      </c>
      <c r="AA19" s="188">
        <v>2513.0</v>
      </c>
      <c r="AB19" s="189">
        <v>2162.0</v>
      </c>
      <c r="AC19" s="190">
        <v>2290.0</v>
      </c>
      <c r="AD19" s="189">
        <v>2182.0</v>
      </c>
      <c r="AE19" s="186">
        <f t="shared" ref="AE19:AF19" si="43">AVERAGE(U19,W19,Y19,AA19,AC19)</f>
        <v>2284.2</v>
      </c>
      <c r="AF19" s="187">
        <f t="shared" si="43"/>
        <v>2711</v>
      </c>
      <c r="AG19" s="116">
        <f t="shared" si="21"/>
        <v>426.8</v>
      </c>
      <c r="AH19" s="139">
        <f t="shared" si="39"/>
        <v>1.186848787</v>
      </c>
      <c r="AI19" s="43"/>
      <c r="AJ19" s="191">
        <f t="shared" ref="AJ19:AK19" si="44">SUM(AE19/$AE$57)</f>
        <v>0.02849728651</v>
      </c>
      <c r="AK19" s="191">
        <f t="shared" si="44"/>
        <v>0.03382196993</v>
      </c>
    </row>
    <row r="20">
      <c r="A20" s="53" t="s">
        <v>215</v>
      </c>
      <c r="B20" s="53"/>
      <c r="C20" s="183">
        <v>278.0</v>
      </c>
      <c r="D20" s="192">
        <v>259.0</v>
      </c>
      <c r="E20" s="61">
        <v>279.0</v>
      </c>
      <c r="F20" s="61">
        <v>279.0</v>
      </c>
      <c r="G20" s="61">
        <v>277.0</v>
      </c>
      <c r="H20" s="144">
        <v>281.0</v>
      </c>
      <c r="I20" s="184">
        <v>267.0</v>
      </c>
      <c r="J20" s="61">
        <f t="shared" si="19"/>
        <v>275</v>
      </c>
      <c r="K20" s="43"/>
      <c r="L20" s="183">
        <v>2278.0</v>
      </c>
      <c r="M20" s="61">
        <v>1872.0</v>
      </c>
      <c r="N20" s="61">
        <v>2061.0</v>
      </c>
      <c r="O20" s="185">
        <v>1695.0</v>
      </c>
      <c r="P20" s="185">
        <v>1490.0</v>
      </c>
      <c r="Q20" s="185">
        <v>1305.0</v>
      </c>
      <c r="R20" s="185">
        <v>1327.0</v>
      </c>
      <c r="S20" s="61">
        <f t="shared" si="4"/>
        <v>1575.6</v>
      </c>
      <c r="T20" s="43"/>
      <c r="U20" s="186">
        <v>280.0</v>
      </c>
      <c r="V20" s="187">
        <v>543.0</v>
      </c>
      <c r="W20" s="186">
        <v>355.0</v>
      </c>
      <c r="X20" s="187">
        <v>400.0</v>
      </c>
      <c r="Y20" s="188">
        <v>257.0</v>
      </c>
      <c r="Z20" s="189">
        <v>290.0</v>
      </c>
      <c r="AA20" s="188">
        <v>463.0</v>
      </c>
      <c r="AB20" s="189">
        <v>384.0</v>
      </c>
      <c r="AC20" s="190">
        <v>360.0</v>
      </c>
      <c r="AD20" s="189">
        <v>377.0</v>
      </c>
      <c r="AE20" s="186">
        <f t="shared" ref="AE20:AF20" si="45">AVERAGE(U20,W20,Y20,AA20,AC20)</f>
        <v>343</v>
      </c>
      <c r="AF20" s="187">
        <f t="shared" si="45"/>
        <v>398.8</v>
      </c>
      <c r="AG20" s="116">
        <f t="shared" si="21"/>
        <v>55.8</v>
      </c>
      <c r="AH20" s="139">
        <f t="shared" si="39"/>
        <v>1.162682216</v>
      </c>
      <c r="AI20" s="43"/>
      <c r="AJ20" s="191">
        <f t="shared" ref="AJ20:AK20" si="46">SUM(AE20/$AE$57)</f>
        <v>0.004279209032</v>
      </c>
      <c r="AK20" s="191">
        <f t="shared" si="46"/>
        <v>0.00497536024</v>
      </c>
    </row>
    <row r="21">
      <c r="A21" s="193" t="s">
        <v>216</v>
      </c>
      <c r="B21" s="194"/>
      <c r="C21" s="195"/>
      <c r="D21" s="195"/>
      <c r="E21" s="195"/>
      <c r="F21" s="196">
        <f>'FY21-22 fees'!K31</f>
        <v>2</v>
      </c>
      <c r="G21" s="196">
        <f>$F$21</f>
        <v>2</v>
      </c>
      <c r="H21" s="205">
        <v>2.0</v>
      </c>
      <c r="I21" s="205">
        <v>2.0</v>
      </c>
      <c r="J21" s="61">
        <f t="shared" si="19"/>
        <v>2</v>
      </c>
      <c r="K21" s="43"/>
      <c r="L21" s="183"/>
      <c r="M21" s="185">
        <v>14.0</v>
      </c>
      <c r="N21" s="185">
        <v>9.0</v>
      </c>
      <c r="O21" s="185">
        <v>0.0</v>
      </c>
      <c r="P21" s="185">
        <v>13.0</v>
      </c>
      <c r="Q21" s="185">
        <v>4.0</v>
      </c>
      <c r="R21" s="185">
        <v>4.0</v>
      </c>
      <c r="S21" s="61">
        <f t="shared" si="4"/>
        <v>6</v>
      </c>
      <c r="T21" s="43"/>
      <c r="U21" s="199"/>
      <c r="V21" s="200"/>
      <c r="W21" s="186">
        <v>104.0</v>
      </c>
      <c r="X21" s="187">
        <v>1.0</v>
      </c>
      <c r="Y21" s="188">
        <v>86.0</v>
      </c>
      <c r="Z21" s="189">
        <v>3.0</v>
      </c>
      <c r="AA21" s="188">
        <v>47.0</v>
      </c>
      <c r="AB21" s="189">
        <v>9.0</v>
      </c>
      <c r="AC21" s="190">
        <v>116.0</v>
      </c>
      <c r="AD21" s="189">
        <v>3.0</v>
      </c>
      <c r="AE21" s="186">
        <f t="shared" ref="AE21:AF21" si="47">AVERAGE(U21,W21,Y21,AA21,AC21)</f>
        <v>88.25</v>
      </c>
      <c r="AF21" s="187">
        <f t="shared" si="47"/>
        <v>4</v>
      </c>
      <c r="AG21" s="116">
        <f t="shared" si="21"/>
        <v>-84.25</v>
      </c>
      <c r="AH21" s="139">
        <f t="shared" si="39"/>
        <v>0.04532577904</v>
      </c>
      <c r="AI21" s="43"/>
      <c r="AJ21" s="191">
        <f t="shared" ref="AJ21:AK21" si="48">SUM(AE21/$AE$57)</f>
        <v>0.001100991828</v>
      </c>
      <c r="AK21" s="191">
        <f t="shared" si="48"/>
        <v>0.00004990331233</v>
      </c>
    </row>
    <row r="22" ht="15.75" customHeight="1">
      <c r="A22" s="53" t="s">
        <v>81</v>
      </c>
      <c r="B22" s="53"/>
      <c r="C22" s="183">
        <v>25003.0</v>
      </c>
      <c r="D22" s="192">
        <v>23534.0</v>
      </c>
      <c r="E22" s="61">
        <v>25752.0</v>
      </c>
      <c r="F22" s="61">
        <v>26016.0</v>
      </c>
      <c r="G22" s="61">
        <v>26140.0</v>
      </c>
      <c r="H22" s="144">
        <v>26419.0</v>
      </c>
      <c r="I22" s="184">
        <v>27144.0</v>
      </c>
      <c r="J22" s="61">
        <f t="shared" si="19"/>
        <v>26567.66667</v>
      </c>
      <c r="K22" s="43"/>
      <c r="L22" s="183">
        <v>75399.0</v>
      </c>
      <c r="M22" s="61">
        <v>66487.0</v>
      </c>
      <c r="N22" s="61">
        <v>81820.0</v>
      </c>
      <c r="O22" s="185">
        <v>64407.0</v>
      </c>
      <c r="P22" s="185">
        <v>45170.0</v>
      </c>
      <c r="Q22" s="185">
        <v>33561.0</v>
      </c>
      <c r="R22" s="185">
        <v>44004.0</v>
      </c>
      <c r="S22" s="61">
        <f t="shared" si="4"/>
        <v>53792.4</v>
      </c>
      <c r="T22" s="43"/>
      <c r="U22" s="186">
        <v>2736.0</v>
      </c>
      <c r="V22" s="187">
        <v>4848.0</v>
      </c>
      <c r="W22" s="186">
        <v>3186.0</v>
      </c>
      <c r="X22" s="187">
        <v>4699.0</v>
      </c>
      <c r="Y22" s="188">
        <v>2697.0</v>
      </c>
      <c r="Z22" s="189">
        <v>3679.0</v>
      </c>
      <c r="AA22" s="188">
        <v>3228.0</v>
      </c>
      <c r="AB22" s="189">
        <v>3432.0</v>
      </c>
      <c r="AC22" s="207">
        <v>2042.0</v>
      </c>
      <c r="AD22" s="208">
        <v>2851.0</v>
      </c>
      <c r="AE22" s="186">
        <f t="shared" ref="AE22:AF22" si="49">AVERAGE(U22,W22,Y22,AA22,AC22)</f>
        <v>2777.8</v>
      </c>
      <c r="AF22" s="187">
        <f t="shared" si="49"/>
        <v>3901.8</v>
      </c>
      <c r="AG22" s="116">
        <f t="shared" si="21"/>
        <v>1124</v>
      </c>
      <c r="AH22" s="139">
        <f t="shared" si="39"/>
        <v>1.404636763</v>
      </c>
      <c r="AI22" s="43"/>
      <c r="AJ22" s="191">
        <f t="shared" ref="AJ22:AK22" si="50">SUM(AE22/$AE$57)</f>
        <v>0.03465535525</v>
      </c>
      <c r="AK22" s="191">
        <f t="shared" si="50"/>
        <v>0.04867818601</v>
      </c>
    </row>
    <row r="23" ht="15.75" customHeight="1">
      <c r="A23" s="206" t="s">
        <v>217</v>
      </c>
      <c r="B23" s="204"/>
      <c r="C23" s="195"/>
      <c r="D23" s="195"/>
      <c r="E23" s="195"/>
      <c r="F23" s="196">
        <v>200.0</v>
      </c>
      <c r="G23" s="196">
        <v>208.0</v>
      </c>
      <c r="H23" s="197">
        <v>174.0</v>
      </c>
      <c r="I23" s="198">
        <v>180.0</v>
      </c>
      <c r="J23" s="61">
        <f t="shared" si="19"/>
        <v>187.3333333</v>
      </c>
      <c r="K23" s="43"/>
      <c r="L23" s="183"/>
      <c r="M23" s="185">
        <v>1130.0</v>
      </c>
      <c r="N23" s="185">
        <v>1428.0</v>
      </c>
      <c r="O23" s="185">
        <v>1032.0</v>
      </c>
      <c r="P23" s="185">
        <v>1114.0</v>
      </c>
      <c r="Q23" s="185">
        <v>639.0</v>
      </c>
      <c r="R23" s="61"/>
      <c r="S23" s="61">
        <f t="shared" si="4"/>
        <v>1053.25</v>
      </c>
      <c r="T23" s="43"/>
      <c r="U23" s="199"/>
      <c r="V23" s="200"/>
      <c r="W23" s="186">
        <v>116.0</v>
      </c>
      <c r="X23" s="187">
        <v>111.0</v>
      </c>
      <c r="Y23" s="188">
        <v>53.0</v>
      </c>
      <c r="Z23" s="189">
        <v>56.0</v>
      </c>
      <c r="AA23" s="188">
        <v>119.0</v>
      </c>
      <c r="AB23" s="189">
        <v>20.0</v>
      </c>
      <c r="AC23" s="190">
        <v>75.0</v>
      </c>
      <c r="AD23" s="189">
        <v>80.0</v>
      </c>
      <c r="AE23" s="186">
        <f t="shared" ref="AE23:AF23" si="51">AVERAGE(U23,W23,Y23,AA23,AC23)</f>
        <v>90.75</v>
      </c>
      <c r="AF23" s="187">
        <f t="shared" si="51"/>
        <v>66.75</v>
      </c>
      <c r="AG23" s="116">
        <f t="shared" si="21"/>
        <v>-24</v>
      </c>
      <c r="AH23" s="139">
        <f t="shared" si="39"/>
        <v>0.7355371901</v>
      </c>
      <c r="AI23" s="43"/>
      <c r="AJ23" s="191">
        <f t="shared" ref="AJ23:AK23" si="52">SUM(AE23/$AE$57)</f>
        <v>0.001132181399</v>
      </c>
      <c r="AK23" s="191">
        <f t="shared" si="52"/>
        <v>0.0008327615245</v>
      </c>
    </row>
    <row r="24" ht="15.75" customHeight="1">
      <c r="A24" s="53" t="s">
        <v>86</v>
      </c>
      <c r="B24" s="53"/>
      <c r="C24" s="183">
        <v>24245.0</v>
      </c>
      <c r="D24" s="61">
        <v>24735.0</v>
      </c>
      <c r="E24" s="61">
        <v>25145.0</v>
      </c>
      <c r="F24" s="61">
        <v>25310.0</v>
      </c>
      <c r="G24" s="61">
        <v>25480.0</v>
      </c>
      <c r="H24" s="144">
        <v>25640.0</v>
      </c>
      <c r="I24" s="184">
        <v>23888.0</v>
      </c>
      <c r="J24" s="61">
        <f t="shared" si="19"/>
        <v>25002.66667</v>
      </c>
      <c r="K24" s="43"/>
      <c r="L24" s="183">
        <v>138307.0</v>
      </c>
      <c r="M24" s="61">
        <v>135436.0</v>
      </c>
      <c r="N24" s="61">
        <v>134270.0</v>
      </c>
      <c r="O24" s="185">
        <v>134419.0</v>
      </c>
      <c r="P24" s="185">
        <v>103871.0</v>
      </c>
      <c r="Q24" s="185">
        <v>84430.0</v>
      </c>
      <c r="R24" s="185">
        <v>138840.0</v>
      </c>
      <c r="S24" s="61">
        <f t="shared" si="4"/>
        <v>119166</v>
      </c>
      <c r="T24" s="43"/>
      <c r="U24" s="199">
        <v>12944.0</v>
      </c>
      <c r="V24" s="200">
        <v>12591.0</v>
      </c>
      <c r="W24" s="186">
        <v>9559.0</v>
      </c>
      <c r="X24" s="187">
        <v>10381.0</v>
      </c>
      <c r="Y24" s="188">
        <f>+7213+347+322</f>
        <v>7882</v>
      </c>
      <c r="Z24" s="189">
        <f>+8939+832+361</f>
        <v>10132</v>
      </c>
      <c r="AA24" s="188">
        <f>+8491+275+302</f>
        <v>9068</v>
      </c>
      <c r="AB24" s="189">
        <f>+14233+821+447</f>
        <v>15501</v>
      </c>
      <c r="AC24" s="190">
        <v>8083.0</v>
      </c>
      <c r="AD24" s="189">
        <v>10819.0</v>
      </c>
      <c r="AE24" s="186">
        <f t="shared" ref="AE24:AF24" si="53">AVERAGE(U24,W24,Y24,AA24,AC24)</f>
        <v>9507.2</v>
      </c>
      <c r="AF24" s="187">
        <f t="shared" si="53"/>
        <v>11884.8</v>
      </c>
      <c r="AG24" s="116">
        <f t="shared" si="21"/>
        <v>2377.6</v>
      </c>
      <c r="AH24" s="139">
        <f t="shared" si="39"/>
        <v>1.250084147</v>
      </c>
      <c r="AI24" s="43"/>
      <c r="AJ24" s="191">
        <f t="shared" ref="AJ24:AK24" si="54">SUM(AE24/$AE$57)</f>
        <v>0.1186101928</v>
      </c>
      <c r="AK24" s="191">
        <f t="shared" si="54"/>
        <v>0.1482727216</v>
      </c>
    </row>
    <row r="25" ht="15.75" customHeight="1">
      <c r="A25" s="193" t="s">
        <v>218</v>
      </c>
      <c r="B25" s="194"/>
      <c r="C25" s="195"/>
      <c r="D25" s="195"/>
      <c r="E25" s="195"/>
      <c r="F25" s="196">
        <f>'FY21-22 fees'!K35</f>
        <v>2288.333333</v>
      </c>
      <c r="G25" s="196">
        <v>1327.0</v>
      </c>
      <c r="H25" s="197">
        <v>1318.0</v>
      </c>
      <c r="I25" s="198">
        <v>1177.0</v>
      </c>
      <c r="J25" s="61">
        <f t="shared" si="19"/>
        <v>1274</v>
      </c>
      <c r="K25" s="43"/>
      <c r="L25" s="183"/>
      <c r="M25" s="185">
        <v>1590.0</v>
      </c>
      <c r="N25" s="185">
        <v>4326.0</v>
      </c>
      <c r="O25" s="185">
        <v>3416.0</v>
      </c>
      <c r="P25" s="185">
        <v>3506.0</v>
      </c>
      <c r="Q25" s="185">
        <v>180.0</v>
      </c>
      <c r="R25" s="185">
        <v>4079.0</v>
      </c>
      <c r="S25" s="61">
        <f t="shared" si="4"/>
        <v>3101.4</v>
      </c>
      <c r="T25" s="43"/>
      <c r="U25" s="199"/>
      <c r="V25" s="200"/>
      <c r="W25" s="186">
        <v>337.0</v>
      </c>
      <c r="X25" s="187">
        <v>231.0</v>
      </c>
      <c r="Y25" s="188">
        <v>299.0</v>
      </c>
      <c r="Z25" s="189">
        <v>169.0</v>
      </c>
      <c r="AA25" s="188">
        <v>430.0</v>
      </c>
      <c r="AB25" s="189">
        <v>45.0</v>
      </c>
      <c r="AC25" s="190">
        <v>335.0</v>
      </c>
      <c r="AD25" s="189">
        <v>155.0</v>
      </c>
      <c r="AE25" s="186">
        <f t="shared" ref="AE25:AF25" si="55">AVERAGE(U25,W25,Y25,AA25,AC25)</f>
        <v>350.25</v>
      </c>
      <c r="AF25" s="187">
        <f t="shared" si="55"/>
        <v>150</v>
      </c>
      <c r="AG25" s="116">
        <f t="shared" si="21"/>
        <v>-200.25</v>
      </c>
      <c r="AH25" s="139">
        <f t="shared" si="39"/>
        <v>0.4282655246</v>
      </c>
      <c r="AI25" s="43"/>
      <c r="AJ25" s="191">
        <f t="shared" ref="AJ25:AK25" si="56">SUM(AE25/$AE$57)</f>
        <v>0.004369658786</v>
      </c>
      <c r="AK25" s="191">
        <f t="shared" si="56"/>
        <v>0.001871374212</v>
      </c>
    </row>
    <row r="26" ht="15.75" customHeight="1">
      <c r="A26" s="193" t="s">
        <v>219</v>
      </c>
      <c r="B26" s="194"/>
      <c r="C26" s="195"/>
      <c r="D26" s="195"/>
      <c r="E26" s="195"/>
      <c r="F26" s="196">
        <f>'FY21-22 fees'!K36</f>
        <v>128.3333333</v>
      </c>
      <c r="G26" s="196">
        <v>92.0</v>
      </c>
      <c r="H26" s="197">
        <v>21.0</v>
      </c>
      <c r="I26" s="198">
        <v>93.0</v>
      </c>
      <c r="J26" s="61">
        <f t="shared" si="19"/>
        <v>68.66666667</v>
      </c>
      <c r="K26" s="43"/>
      <c r="L26" s="183"/>
      <c r="M26" s="185">
        <v>950.0</v>
      </c>
      <c r="N26" s="185">
        <v>1169.0</v>
      </c>
      <c r="O26" s="185">
        <v>920.0</v>
      </c>
      <c r="P26" s="185">
        <v>1083.0</v>
      </c>
      <c r="Q26" s="185">
        <v>303.0</v>
      </c>
      <c r="R26" s="185">
        <v>897.0</v>
      </c>
      <c r="S26" s="61">
        <f t="shared" si="4"/>
        <v>874.4</v>
      </c>
      <c r="T26" s="43"/>
      <c r="U26" s="199"/>
      <c r="V26" s="200"/>
      <c r="W26" s="186">
        <v>0.0</v>
      </c>
      <c r="X26" s="187">
        <v>6.0</v>
      </c>
      <c r="Y26" s="188">
        <v>0.0</v>
      </c>
      <c r="Z26" s="189">
        <v>2.0</v>
      </c>
      <c r="AA26" s="188">
        <v>0.0</v>
      </c>
      <c r="AB26" s="189">
        <v>0.0</v>
      </c>
      <c r="AC26" s="190">
        <v>0.0</v>
      </c>
      <c r="AD26" s="189">
        <v>0.0</v>
      </c>
      <c r="AE26" s="186">
        <f t="shared" ref="AE26:AF26" si="57">AVERAGE(U26,W26,Y26,AA26,AC26)</f>
        <v>0</v>
      </c>
      <c r="AF26" s="187">
        <f t="shared" si="57"/>
        <v>2</v>
      </c>
      <c r="AG26" s="116">
        <f t="shared" si="21"/>
        <v>2</v>
      </c>
      <c r="AH26" s="139"/>
      <c r="AI26" s="43"/>
      <c r="AJ26" s="191">
        <f t="shared" ref="AJ26:AK26" si="58">SUM(AE26/$AE$57)</f>
        <v>0</v>
      </c>
      <c r="AK26" s="191">
        <f t="shared" si="58"/>
        <v>0.00002495165617</v>
      </c>
    </row>
    <row r="27" ht="15.75" customHeight="1">
      <c r="A27" s="53" t="s">
        <v>93</v>
      </c>
      <c r="B27" s="53"/>
      <c r="C27" s="183">
        <v>936.0</v>
      </c>
      <c r="D27" s="192">
        <v>936.0</v>
      </c>
      <c r="E27" s="61">
        <v>886.0</v>
      </c>
      <c r="F27" s="61">
        <v>815.0</v>
      </c>
      <c r="G27" s="61">
        <v>879.0</v>
      </c>
      <c r="H27" s="144">
        <v>861.0</v>
      </c>
      <c r="I27" s="184">
        <v>832.0</v>
      </c>
      <c r="J27" s="61">
        <f t="shared" si="19"/>
        <v>857.3333333</v>
      </c>
      <c r="K27" s="43"/>
      <c r="L27" s="183">
        <v>2348.0</v>
      </c>
      <c r="M27" s="61">
        <v>2549.0</v>
      </c>
      <c r="N27" s="61">
        <v>2533.0</v>
      </c>
      <c r="O27" s="185">
        <v>2102.0</v>
      </c>
      <c r="P27" s="185">
        <v>2290.0</v>
      </c>
      <c r="Q27" s="185">
        <v>2228.0</v>
      </c>
      <c r="R27" s="185">
        <v>2328.0</v>
      </c>
      <c r="S27" s="61">
        <f t="shared" si="4"/>
        <v>2296.2</v>
      </c>
      <c r="T27" s="43"/>
      <c r="U27" s="186">
        <v>349.0</v>
      </c>
      <c r="V27" s="187">
        <v>484.0</v>
      </c>
      <c r="W27" s="186">
        <v>314.0</v>
      </c>
      <c r="X27" s="187">
        <v>442.0</v>
      </c>
      <c r="Y27" s="188">
        <v>276.0</v>
      </c>
      <c r="Z27" s="189">
        <v>530.0</v>
      </c>
      <c r="AA27" s="188">
        <v>279.0</v>
      </c>
      <c r="AB27" s="189">
        <v>578.0</v>
      </c>
      <c r="AC27" s="190">
        <v>242.0</v>
      </c>
      <c r="AD27" s="189">
        <v>684.0</v>
      </c>
      <c r="AE27" s="186">
        <f t="shared" ref="AE27:AF27" si="59">AVERAGE(U27,W27,Y27,AA27,AC27)</f>
        <v>292</v>
      </c>
      <c r="AF27" s="187">
        <f t="shared" si="59"/>
        <v>543.6</v>
      </c>
      <c r="AG27" s="116">
        <f t="shared" si="21"/>
        <v>251.6</v>
      </c>
      <c r="AH27" s="139">
        <f t="shared" ref="AH27:AH29" si="62">SUM(AF27/AE27)</f>
        <v>1.861643836</v>
      </c>
      <c r="AI27" s="43"/>
      <c r="AJ27" s="191">
        <f t="shared" ref="AJ27:AK27" si="60">SUM(AE27/$AE$57)</f>
        <v>0.0036429418</v>
      </c>
      <c r="AK27" s="191">
        <f t="shared" si="60"/>
        <v>0.006781860146</v>
      </c>
    </row>
    <row r="28" ht="15.75" customHeight="1">
      <c r="A28" s="193" t="s">
        <v>95</v>
      </c>
      <c r="B28" s="194"/>
      <c r="C28" s="195"/>
      <c r="D28" s="195"/>
      <c r="E28" s="195"/>
      <c r="F28" s="196">
        <f>'FY21-22 fees'!K38</f>
        <v>2</v>
      </c>
      <c r="G28" s="196">
        <f>$F$28</f>
        <v>2</v>
      </c>
      <c r="H28" s="205">
        <v>2.0</v>
      </c>
      <c r="I28" s="205">
        <v>2.0</v>
      </c>
      <c r="J28" s="61">
        <f t="shared" si="19"/>
        <v>2</v>
      </c>
      <c r="K28" s="43"/>
      <c r="L28" s="183"/>
      <c r="M28" s="185">
        <v>24.0</v>
      </c>
      <c r="N28" s="185">
        <v>22.0</v>
      </c>
      <c r="O28" s="185">
        <v>68.0</v>
      </c>
      <c r="P28" s="185">
        <v>11.0</v>
      </c>
      <c r="Q28" s="185">
        <v>0.0</v>
      </c>
      <c r="R28" s="61"/>
      <c r="S28" s="61">
        <f t="shared" si="4"/>
        <v>25.25</v>
      </c>
      <c r="T28" s="43"/>
      <c r="U28" s="199"/>
      <c r="V28" s="200"/>
      <c r="W28" s="186">
        <v>1.0</v>
      </c>
      <c r="X28" s="187">
        <v>65.0</v>
      </c>
      <c r="Y28" s="188">
        <v>6.0</v>
      </c>
      <c r="Z28" s="189">
        <v>12.0</v>
      </c>
      <c r="AA28" s="188">
        <v>0.0</v>
      </c>
      <c r="AB28" s="189">
        <v>0.0</v>
      </c>
      <c r="AC28" s="190">
        <v>0.0</v>
      </c>
      <c r="AD28" s="189">
        <v>0.0</v>
      </c>
      <c r="AE28" s="186">
        <f t="shared" ref="AE28:AF28" si="61">AVERAGE(U28,W28,Y28,AA28,AC28)</f>
        <v>1.75</v>
      </c>
      <c r="AF28" s="187">
        <f t="shared" si="61"/>
        <v>19.25</v>
      </c>
      <c r="AG28" s="116">
        <f t="shared" si="21"/>
        <v>17.5</v>
      </c>
      <c r="AH28" s="139">
        <f t="shared" si="62"/>
        <v>11</v>
      </c>
      <c r="AI28" s="43"/>
      <c r="AJ28" s="191">
        <f t="shared" ref="AJ28:AK28" si="63">SUM(AE28/$AE$57)</f>
        <v>0.00002183269915</v>
      </c>
      <c r="AK28" s="191">
        <f t="shared" si="63"/>
        <v>0.0002401596906</v>
      </c>
    </row>
    <row r="29" ht="15.75" customHeight="1">
      <c r="A29" s="53" t="s">
        <v>220</v>
      </c>
      <c r="B29" s="53"/>
      <c r="C29" s="183">
        <v>1095.0</v>
      </c>
      <c r="D29" s="192">
        <v>1120.0</v>
      </c>
      <c r="E29" s="61">
        <v>1120.0</v>
      </c>
      <c r="F29" s="61">
        <v>1120.0</v>
      </c>
      <c r="G29" s="61">
        <v>1120.0</v>
      </c>
      <c r="H29" s="144">
        <v>1120.0</v>
      </c>
      <c r="I29" s="184">
        <v>1158.0</v>
      </c>
      <c r="J29" s="61">
        <f t="shared" si="19"/>
        <v>1132.666667</v>
      </c>
      <c r="K29" s="43"/>
      <c r="L29" s="183">
        <v>17014.0</v>
      </c>
      <c r="M29" s="61">
        <v>21007.0</v>
      </c>
      <c r="N29" s="61">
        <v>19703.0</v>
      </c>
      <c r="O29" s="185">
        <v>10251.0</v>
      </c>
      <c r="P29" s="185">
        <v>8007.0</v>
      </c>
      <c r="Q29" s="185">
        <v>8903.0</v>
      </c>
      <c r="R29" s="185">
        <v>7948.0</v>
      </c>
      <c r="S29" s="61">
        <f t="shared" si="4"/>
        <v>10962.4</v>
      </c>
      <c r="T29" s="43"/>
      <c r="U29" s="186">
        <v>1090.0</v>
      </c>
      <c r="V29" s="187">
        <v>1943.0</v>
      </c>
      <c r="W29" s="186">
        <v>828.0</v>
      </c>
      <c r="X29" s="187">
        <v>1042.0</v>
      </c>
      <c r="Y29" s="188">
        <v>814.0</v>
      </c>
      <c r="Z29" s="189">
        <v>940.0</v>
      </c>
      <c r="AA29" s="188">
        <v>903.0</v>
      </c>
      <c r="AB29" s="189">
        <v>1068.0</v>
      </c>
      <c r="AC29" s="190">
        <v>840.0</v>
      </c>
      <c r="AD29" s="189">
        <v>686.0</v>
      </c>
      <c r="AE29" s="211">
        <f t="shared" ref="AE29:AF29" si="64">AVERAGE(U29,W29,Y29,AA29,AC29)</f>
        <v>895</v>
      </c>
      <c r="AF29" s="212">
        <f t="shared" si="64"/>
        <v>1135.8</v>
      </c>
      <c r="AG29" s="116">
        <f t="shared" si="21"/>
        <v>240.8</v>
      </c>
      <c r="AH29" s="139">
        <f t="shared" si="62"/>
        <v>1.269050279</v>
      </c>
      <c r="AI29" s="43"/>
      <c r="AJ29" s="191">
        <f t="shared" ref="AJ29:AK29" si="65">SUM(AE29/$AE$57)</f>
        <v>0.01116586613</v>
      </c>
      <c r="AK29" s="191">
        <f t="shared" si="65"/>
        <v>0.01417004554</v>
      </c>
    </row>
    <row r="30" ht="15.75" customHeight="1">
      <c r="A30" s="193" t="s">
        <v>99</v>
      </c>
      <c r="B30" s="194"/>
      <c r="C30" s="195"/>
      <c r="D30" s="195"/>
      <c r="E30" s="195"/>
      <c r="F30" s="196">
        <f>'FY21-22 fees'!K40</f>
        <v>1</v>
      </c>
      <c r="G30" s="196">
        <f>F30</f>
        <v>1</v>
      </c>
      <c r="H30" s="205">
        <v>1.0</v>
      </c>
      <c r="I30" s="205">
        <v>1.0</v>
      </c>
      <c r="J30" s="61">
        <f t="shared" si="19"/>
        <v>1</v>
      </c>
      <c r="K30" s="43"/>
      <c r="L30" s="183"/>
      <c r="M30" s="185">
        <v>0.0</v>
      </c>
      <c r="N30" s="185">
        <v>0.0</v>
      </c>
      <c r="O30" s="185">
        <v>0.0</v>
      </c>
      <c r="P30" s="185">
        <v>3.0</v>
      </c>
      <c r="Q30" s="185">
        <v>0.0</v>
      </c>
      <c r="R30" s="185">
        <v>0.0</v>
      </c>
      <c r="S30" s="61">
        <f t="shared" si="4"/>
        <v>0.6</v>
      </c>
      <c r="T30" s="43"/>
      <c r="U30" s="199"/>
      <c r="V30" s="200"/>
      <c r="W30" s="186">
        <v>0.0</v>
      </c>
      <c r="X30" s="187">
        <v>0.0</v>
      </c>
      <c r="Y30" s="188">
        <v>0.0</v>
      </c>
      <c r="Z30" s="189">
        <v>0.0</v>
      </c>
      <c r="AA30" s="188">
        <v>0.0</v>
      </c>
      <c r="AB30" s="189">
        <v>0.0</v>
      </c>
      <c r="AC30" s="190">
        <v>0.0</v>
      </c>
      <c r="AD30" s="189">
        <v>0.0</v>
      </c>
      <c r="AE30" s="186">
        <f t="shared" ref="AE30:AF30" si="66">AVERAGE(U30,W30,Y30,AA30,AC30)</f>
        <v>0</v>
      </c>
      <c r="AF30" s="187">
        <f t="shared" si="66"/>
        <v>0</v>
      </c>
      <c r="AG30" s="116">
        <f t="shared" si="21"/>
        <v>0</v>
      </c>
      <c r="AH30" s="139"/>
      <c r="AI30" s="43"/>
      <c r="AJ30" s="191">
        <f t="shared" ref="AJ30:AK30" si="67">SUM(AE30/$AE$57)</f>
        <v>0</v>
      </c>
      <c r="AK30" s="191">
        <f t="shared" si="67"/>
        <v>0</v>
      </c>
    </row>
    <row r="31" ht="15.75" customHeight="1">
      <c r="A31" s="206" t="s">
        <v>221</v>
      </c>
      <c r="B31" s="204"/>
      <c r="C31" s="195">
        <v>1874.0</v>
      </c>
      <c r="D31" s="195">
        <v>2217.0</v>
      </c>
      <c r="E31" s="195">
        <v>1954.0</v>
      </c>
      <c r="F31" s="196">
        <v>2161.0</v>
      </c>
      <c r="G31" s="196">
        <v>1797.0</v>
      </c>
      <c r="H31" s="197">
        <v>1478.0</v>
      </c>
      <c r="I31" s="198">
        <v>1868.0</v>
      </c>
      <c r="J31" s="61">
        <f t="shared" si="19"/>
        <v>1714.333333</v>
      </c>
      <c r="K31" s="43"/>
      <c r="L31" s="183"/>
      <c r="M31" s="185">
        <v>1706.0</v>
      </c>
      <c r="N31" s="185">
        <v>2370.0</v>
      </c>
      <c r="O31" s="185">
        <v>2434.0</v>
      </c>
      <c r="P31" s="185">
        <v>2819.0</v>
      </c>
      <c r="Q31" s="185">
        <v>903.0</v>
      </c>
      <c r="R31" s="185">
        <v>447.0</v>
      </c>
      <c r="S31" s="61">
        <f t="shared" si="4"/>
        <v>1794.6</v>
      </c>
      <c r="T31" s="43"/>
      <c r="U31" s="199"/>
      <c r="V31" s="200"/>
      <c r="W31" s="186">
        <v>415.0</v>
      </c>
      <c r="X31" s="187">
        <v>61.0</v>
      </c>
      <c r="Y31" s="188">
        <v>311.0</v>
      </c>
      <c r="Z31" s="189">
        <v>39.0</v>
      </c>
      <c r="AA31" s="188">
        <v>304.0</v>
      </c>
      <c r="AB31" s="189">
        <v>30.0</v>
      </c>
      <c r="AC31" s="190">
        <v>277.0</v>
      </c>
      <c r="AD31" s="189">
        <v>98.0</v>
      </c>
      <c r="AE31" s="186">
        <f t="shared" ref="AE31:AF31" si="68">AVERAGE(U31,W31,Y31,AA31,AC31)</f>
        <v>326.75</v>
      </c>
      <c r="AF31" s="187">
        <f t="shared" si="68"/>
        <v>57</v>
      </c>
      <c r="AG31" s="116">
        <f t="shared" si="21"/>
        <v>-269.75</v>
      </c>
      <c r="AH31" s="139">
        <f t="shared" ref="AH31:AH46" si="71">SUM(AF31/AE31)</f>
        <v>0.1744452946</v>
      </c>
      <c r="AI31" s="43"/>
      <c r="AJ31" s="191">
        <f t="shared" ref="AJ31:AK31" si="69">SUM(AE31/$AE$57)</f>
        <v>0.004076476826</v>
      </c>
      <c r="AK31" s="191">
        <f t="shared" si="69"/>
        <v>0.0007111222007</v>
      </c>
    </row>
    <row r="32" ht="15.75" customHeight="1">
      <c r="A32" s="53" t="s">
        <v>222</v>
      </c>
      <c r="B32" s="53"/>
      <c r="C32" s="183">
        <v>20042.0</v>
      </c>
      <c r="D32" s="61">
        <v>20145.0</v>
      </c>
      <c r="E32" s="61">
        <v>20262.0</v>
      </c>
      <c r="F32" s="61">
        <v>20291.0</v>
      </c>
      <c r="G32" s="61">
        <v>22022.0</v>
      </c>
      <c r="H32" s="144">
        <v>20284.0</v>
      </c>
      <c r="I32" s="184">
        <v>18657.0</v>
      </c>
      <c r="J32" s="61">
        <f t="shared" si="19"/>
        <v>20321</v>
      </c>
      <c r="K32" s="43"/>
      <c r="L32" s="183">
        <v>145706.0</v>
      </c>
      <c r="M32" s="61">
        <v>129927.0</v>
      </c>
      <c r="N32" s="61">
        <v>130536.0</v>
      </c>
      <c r="O32" s="185">
        <v>128209.0</v>
      </c>
      <c r="P32" s="185">
        <v>93552.0</v>
      </c>
      <c r="Q32" s="185">
        <v>71891.0</v>
      </c>
      <c r="R32" s="185">
        <v>123761.0</v>
      </c>
      <c r="S32" s="61">
        <f t="shared" si="4"/>
        <v>109589.8</v>
      </c>
      <c r="T32" s="43"/>
      <c r="U32" s="186">
        <v>4047.0</v>
      </c>
      <c r="V32" s="187">
        <v>8041.0</v>
      </c>
      <c r="W32" s="186">
        <v>3729.0</v>
      </c>
      <c r="X32" s="187">
        <v>7574.0</v>
      </c>
      <c r="Y32" s="188">
        <v>3097.0</v>
      </c>
      <c r="Z32" s="189">
        <v>6462.0</v>
      </c>
      <c r="AA32" s="188">
        <v>1888.0</v>
      </c>
      <c r="AB32" s="189">
        <v>8760.0</v>
      </c>
      <c r="AC32" s="190">
        <v>2577.0</v>
      </c>
      <c r="AD32" s="189">
        <v>8547.0</v>
      </c>
      <c r="AE32" s="211">
        <f t="shared" ref="AE32:AF32" si="70">AVERAGE(U32,W32,Y32,AA32,AC32)</f>
        <v>3067.6</v>
      </c>
      <c r="AF32" s="212">
        <f t="shared" si="70"/>
        <v>7876.8</v>
      </c>
      <c r="AG32" s="116">
        <f t="shared" si="21"/>
        <v>4809.2</v>
      </c>
      <c r="AH32" s="139">
        <f t="shared" si="71"/>
        <v>2.567740253</v>
      </c>
      <c r="AI32" s="43"/>
      <c r="AJ32" s="191">
        <f t="shared" ref="AJ32:AK32" si="72">SUM(AE32/$AE$57)</f>
        <v>0.03827085023</v>
      </c>
      <c r="AK32" s="191">
        <f t="shared" si="72"/>
        <v>0.09826960264</v>
      </c>
    </row>
    <row r="33" ht="15.75" customHeight="1">
      <c r="A33" s="217" t="s">
        <v>105</v>
      </c>
      <c r="B33" s="53"/>
      <c r="C33" s="183">
        <v>8010.0</v>
      </c>
      <c r="D33" s="61">
        <v>8015.0</v>
      </c>
      <c r="E33" s="61">
        <v>8120.0</v>
      </c>
      <c r="F33" s="61">
        <v>8115.0</v>
      </c>
      <c r="G33" s="61">
        <v>8080.0</v>
      </c>
      <c r="H33" s="144">
        <v>8075.0</v>
      </c>
      <c r="I33" s="184">
        <v>8177.0</v>
      </c>
      <c r="J33" s="61">
        <f t="shared" si="19"/>
        <v>8110.666667</v>
      </c>
      <c r="K33" s="43"/>
      <c r="L33" s="183">
        <v>49015.0</v>
      </c>
      <c r="M33" s="61">
        <v>44705.0</v>
      </c>
      <c r="N33" s="61">
        <v>41956.0</v>
      </c>
      <c r="O33" s="185">
        <v>38510.0</v>
      </c>
      <c r="P33" s="185">
        <v>28864.0</v>
      </c>
      <c r="Q33" s="185">
        <v>23528.0</v>
      </c>
      <c r="R33" s="185">
        <v>22456.0</v>
      </c>
      <c r="S33" s="61">
        <f t="shared" si="4"/>
        <v>31062.8</v>
      </c>
      <c r="T33" s="43"/>
      <c r="U33" s="186">
        <v>2157.0</v>
      </c>
      <c r="V33" s="187">
        <v>3307.0</v>
      </c>
      <c r="W33" s="186">
        <v>2262.0</v>
      </c>
      <c r="X33" s="187">
        <v>3487.0</v>
      </c>
      <c r="Y33" s="188">
        <v>2298.0</v>
      </c>
      <c r="Z33" s="189">
        <v>1152.0</v>
      </c>
      <c r="AA33" s="186">
        <f>+2292+116+115+90</f>
        <v>2613</v>
      </c>
      <c r="AB33" s="187">
        <f>+2402+470+224+109</f>
        <v>3205</v>
      </c>
      <c r="AC33" s="190">
        <v>2022.0</v>
      </c>
      <c r="AD33" s="189">
        <v>2511.0</v>
      </c>
      <c r="AE33" s="186">
        <f t="shared" ref="AE33:AF33" si="73">AVERAGE(U33,W33,Y33,AA33,AC33)</f>
        <v>2270.4</v>
      </c>
      <c r="AF33" s="187">
        <f t="shared" si="73"/>
        <v>2732.4</v>
      </c>
      <c r="AG33" s="116">
        <f t="shared" si="21"/>
        <v>462</v>
      </c>
      <c r="AH33" s="139">
        <f t="shared" si="71"/>
        <v>1.203488372</v>
      </c>
      <c r="AI33" s="43"/>
      <c r="AJ33" s="191">
        <f t="shared" ref="AJ33:AK33" si="74">SUM(AE33/$AE$57)</f>
        <v>0.02832512008</v>
      </c>
      <c r="AK33" s="191">
        <f t="shared" si="74"/>
        <v>0.03408895265</v>
      </c>
    </row>
    <row r="34" ht="15.75" customHeight="1">
      <c r="A34" s="53" t="s">
        <v>223</v>
      </c>
      <c r="B34" s="53"/>
      <c r="C34" s="183">
        <v>10091.0</v>
      </c>
      <c r="D34" s="61">
        <v>10091.0</v>
      </c>
      <c r="E34" s="61">
        <v>10123.0</v>
      </c>
      <c r="F34" s="61">
        <v>10156.0</v>
      </c>
      <c r="G34" s="61">
        <v>10142.0</v>
      </c>
      <c r="H34" s="144">
        <v>10146.0</v>
      </c>
      <c r="I34" s="184">
        <v>9847.0</v>
      </c>
      <c r="J34" s="61">
        <f t="shared" si="19"/>
        <v>10045</v>
      </c>
      <c r="K34" s="43"/>
      <c r="L34" s="183">
        <v>46697.0</v>
      </c>
      <c r="M34" s="61">
        <v>46393.0</v>
      </c>
      <c r="N34" s="61">
        <v>47054.0</v>
      </c>
      <c r="O34" s="185">
        <v>47470.0</v>
      </c>
      <c r="P34" s="185">
        <v>35835.0</v>
      </c>
      <c r="Q34" s="185">
        <v>11760.0</v>
      </c>
      <c r="R34" s="185">
        <v>29982.0</v>
      </c>
      <c r="S34" s="61">
        <f t="shared" si="4"/>
        <v>34420.2</v>
      </c>
      <c r="T34" s="43"/>
      <c r="U34" s="186">
        <v>2946.0</v>
      </c>
      <c r="V34" s="187">
        <v>3407.0</v>
      </c>
      <c r="W34" s="186">
        <v>3094.0</v>
      </c>
      <c r="X34" s="187">
        <v>4063.0</v>
      </c>
      <c r="Y34" s="188">
        <v>2749.0</v>
      </c>
      <c r="Z34" s="189">
        <v>3499.0</v>
      </c>
      <c r="AA34" s="188">
        <v>3469.0</v>
      </c>
      <c r="AB34" s="189">
        <v>4031.0</v>
      </c>
      <c r="AC34" s="190">
        <v>3071.0</v>
      </c>
      <c r="AD34" s="189">
        <v>3102.0</v>
      </c>
      <c r="AE34" s="186">
        <f t="shared" ref="AE34:AF34" si="75">AVERAGE(U34,W34,Y34,AA34,AC34)</f>
        <v>3065.8</v>
      </c>
      <c r="AF34" s="187">
        <f t="shared" si="75"/>
        <v>3620.4</v>
      </c>
      <c r="AG34" s="116">
        <f t="shared" si="21"/>
        <v>554.6</v>
      </c>
      <c r="AH34" s="139">
        <f t="shared" si="71"/>
        <v>1.18089895</v>
      </c>
      <c r="AI34" s="43"/>
      <c r="AJ34" s="191">
        <f t="shared" ref="AJ34:AK34" si="76">SUM(AE34/$AE$57)</f>
        <v>0.03824839374</v>
      </c>
      <c r="AK34" s="191">
        <f t="shared" si="76"/>
        <v>0.04516748799</v>
      </c>
    </row>
    <row r="35" ht="15.75" customHeight="1">
      <c r="A35" s="53" t="s">
        <v>224</v>
      </c>
      <c r="B35" s="53"/>
      <c r="C35" s="183">
        <v>677.0</v>
      </c>
      <c r="D35" s="61">
        <v>679.0</v>
      </c>
      <c r="E35" s="61">
        <v>683.0</v>
      </c>
      <c r="F35" s="61">
        <v>677.0</v>
      </c>
      <c r="G35" s="61">
        <v>737.0</v>
      </c>
      <c r="H35" s="144">
        <v>671.0</v>
      </c>
      <c r="I35" s="184">
        <v>681.0</v>
      </c>
      <c r="J35" s="61">
        <f t="shared" si="19"/>
        <v>696.3333333</v>
      </c>
      <c r="K35" s="43"/>
      <c r="L35" s="183">
        <v>1570.0</v>
      </c>
      <c r="M35" s="61">
        <v>2128.0</v>
      </c>
      <c r="N35" s="61">
        <v>1989.0</v>
      </c>
      <c r="O35" s="185">
        <v>2672.0</v>
      </c>
      <c r="P35" s="185">
        <v>970.0</v>
      </c>
      <c r="Q35" s="185">
        <v>760.0</v>
      </c>
      <c r="R35" s="185">
        <v>978.0</v>
      </c>
      <c r="S35" s="61">
        <f t="shared" si="4"/>
        <v>1473.8</v>
      </c>
      <c r="T35" s="43"/>
      <c r="U35" s="186">
        <v>316.0</v>
      </c>
      <c r="V35" s="187">
        <v>185.0</v>
      </c>
      <c r="W35" s="186">
        <v>302.0</v>
      </c>
      <c r="X35" s="187">
        <v>306.0</v>
      </c>
      <c r="Y35" s="188">
        <v>224.0</v>
      </c>
      <c r="Z35" s="189">
        <v>228.0</v>
      </c>
      <c r="AA35" s="188">
        <v>298.0</v>
      </c>
      <c r="AB35" s="189">
        <v>184.0</v>
      </c>
      <c r="AC35" s="190">
        <v>186.0</v>
      </c>
      <c r="AD35" s="189">
        <v>140.0</v>
      </c>
      <c r="AE35" s="186">
        <f t="shared" ref="AE35:AF35" si="77">AVERAGE(U35,W35,Y35,AA35,AC35)</f>
        <v>265.2</v>
      </c>
      <c r="AF35" s="187">
        <f t="shared" si="77"/>
        <v>208.6</v>
      </c>
      <c r="AG35" s="116">
        <f t="shared" si="21"/>
        <v>-56.6</v>
      </c>
      <c r="AH35" s="139">
        <f t="shared" si="71"/>
        <v>0.7865761689</v>
      </c>
      <c r="AI35" s="43"/>
      <c r="AJ35" s="191">
        <f t="shared" ref="AJ35:AK35" si="78">SUM(AE35/$AE$57)</f>
        <v>0.003308589608</v>
      </c>
      <c r="AK35" s="191">
        <f t="shared" si="78"/>
        <v>0.002602457738</v>
      </c>
    </row>
    <row r="36" ht="15.75" customHeight="1">
      <c r="A36" s="53" t="s">
        <v>112</v>
      </c>
      <c r="B36" s="53"/>
      <c r="C36" s="183">
        <v>3285.0</v>
      </c>
      <c r="D36" s="61">
        <v>3285.0</v>
      </c>
      <c r="E36" s="61">
        <v>3285.0</v>
      </c>
      <c r="F36" s="61">
        <v>3310.0</v>
      </c>
      <c r="G36" s="61">
        <v>3320.0</v>
      </c>
      <c r="H36" s="144">
        <v>3340.0</v>
      </c>
      <c r="I36" s="184">
        <v>3276.0</v>
      </c>
      <c r="J36" s="61">
        <f t="shared" si="19"/>
        <v>3312</v>
      </c>
      <c r="K36" s="43"/>
      <c r="L36" s="183">
        <v>19226.0</v>
      </c>
      <c r="M36" s="61">
        <v>16129.0</v>
      </c>
      <c r="N36" s="61">
        <v>15145.0</v>
      </c>
      <c r="O36" s="185">
        <v>12008.0</v>
      </c>
      <c r="P36" s="185">
        <v>10876.0</v>
      </c>
      <c r="Q36" s="185">
        <v>9296.0</v>
      </c>
      <c r="R36" s="185">
        <v>9296.0</v>
      </c>
      <c r="S36" s="61">
        <f t="shared" si="4"/>
        <v>11324.2</v>
      </c>
      <c r="T36" s="43"/>
      <c r="U36" s="186">
        <v>946.0</v>
      </c>
      <c r="V36" s="187">
        <v>1372.0</v>
      </c>
      <c r="W36" s="186">
        <v>959.0</v>
      </c>
      <c r="X36" s="187">
        <v>1193.0</v>
      </c>
      <c r="Y36" s="188">
        <v>815.0</v>
      </c>
      <c r="Z36" s="189">
        <v>1202.0</v>
      </c>
      <c r="AA36" s="188">
        <v>1079.0</v>
      </c>
      <c r="AB36" s="189">
        <v>1048.0</v>
      </c>
      <c r="AC36" s="190">
        <v>913.0</v>
      </c>
      <c r="AD36" s="189">
        <v>1415.0</v>
      </c>
      <c r="AE36" s="186">
        <f t="shared" ref="AE36:AF36" si="79">AVERAGE(U36,W36,Y36,AA36,AC36)</f>
        <v>942.4</v>
      </c>
      <c r="AF36" s="187">
        <f t="shared" si="79"/>
        <v>1246</v>
      </c>
      <c r="AG36" s="116">
        <f t="shared" si="21"/>
        <v>303.6</v>
      </c>
      <c r="AH36" s="139">
        <f t="shared" si="71"/>
        <v>1.322156197</v>
      </c>
      <c r="AI36" s="43"/>
      <c r="AJ36" s="191">
        <f t="shared" ref="AJ36:AK36" si="80">SUM(AE36/$AE$57)</f>
        <v>0.01175722039</v>
      </c>
      <c r="AK36" s="191">
        <f t="shared" si="80"/>
        <v>0.01554488179</v>
      </c>
    </row>
    <row r="37" ht="15.75" customHeight="1">
      <c r="A37" s="217" t="s">
        <v>225</v>
      </c>
      <c r="B37" s="53"/>
      <c r="C37" s="183">
        <v>26320.0</v>
      </c>
      <c r="D37" s="61">
        <v>26535.0</v>
      </c>
      <c r="E37" s="61">
        <v>26645.0</v>
      </c>
      <c r="F37" s="61">
        <v>26665.0</v>
      </c>
      <c r="G37" s="61">
        <v>26835.0</v>
      </c>
      <c r="H37" s="144">
        <v>26890.0</v>
      </c>
      <c r="I37" s="184">
        <v>26805.0</v>
      </c>
      <c r="J37" s="61">
        <f t="shared" si="19"/>
        <v>26843.33333</v>
      </c>
      <c r="K37" s="43"/>
      <c r="L37" s="183">
        <v>74651.0</v>
      </c>
      <c r="M37" s="61">
        <v>77664.0</v>
      </c>
      <c r="N37" s="61">
        <v>82254.0</v>
      </c>
      <c r="O37" s="185">
        <v>75336.0</v>
      </c>
      <c r="P37" s="185">
        <v>58645.0</v>
      </c>
      <c r="Q37" s="185">
        <v>43822.0</v>
      </c>
      <c r="R37" s="185">
        <v>45696.0</v>
      </c>
      <c r="S37" s="61">
        <f t="shared" si="4"/>
        <v>61150.6</v>
      </c>
      <c r="T37" s="43"/>
      <c r="U37" s="199">
        <v>4327.0</v>
      </c>
      <c r="V37" s="200">
        <v>3295.0</v>
      </c>
      <c r="W37" s="186">
        <v>5049.0</v>
      </c>
      <c r="X37" s="187">
        <v>2986.0</v>
      </c>
      <c r="Y37" s="188">
        <v>5177.0</v>
      </c>
      <c r="Z37" s="189">
        <v>2540.0</v>
      </c>
      <c r="AA37" s="188">
        <v>5739.0</v>
      </c>
      <c r="AB37" s="189">
        <v>2077.0</v>
      </c>
      <c r="AC37" s="190">
        <v>5005.0</v>
      </c>
      <c r="AD37" s="189">
        <v>1828.0</v>
      </c>
      <c r="AE37" s="186">
        <f t="shared" ref="AE37:AF37" si="81">AVERAGE(U37,W37,Y37,AA37,AC37)</f>
        <v>5059.4</v>
      </c>
      <c r="AF37" s="187">
        <f t="shared" si="81"/>
        <v>2545.2</v>
      </c>
      <c r="AG37" s="116">
        <f t="shared" si="21"/>
        <v>-2514.2</v>
      </c>
      <c r="AH37" s="139">
        <f t="shared" si="71"/>
        <v>0.5030636044</v>
      </c>
      <c r="AI37" s="43"/>
      <c r="AJ37" s="191">
        <f t="shared" ref="AJ37:AK37" si="82">SUM(AE37/$AE$57)</f>
        <v>0.0631202046</v>
      </c>
      <c r="AK37" s="191">
        <f t="shared" si="82"/>
        <v>0.03175347764</v>
      </c>
    </row>
    <row r="38" ht="15.75" customHeight="1">
      <c r="A38" s="193" t="s">
        <v>226</v>
      </c>
      <c r="B38" s="194"/>
      <c r="C38" s="195"/>
      <c r="D38" s="195"/>
      <c r="E38" s="195"/>
      <c r="F38" s="196">
        <v>661.0</v>
      </c>
      <c r="G38" s="196">
        <v>652.0</v>
      </c>
      <c r="H38" s="197">
        <v>686.0</v>
      </c>
      <c r="I38" s="198">
        <v>648.0</v>
      </c>
      <c r="J38" s="61">
        <f t="shared" si="19"/>
        <v>662</v>
      </c>
      <c r="K38" s="43"/>
      <c r="L38" s="183"/>
      <c r="M38" s="185">
        <v>1947.0</v>
      </c>
      <c r="N38" s="185">
        <v>1562.0</v>
      </c>
      <c r="O38" s="185">
        <v>1541.0</v>
      </c>
      <c r="P38" s="185">
        <v>1474.0</v>
      </c>
      <c r="Q38" s="185">
        <v>154.0</v>
      </c>
      <c r="R38" s="185">
        <v>696.0</v>
      </c>
      <c r="S38" s="61">
        <f t="shared" si="4"/>
        <v>1085.4</v>
      </c>
      <c r="T38" s="43"/>
      <c r="U38" s="199"/>
      <c r="V38" s="200"/>
      <c r="W38" s="186">
        <v>160.0</v>
      </c>
      <c r="X38" s="187">
        <v>213.0</v>
      </c>
      <c r="Y38" s="188">
        <v>95.0</v>
      </c>
      <c r="Z38" s="189">
        <v>168.0</v>
      </c>
      <c r="AA38" s="188">
        <v>4.0</v>
      </c>
      <c r="AB38" s="189">
        <v>15.0</v>
      </c>
      <c r="AC38" s="190">
        <v>46.0</v>
      </c>
      <c r="AD38" s="189">
        <v>101.0</v>
      </c>
      <c r="AE38" s="186">
        <f t="shared" ref="AE38:AF38" si="83">AVERAGE(U38,W38,Y38,AA38,AC38)</f>
        <v>76.25</v>
      </c>
      <c r="AF38" s="187">
        <f t="shared" si="83"/>
        <v>124.25</v>
      </c>
      <c r="AG38" s="116">
        <f t="shared" si="21"/>
        <v>48</v>
      </c>
      <c r="AH38" s="139">
        <f t="shared" si="71"/>
        <v>1.629508197</v>
      </c>
      <c r="AI38" s="43"/>
      <c r="AJ38" s="191">
        <f t="shared" ref="AJ38:AK38" si="84">SUM(AE38/$AE$57)</f>
        <v>0.0009512818913</v>
      </c>
      <c r="AK38" s="191">
        <f t="shared" si="84"/>
        <v>0.001550121639</v>
      </c>
    </row>
    <row r="39" ht="15.75" customHeight="1">
      <c r="A39" s="193" t="s">
        <v>227</v>
      </c>
      <c r="B39" s="194"/>
      <c r="C39" s="195"/>
      <c r="D39" s="195"/>
      <c r="E39" s="195"/>
      <c r="F39" s="196">
        <v>358.0</v>
      </c>
      <c r="G39" s="196">
        <v>363.0</v>
      </c>
      <c r="H39" s="197">
        <v>361.0</v>
      </c>
      <c r="I39" s="198">
        <v>367.0</v>
      </c>
      <c r="J39" s="61">
        <f t="shared" si="19"/>
        <v>363.6666667</v>
      </c>
      <c r="K39" s="43"/>
      <c r="L39" s="183"/>
      <c r="M39" s="185">
        <v>1089.0</v>
      </c>
      <c r="N39" s="185">
        <v>2614.0</v>
      </c>
      <c r="O39" s="185">
        <v>1177.0</v>
      </c>
      <c r="P39" s="185">
        <v>328.0</v>
      </c>
      <c r="Q39" s="185">
        <v>0.0</v>
      </c>
      <c r="R39" s="185">
        <v>0.0</v>
      </c>
      <c r="S39" s="61">
        <f t="shared" si="4"/>
        <v>823.8</v>
      </c>
      <c r="T39" s="43"/>
      <c r="U39" s="199"/>
      <c r="V39" s="200"/>
      <c r="W39" s="186">
        <v>16.0</v>
      </c>
      <c r="X39" s="187">
        <v>4.0</v>
      </c>
      <c r="Y39" s="188">
        <v>87.0</v>
      </c>
      <c r="Z39" s="189">
        <v>14.0</v>
      </c>
      <c r="AA39" s="188">
        <v>0.0</v>
      </c>
      <c r="AB39" s="189">
        <v>0.0</v>
      </c>
      <c r="AC39" s="190">
        <v>0.0</v>
      </c>
      <c r="AD39" s="189">
        <v>1.0</v>
      </c>
      <c r="AE39" s="186">
        <f t="shared" ref="AE39:AF39" si="85">AVERAGE(U39,W39,Y39,AA39,AC39)</f>
        <v>25.75</v>
      </c>
      <c r="AF39" s="187">
        <f t="shared" si="85"/>
        <v>4.75</v>
      </c>
      <c r="AG39" s="116">
        <f t="shared" si="21"/>
        <v>-21</v>
      </c>
      <c r="AH39" s="139">
        <f t="shared" si="71"/>
        <v>0.1844660194</v>
      </c>
      <c r="AI39" s="43"/>
      <c r="AJ39" s="191">
        <f t="shared" ref="AJ39:AK39" si="86">SUM(AE39/$AE$57)</f>
        <v>0.0003212525731</v>
      </c>
      <c r="AK39" s="191">
        <f t="shared" si="86"/>
        <v>0.00005926018339</v>
      </c>
    </row>
    <row r="40" ht="15.75" customHeight="1">
      <c r="A40" s="53" t="s">
        <v>120</v>
      </c>
      <c r="B40" s="53"/>
      <c r="C40" s="183">
        <v>9747.0</v>
      </c>
      <c r="D40" s="192">
        <v>9747.0</v>
      </c>
      <c r="E40" s="61">
        <v>9972.0</v>
      </c>
      <c r="F40" s="61">
        <v>10224.0</v>
      </c>
      <c r="G40" s="61">
        <v>10866.0</v>
      </c>
      <c r="H40" s="144">
        <v>11061.0</v>
      </c>
      <c r="I40" s="184">
        <v>10818.0</v>
      </c>
      <c r="J40" s="61">
        <f t="shared" si="19"/>
        <v>10915</v>
      </c>
      <c r="K40" s="43"/>
      <c r="L40" s="183">
        <v>29130.0</v>
      </c>
      <c r="M40" s="61">
        <v>27889.0</v>
      </c>
      <c r="N40" s="61">
        <v>27062.0</v>
      </c>
      <c r="O40" s="185">
        <v>22758.0</v>
      </c>
      <c r="P40" s="185">
        <v>15141.0</v>
      </c>
      <c r="Q40" s="185">
        <v>12939.0</v>
      </c>
      <c r="R40" s="185">
        <v>15289.0</v>
      </c>
      <c r="S40" s="61">
        <f t="shared" si="4"/>
        <v>18637.8</v>
      </c>
      <c r="T40" s="43"/>
      <c r="U40" s="186">
        <v>4327.0</v>
      </c>
      <c r="V40" s="187">
        <v>3295.0</v>
      </c>
      <c r="W40" s="186">
        <v>2379.0</v>
      </c>
      <c r="X40" s="187">
        <v>4003.0</v>
      </c>
      <c r="Y40" s="188">
        <v>2067.0</v>
      </c>
      <c r="Z40" s="189">
        <v>2630.0</v>
      </c>
      <c r="AA40" s="188">
        <v>2412.0</v>
      </c>
      <c r="AB40" s="189">
        <v>2716.0</v>
      </c>
      <c r="AC40" s="190">
        <v>1974.0</v>
      </c>
      <c r="AD40" s="189">
        <v>2930.0</v>
      </c>
      <c r="AE40" s="186">
        <f t="shared" ref="AE40:AF40" si="87">AVERAGE(U40,W40,Y40,AA40,AC40)</f>
        <v>2631.8</v>
      </c>
      <c r="AF40" s="187">
        <f t="shared" si="87"/>
        <v>3114.8</v>
      </c>
      <c r="AG40" s="116">
        <f t="shared" si="21"/>
        <v>483</v>
      </c>
      <c r="AH40" s="139">
        <f t="shared" si="71"/>
        <v>1.183524584</v>
      </c>
      <c r="AI40" s="43"/>
      <c r="AJ40" s="191">
        <f t="shared" ref="AJ40:AK40" si="88">SUM(AE40/$AE$57)</f>
        <v>0.03283388435</v>
      </c>
      <c r="AK40" s="191">
        <f t="shared" si="88"/>
        <v>0.03885970931</v>
      </c>
    </row>
    <row r="41" ht="15.75" customHeight="1">
      <c r="A41" s="53" t="s">
        <v>228</v>
      </c>
      <c r="B41" s="53"/>
      <c r="C41" s="183">
        <v>24040.0</v>
      </c>
      <c r="D41" s="192">
        <v>24040.0</v>
      </c>
      <c r="E41" s="61">
        <v>24184.0</v>
      </c>
      <c r="F41" s="61">
        <v>24029.0</v>
      </c>
      <c r="G41" s="61">
        <v>24160.0</v>
      </c>
      <c r="H41" s="144">
        <v>24126.0</v>
      </c>
      <c r="I41" s="184">
        <v>23226.0</v>
      </c>
      <c r="J41" s="61">
        <f t="shared" si="19"/>
        <v>23837.33333</v>
      </c>
      <c r="K41" s="43"/>
      <c r="L41" s="183">
        <v>112263.0</v>
      </c>
      <c r="M41" s="61">
        <v>100957.0</v>
      </c>
      <c r="N41" s="61">
        <v>92173.0</v>
      </c>
      <c r="O41" s="185">
        <v>85912.0</v>
      </c>
      <c r="P41" s="185">
        <v>72898.0</v>
      </c>
      <c r="Q41" s="185">
        <v>39603.0</v>
      </c>
      <c r="R41" s="185">
        <v>57435.0</v>
      </c>
      <c r="S41" s="61">
        <f t="shared" si="4"/>
        <v>69604.2</v>
      </c>
      <c r="T41" s="43"/>
      <c r="U41" s="199">
        <v>4324.0</v>
      </c>
      <c r="V41" s="200">
        <v>6866.0</v>
      </c>
      <c r="W41" s="186">
        <v>4256.0</v>
      </c>
      <c r="X41" s="187">
        <v>7774.0</v>
      </c>
      <c r="Y41" s="188">
        <v>3463.0</v>
      </c>
      <c r="Z41" s="189">
        <v>8107.0</v>
      </c>
      <c r="AA41" s="188">
        <v>4033.0</v>
      </c>
      <c r="AB41" s="189">
        <v>7007.0</v>
      </c>
      <c r="AC41" s="190">
        <v>3734.0</v>
      </c>
      <c r="AD41" s="189">
        <v>6466.0</v>
      </c>
      <c r="AE41" s="211">
        <f t="shared" ref="AE41:AF41" si="89">AVERAGE(U41,W41,Y41,AA41,AC41)</f>
        <v>3962</v>
      </c>
      <c r="AF41" s="212">
        <f t="shared" si="89"/>
        <v>7244</v>
      </c>
      <c r="AG41" s="116">
        <f t="shared" si="21"/>
        <v>3282</v>
      </c>
      <c r="AH41" s="139">
        <f t="shared" si="71"/>
        <v>1.82836951</v>
      </c>
      <c r="AI41" s="43"/>
      <c r="AJ41" s="191">
        <f t="shared" ref="AJ41:AK41" si="90">SUM(AE41/$AE$57)</f>
        <v>0.04942923087</v>
      </c>
      <c r="AK41" s="191">
        <f t="shared" si="90"/>
        <v>0.09037489863</v>
      </c>
    </row>
    <row r="42" ht="15.75" customHeight="1">
      <c r="A42" s="53" t="s">
        <v>229</v>
      </c>
      <c r="B42" s="53"/>
      <c r="C42" s="183">
        <v>2148.0</v>
      </c>
      <c r="D42" s="192">
        <v>2109.0</v>
      </c>
      <c r="E42" s="61">
        <v>2155.0</v>
      </c>
      <c r="F42" s="61">
        <v>2151.0</v>
      </c>
      <c r="G42" s="61">
        <v>2136.0</v>
      </c>
      <c r="H42" s="144">
        <v>2118.0</v>
      </c>
      <c r="I42" s="184">
        <v>1830.0</v>
      </c>
      <c r="J42" s="61">
        <f t="shared" si="19"/>
        <v>2028</v>
      </c>
      <c r="K42" s="43"/>
      <c r="L42" s="183">
        <v>4697.0</v>
      </c>
      <c r="M42" s="61">
        <v>3254.0</v>
      </c>
      <c r="N42" s="61">
        <v>4221.0</v>
      </c>
      <c r="O42" s="185">
        <v>5109.0</v>
      </c>
      <c r="P42" s="185">
        <v>3298.0</v>
      </c>
      <c r="Q42" s="185">
        <v>1585.0</v>
      </c>
      <c r="R42" s="185">
        <v>1433.0</v>
      </c>
      <c r="S42" s="61">
        <f t="shared" si="4"/>
        <v>3129.2</v>
      </c>
      <c r="T42" s="43"/>
      <c r="U42" s="186">
        <v>1222.0</v>
      </c>
      <c r="V42" s="187">
        <v>533.0</v>
      </c>
      <c r="W42" s="186">
        <v>1203.0</v>
      </c>
      <c r="X42" s="187">
        <v>699.0</v>
      </c>
      <c r="Y42" s="188">
        <v>1066.0</v>
      </c>
      <c r="Z42" s="189">
        <v>517.0</v>
      </c>
      <c r="AA42" s="188">
        <v>938.0</v>
      </c>
      <c r="AB42" s="189">
        <v>368.0</v>
      </c>
      <c r="AC42" s="190">
        <v>609.0</v>
      </c>
      <c r="AD42" s="189">
        <v>297.0</v>
      </c>
      <c r="AE42" s="186">
        <f t="shared" ref="AE42:AF42" si="91">AVERAGE(U42,W42,Y42,AA42,AC42)</f>
        <v>1007.6</v>
      </c>
      <c r="AF42" s="187">
        <f t="shared" si="91"/>
        <v>482.8</v>
      </c>
      <c r="AG42" s="116">
        <f t="shared" si="21"/>
        <v>-524.8</v>
      </c>
      <c r="AH42" s="139">
        <f t="shared" si="71"/>
        <v>0.4791583962</v>
      </c>
      <c r="AI42" s="43"/>
      <c r="AJ42" s="191">
        <f t="shared" ref="AJ42:AK42" si="92">SUM(AE42/$AE$57)</f>
        <v>0.01257064438</v>
      </c>
      <c r="AK42" s="191">
        <f t="shared" si="92"/>
        <v>0.006023329799</v>
      </c>
    </row>
    <row r="43" ht="15.75" customHeight="1">
      <c r="A43" s="53" t="s">
        <v>230</v>
      </c>
      <c r="B43" s="53"/>
      <c r="C43" s="183">
        <v>1790.0</v>
      </c>
      <c r="D43" s="61">
        <v>1795.0</v>
      </c>
      <c r="E43" s="61">
        <v>1800.0</v>
      </c>
      <c r="F43" s="61">
        <v>1785.0</v>
      </c>
      <c r="G43" s="61">
        <v>1770.0</v>
      </c>
      <c r="H43" s="144">
        <v>1795.0</v>
      </c>
      <c r="I43" s="184">
        <v>1908.0</v>
      </c>
      <c r="J43" s="61">
        <f t="shared" si="19"/>
        <v>1824.333333</v>
      </c>
      <c r="K43" s="43"/>
      <c r="L43" s="183">
        <v>8789.0</v>
      </c>
      <c r="M43" s="61">
        <v>12278.0</v>
      </c>
      <c r="N43" s="61">
        <v>12801.0</v>
      </c>
      <c r="O43" s="185">
        <v>12133.0</v>
      </c>
      <c r="P43" s="185">
        <v>9137.0</v>
      </c>
      <c r="Q43" s="185">
        <v>7460.0</v>
      </c>
      <c r="R43" s="185">
        <v>9903.0</v>
      </c>
      <c r="S43" s="61">
        <f t="shared" si="4"/>
        <v>10286.8</v>
      </c>
      <c r="T43" s="43"/>
      <c r="U43" s="186">
        <v>1088.0</v>
      </c>
      <c r="V43" s="187">
        <v>585.0</v>
      </c>
      <c r="W43" s="186">
        <v>1086.0</v>
      </c>
      <c r="X43" s="187">
        <v>546.0</v>
      </c>
      <c r="Y43" s="188">
        <v>903.0</v>
      </c>
      <c r="Z43" s="189">
        <v>451.0</v>
      </c>
      <c r="AA43" s="188">
        <v>1118.0</v>
      </c>
      <c r="AB43" s="189">
        <v>457.0</v>
      </c>
      <c r="AC43" s="190">
        <v>1067.0</v>
      </c>
      <c r="AD43" s="189">
        <v>445.0</v>
      </c>
      <c r="AE43" s="186">
        <f t="shared" ref="AE43:AF43" si="93">AVERAGE(U43,W43,Y43,AA43,AC43)</f>
        <v>1052.4</v>
      </c>
      <c r="AF43" s="187">
        <f t="shared" si="93"/>
        <v>496.8</v>
      </c>
      <c r="AG43" s="116">
        <f t="shared" si="21"/>
        <v>-555.6</v>
      </c>
      <c r="AH43" s="139">
        <f t="shared" si="71"/>
        <v>0.472063854</v>
      </c>
      <c r="AI43" s="43"/>
      <c r="AJ43" s="191">
        <f t="shared" ref="AJ43:AK43" si="94">SUM(AE43/$AE$57)</f>
        <v>0.01312956147</v>
      </c>
      <c r="AK43" s="191">
        <f t="shared" si="94"/>
        <v>0.006197991392</v>
      </c>
    </row>
    <row r="44" ht="15.75" customHeight="1">
      <c r="A44" s="206" t="s">
        <v>231</v>
      </c>
      <c r="B44" s="204"/>
      <c r="C44" s="195"/>
      <c r="D44" s="195"/>
      <c r="E44" s="195"/>
      <c r="F44" s="196">
        <v>424.0</v>
      </c>
      <c r="G44" s="196">
        <v>395.0</v>
      </c>
      <c r="H44" s="197">
        <v>339.0</v>
      </c>
      <c r="I44" s="198">
        <v>349.0</v>
      </c>
      <c r="J44" s="61">
        <f t="shared" si="19"/>
        <v>361</v>
      </c>
      <c r="K44" s="43"/>
      <c r="L44" s="183"/>
      <c r="M44" s="185">
        <v>7209.0</v>
      </c>
      <c r="N44" s="185">
        <v>7322.0</v>
      </c>
      <c r="O44" s="185">
        <v>6941.0</v>
      </c>
      <c r="P44" s="185">
        <v>3979.0</v>
      </c>
      <c r="Q44" s="185">
        <v>1054.0</v>
      </c>
      <c r="R44" s="185">
        <v>6584.0</v>
      </c>
      <c r="S44" s="61">
        <f t="shared" si="4"/>
        <v>5176</v>
      </c>
      <c r="T44" s="43"/>
      <c r="U44" s="199"/>
      <c r="V44" s="200"/>
      <c r="W44" s="186">
        <v>67.0</v>
      </c>
      <c r="X44" s="187">
        <v>574.0</v>
      </c>
      <c r="Y44" s="188">
        <v>42.0</v>
      </c>
      <c r="Z44" s="189">
        <v>217.0</v>
      </c>
      <c r="AA44" s="188">
        <v>68.0</v>
      </c>
      <c r="AB44" s="189">
        <v>154.0</v>
      </c>
      <c r="AC44" s="190">
        <v>50.0</v>
      </c>
      <c r="AD44" s="189">
        <v>402.0</v>
      </c>
      <c r="AE44" s="211">
        <f t="shared" ref="AE44:AF44" si="95">AVERAGE(U44,W44,Y44,AA44,AC44)</f>
        <v>56.75</v>
      </c>
      <c r="AF44" s="212">
        <f t="shared" si="95"/>
        <v>336.75</v>
      </c>
      <c r="AG44" s="116">
        <f t="shared" si="21"/>
        <v>280</v>
      </c>
      <c r="AH44" s="139">
        <f t="shared" si="71"/>
        <v>5.933920705</v>
      </c>
      <c r="AI44" s="43"/>
      <c r="AJ44" s="191">
        <f t="shared" ref="AJ44:AK44" si="96">SUM(AE44/$AE$57)</f>
        <v>0.0007080032437</v>
      </c>
      <c r="AK44" s="191">
        <f t="shared" si="96"/>
        <v>0.004201235107</v>
      </c>
    </row>
    <row r="45" ht="15.75" customHeight="1">
      <c r="A45" s="53" t="s">
        <v>232</v>
      </c>
      <c r="B45" s="53"/>
      <c r="C45" s="183">
        <v>3033.0</v>
      </c>
      <c r="D45" s="192">
        <v>3033.0</v>
      </c>
      <c r="E45" s="61">
        <v>3071.0</v>
      </c>
      <c r="F45" s="61">
        <v>3123.0</v>
      </c>
      <c r="G45" s="61">
        <v>3187.0</v>
      </c>
      <c r="H45" s="144">
        <v>3208.0</v>
      </c>
      <c r="I45" s="184">
        <v>3033.0</v>
      </c>
      <c r="J45" s="61">
        <f t="shared" si="19"/>
        <v>3142.666667</v>
      </c>
      <c r="K45" s="43"/>
      <c r="L45" s="183">
        <v>11725.0</v>
      </c>
      <c r="M45" s="61">
        <v>11624.0</v>
      </c>
      <c r="N45" s="61">
        <v>8744.0</v>
      </c>
      <c r="O45" s="185">
        <v>9624.0</v>
      </c>
      <c r="P45" s="185">
        <v>9288.0</v>
      </c>
      <c r="Q45" s="185">
        <v>7308.0</v>
      </c>
      <c r="R45" s="185">
        <v>7536.0</v>
      </c>
      <c r="S45" s="61">
        <f t="shared" si="4"/>
        <v>8500</v>
      </c>
      <c r="T45" s="43"/>
      <c r="U45" s="186">
        <v>1886.0</v>
      </c>
      <c r="V45" s="187">
        <v>728.0</v>
      </c>
      <c r="W45" s="186">
        <v>1160.0</v>
      </c>
      <c r="X45" s="187">
        <v>981.0</v>
      </c>
      <c r="Y45" s="188">
        <v>1137.0</v>
      </c>
      <c r="Z45" s="189">
        <v>1522.0</v>
      </c>
      <c r="AA45" s="188">
        <v>1169.0</v>
      </c>
      <c r="AB45" s="189">
        <v>1680.0</v>
      </c>
      <c r="AC45" s="190">
        <v>1081.0</v>
      </c>
      <c r="AD45" s="189">
        <v>1346.0</v>
      </c>
      <c r="AE45" s="186">
        <f t="shared" ref="AE45:AF45" si="97">AVERAGE(U45,W45,Y45,AA45,AC45)</f>
        <v>1286.6</v>
      </c>
      <c r="AF45" s="187">
        <f t="shared" si="97"/>
        <v>1251.4</v>
      </c>
      <c r="AG45" s="116">
        <f t="shared" si="21"/>
        <v>-35.2</v>
      </c>
      <c r="AH45" s="139">
        <f t="shared" si="71"/>
        <v>0.9726410695</v>
      </c>
      <c r="AI45" s="43"/>
      <c r="AJ45" s="191">
        <f t="shared" ref="AJ45:AK45" si="98">SUM(AE45/$AE$57)</f>
        <v>0.01605140041</v>
      </c>
      <c r="AK45" s="191">
        <f t="shared" si="98"/>
        <v>0.01561225126</v>
      </c>
    </row>
    <row r="46" ht="15.75" customHeight="1">
      <c r="A46" s="193" t="s">
        <v>131</v>
      </c>
      <c r="B46" s="194"/>
      <c r="C46" s="195"/>
      <c r="D46" s="195"/>
      <c r="E46" s="195"/>
      <c r="F46" s="196">
        <f>'FY21-22 fees'!K56</f>
        <v>2</v>
      </c>
      <c r="G46" s="196">
        <f t="shared" ref="G46:G47" si="101">F46</f>
        <v>2</v>
      </c>
      <c r="H46" s="205">
        <v>2.0</v>
      </c>
      <c r="I46" s="205">
        <v>2.0</v>
      </c>
      <c r="J46" s="61">
        <f t="shared" si="19"/>
        <v>2</v>
      </c>
      <c r="K46" s="43"/>
      <c r="L46" s="183"/>
      <c r="M46" s="185">
        <v>27.0</v>
      </c>
      <c r="N46" s="185">
        <v>109.0</v>
      </c>
      <c r="O46" s="185">
        <v>64.0</v>
      </c>
      <c r="P46" s="185">
        <v>73.0</v>
      </c>
      <c r="Q46" s="185">
        <v>5.0</v>
      </c>
      <c r="R46" s="185">
        <v>0.0</v>
      </c>
      <c r="S46" s="61">
        <f t="shared" si="4"/>
        <v>50.2</v>
      </c>
      <c r="T46" s="43"/>
      <c r="U46" s="199"/>
      <c r="V46" s="200"/>
      <c r="W46" s="186">
        <v>9.0</v>
      </c>
      <c r="X46" s="187">
        <v>37.0</v>
      </c>
      <c r="Y46" s="188">
        <v>4.0</v>
      </c>
      <c r="Z46" s="189">
        <v>48.0</v>
      </c>
      <c r="AA46" s="188">
        <v>0.0</v>
      </c>
      <c r="AB46" s="189">
        <v>6.0</v>
      </c>
      <c r="AC46" s="190">
        <v>0.0</v>
      </c>
      <c r="AD46" s="189">
        <v>12.0</v>
      </c>
      <c r="AE46" s="211">
        <f t="shared" ref="AE46:AF46" si="99">AVERAGE(U46,W46,Y46,AA46,AC46)</f>
        <v>3.25</v>
      </c>
      <c r="AF46" s="212">
        <f t="shared" si="99"/>
        <v>25.75</v>
      </c>
      <c r="AG46" s="116">
        <f t="shared" si="21"/>
        <v>22.5</v>
      </c>
      <c r="AH46" s="139">
        <f t="shared" si="71"/>
        <v>7.923076923</v>
      </c>
      <c r="AI46" s="43"/>
      <c r="AJ46" s="191">
        <f t="shared" ref="AJ46:AK46" si="100">SUM(AE46/$AE$57)</f>
        <v>0.00004054644127</v>
      </c>
      <c r="AK46" s="191">
        <f t="shared" si="100"/>
        <v>0.0003212525731</v>
      </c>
    </row>
    <row r="47" ht="15.75" customHeight="1">
      <c r="A47" s="193" t="s">
        <v>233</v>
      </c>
      <c r="B47" s="194"/>
      <c r="C47" s="195"/>
      <c r="D47" s="195"/>
      <c r="E47" s="195"/>
      <c r="F47" s="196">
        <f>'FY21-22 fees'!K57</f>
        <v>1</v>
      </c>
      <c r="G47" s="196">
        <f t="shared" si="101"/>
        <v>1</v>
      </c>
      <c r="H47" s="205">
        <v>1.0</v>
      </c>
      <c r="I47" s="205">
        <v>1.0</v>
      </c>
      <c r="J47" s="61">
        <f t="shared" si="19"/>
        <v>1</v>
      </c>
      <c r="K47" s="43"/>
      <c r="L47" s="183"/>
      <c r="M47" s="185">
        <v>0.0</v>
      </c>
      <c r="N47" s="185">
        <v>0.0</v>
      </c>
      <c r="O47" s="185">
        <v>0.0</v>
      </c>
      <c r="P47" s="185">
        <v>0.0</v>
      </c>
      <c r="Q47" s="185">
        <v>0.0</v>
      </c>
      <c r="R47" s="185">
        <v>0.0</v>
      </c>
      <c r="S47" s="61">
        <f t="shared" si="4"/>
        <v>0</v>
      </c>
      <c r="T47" s="43"/>
      <c r="U47" s="199"/>
      <c r="V47" s="200"/>
      <c r="W47" s="186">
        <v>0.0</v>
      </c>
      <c r="X47" s="187">
        <v>0.0</v>
      </c>
      <c r="Y47" s="188">
        <v>0.0</v>
      </c>
      <c r="Z47" s="189">
        <v>0.0</v>
      </c>
      <c r="AA47" s="188">
        <v>0.0</v>
      </c>
      <c r="AB47" s="189">
        <v>0.0</v>
      </c>
      <c r="AC47" s="190">
        <v>0.0</v>
      </c>
      <c r="AD47" s="189">
        <v>0.0</v>
      </c>
      <c r="AE47" s="186">
        <f t="shared" ref="AE47:AF47" si="102">AVERAGE(U47,W47,Y47,AA47,AC47)</f>
        <v>0</v>
      </c>
      <c r="AF47" s="187">
        <f t="shared" si="102"/>
        <v>0</v>
      </c>
      <c r="AG47" s="116">
        <f t="shared" si="21"/>
        <v>0</v>
      </c>
      <c r="AH47" s="139"/>
      <c r="AI47" s="43"/>
      <c r="AJ47" s="191">
        <f t="shared" ref="AJ47:AK47" si="103">SUM(AE47/$AE$57)</f>
        <v>0</v>
      </c>
      <c r="AK47" s="191">
        <f t="shared" si="103"/>
        <v>0</v>
      </c>
    </row>
    <row r="48" ht="15.75" customHeight="1">
      <c r="A48" s="53" t="s">
        <v>234</v>
      </c>
      <c r="B48" s="53"/>
      <c r="C48" s="183">
        <f>2055+2689+14515</f>
        <v>19259</v>
      </c>
      <c r="D48" s="61">
        <f>2005+420+23840</f>
        <v>26265</v>
      </c>
      <c r="E48" s="61">
        <f>2030+23455</f>
        <v>25485</v>
      </c>
      <c r="F48" s="61">
        <f>14735+6599+2600+2031</f>
        <v>25965</v>
      </c>
      <c r="G48" s="61">
        <f>22835+2182+1753</f>
        <v>26770</v>
      </c>
      <c r="H48" s="144">
        <f>22582+2642+2071</f>
        <v>27295</v>
      </c>
      <c r="I48" s="144">
        <f>21943+2642+2071</f>
        <v>26656</v>
      </c>
      <c r="J48" s="61">
        <f t="shared" si="19"/>
        <v>26907</v>
      </c>
      <c r="K48" s="43"/>
      <c r="L48" s="183">
        <v>199435.0</v>
      </c>
      <c r="M48" s="61">
        <v>197620.0</v>
      </c>
      <c r="N48" s="61">
        <v>219628.0</v>
      </c>
      <c r="O48" s="61">
        <f>+253140+7122+9447</f>
        <v>269709</v>
      </c>
      <c r="P48" s="61">
        <f>+168920+6387+7216</f>
        <v>182523</v>
      </c>
      <c r="Q48" s="61">
        <f>+65772+7417+1735</f>
        <v>74924</v>
      </c>
      <c r="R48" s="185">
        <v>137234.0</v>
      </c>
      <c r="S48" s="61">
        <f t="shared" si="4"/>
        <v>176803.6</v>
      </c>
      <c r="T48" s="43"/>
      <c r="U48" s="186">
        <v>12799.0</v>
      </c>
      <c r="V48" s="187">
        <v>7997.0</v>
      </c>
      <c r="W48" s="186">
        <v>14547.0</v>
      </c>
      <c r="X48" s="187">
        <v>8716.0</v>
      </c>
      <c r="Y48" s="188">
        <v>13568.0</v>
      </c>
      <c r="Z48" s="189">
        <v>7650.0</v>
      </c>
      <c r="AA48" s="188">
        <v>15739.0</v>
      </c>
      <c r="AB48" s="189">
        <v>9866.0</v>
      </c>
      <c r="AC48" s="190">
        <f>+13218+505+243</f>
        <v>13966</v>
      </c>
      <c r="AD48" s="189">
        <f>+7682+694+117</f>
        <v>8493</v>
      </c>
      <c r="AE48" s="186">
        <f t="shared" ref="AE48:AF48" si="104">AVERAGE(U48,W48,Y48,AA48,AC48)</f>
        <v>14123.8</v>
      </c>
      <c r="AF48" s="187">
        <f t="shared" si="104"/>
        <v>8544.4</v>
      </c>
      <c r="AG48" s="116">
        <f t="shared" si="21"/>
        <v>-5579.4</v>
      </c>
      <c r="AH48" s="139">
        <f t="shared" ref="AH48:AH52" si="107">SUM(AF48/AE48)</f>
        <v>0.6049646696</v>
      </c>
      <c r="AI48" s="43"/>
      <c r="AJ48" s="191">
        <f t="shared" ref="AJ48:AK48" si="105">SUM(AE48/$AE$57)</f>
        <v>0.1762061007</v>
      </c>
      <c r="AK48" s="191">
        <f t="shared" si="105"/>
        <v>0.1065984655</v>
      </c>
    </row>
    <row r="49" ht="15.75" customHeight="1">
      <c r="A49" s="218" t="s">
        <v>235</v>
      </c>
      <c r="B49" s="194"/>
      <c r="C49" s="195">
        <v>2285.0</v>
      </c>
      <c r="D49" s="195">
        <v>1819.0</v>
      </c>
      <c r="E49" s="195">
        <v>2175.0</v>
      </c>
      <c r="F49" s="196">
        <v>2215.0</v>
      </c>
      <c r="G49" s="196">
        <v>1779.0</v>
      </c>
      <c r="H49" s="197">
        <v>1813.0</v>
      </c>
      <c r="I49" s="198">
        <v>1621.0</v>
      </c>
      <c r="J49" s="61">
        <f t="shared" si="19"/>
        <v>1737.666667</v>
      </c>
      <c r="K49" s="43"/>
      <c r="L49" s="183"/>
      <c r="M49" s="185">
        <v>6402.0</v>
      </c>
      <c r="N49" s="185">
        <v>6042.0</v>
      </c>
      <c r="O49" s="185">
        <v>5378.0</v>
      </c>
      <c r="P49" s="185">
        <v>3166.0</v>
      </c>
      <c r="Q49" s="185">
        <v>1963.0</v>
      </c>
      <c r="R49" s="185">
        <v>1824.0</v>
      </c>
      <c r="S49" s="61">
        <f t="shared" si="4"/>
        <v>3674.6</v>
      </c>
      <c r="T49" s="43"/>
      <c r="U49" s="199"/>
      <c r="V49" s="200"/>
      <c r="W49" s="186">
        <v>1443.0</v>
      </c>
      <c r="X49" s="187">
        <v>436.0</v>
      </c>
      <c r="Y49" s="188">
        <v>1252.0</v>
      </c>
      <c r="Z49" s="189">
        <v>456.0</v>
      </c>
      <c r="AA49" s="188">
        <v>1192.0</v>
      </c>
      <c r="AB49" s="189">
        <v>317.0</v>
      </c>
      <c r="AC49" s="190">
        <v>1034.0</v>
      </c>
      <c r="AD49" s="189">
        <v>267.0</v>
      </c>
      <c r="AE49" s="186">
        <f t="shared" ref="AE49:AF49" si="106">AVERAGE(U49,W49,Y49,AA49,AC49)</f>
        <v>1230.25</v>
      </c>
      <c r="AF49" s="187">
        <f t="shared" si="106"/>
        <v>369</v>
      </c>
      <c r="AG49" s="116">
        <f t="shared" si="21"/>
        <v>-861.25</v>
      </c>
      <c r="AH49" s="139">
        <f t="shared" si="107"/>
        <v>0.2999390368</v>
      </c>
      <c r="AI49" s="43"/>
      <c r="AJ49" s="191">
        <f t="shared" ref="AJ49:AK49" si="108">SUM(AE49/$AE$57)</f>
        <v>0.0153483875</v>
      </c>
      <c r="AK49" s="191">
        <f t="shared" si="108"/>
        <v>0.004603580563</v>
      </c>
    </row>
    <row r="50" ht="15.75" customHeight="1">
      <c r="A50" s="53" t="s">
        <v>236</v>
      </c>
      <c r="B50" s="53"/>
      <c r="C50" s="183">
        <v>349.0</v>
      </c>
      <c r="D50" s="192">
        <v>349.0</v>
      </c>
      <c r="E50" s="61">
        <v>351.0</v>
      </c>
      <c r="F50" s="61">
        <v>343.0</v>
      </c>
      <c r="G50" s="61">
        <v>334.0</v>
      </c>
      <c r="H50" s="144">
        <v>338.0</v>
      </c>
      <c r="I50" s="184">
        <v>225.0</v>
      </c>
      <c r="J50" s="61">
        <f t="shared" si="19"/>
        <v>299</v>
      </c>
      <c r="K50" s="43"/>
      <c r="L50" s="183">
        <v>4797.0</v>
      </c>
      <c r="M50" s="61">
        <v>2522.0</v>
      </c>
      <c r="N50" s="61">
        <v>3548.0</v>
      </c>
      <c r="O50" s="185">
        <v>1825.0</v>
      </c>
      <c r="P50" s="185">
        <v>2083.0</v>
      </c>
      <c r="Q50" s="185">
        <v>1313.0</v>
      </c>
      <c r="R50" s="185">
        <v>1081.0</v>
      </c>
      <c r="S50" s="61">
        <f t="shared" si="4"/>
        <v>1970</v>
      </c>
      <c r="T50" s="43"/>
      <c r="U50" s="186">
        <v>388.0</v>
      </c>
      <c r="V50" s="187">
        <v>215.0</v>
      </c>
      <c r="W50" s="186">
        <v>516.0</v>
      </c>
      <c r="X50" s="187">
        <v>509.0</v>
      </c>
      <c r="Y50" s="188">
        <v>484.0</v>
      </c>
      <c r="Z50" s="189">
        <v>410.0</v>
      </c>
      <c r="AA50" s="188">
        <v>233.0</v>
      </c>
      <c r="AB50" s="189">
        <v>338.0</v>
      </c>
      <c r="AC50" s="190">
        <v>147.0</v>
      </c>
      <c r="AD50" s="189">
        <v>70.0</v>
      </c>
      <c r="AE50" s="186">
        <f t="shared" ref="AE50:AF50" si="109">AVERAGE(U50,W50,Y50,AA50,AC50)</f>
        <v>353.6</v>
      </c>
      <c r="AF50" s="187">
        <f t="shared" si="109"/>
        <v>308.4</v>
      </c>
      <c r="AG50" s="116">
        <f t="shared" si="21"/>
        <v>-45.2</v>
      </c>
      <c r="AH50" s="139">
        <f t="shared" si="107"/>
        <v>0.8721719457</v>
      </c>
      <c r="AI50" s="43"/>
      <c r="AJ50" s="191">
        <f t="shared" ref="AJ50:AK50" si="110">SUM(AE50/$AE$57)</f>
        <v>0.00441145281</v>
      </c>
      <c r="AK50" s="191">
        <f t="shared" si="110"/>
        <v>0.003847545381</v>
      </c>
    </row>
    <row r="51" ht="15.75" customHeight="1">
      <c r="A51" s="53" t="s">
        <v>237</v>
      </c>
      <c r="B51" s="53"/>
      <c r="C51" s="183">
        <v>10075.0</v>
      </c>
      <c r="D51" s="61">
        <v>10075.0</v>
      </c>
      <c r="E51" s="61">
        <v>10374.0</v>
      </c>
      <c r="F51" s="61">
        <v>10464.0</v>
      </c>
      <c r="G51" s="61">
        <v>10604.0</v>
      </c>
      <c r="H51" s="144">
        <v>10701.0</v>
      </c>
      <c r="I51" s="184">
        <v>10364.0</v>
      </c>
      <c r="J51" s="61">
        <f t="shared" si="19"/>
        <v>10556.33333</v>
      </c>
      <c r="K51" s="43"/>
      <c r="L51" s="183">
        <v>35994.0</v>
      </c>
      <c r="M51" s="61">
        <v>16576.0</v>
      </c>
      <c r="N51" s="61">
        <v>15658.0</v>
      </c>
      <c r="O51" s="185">
        <v>14760.0</v>
      </c>
      <c r="P51" s="185">
        <v>9522.0</v>
      </c>
      <c r="Q51" s="185">
        <v>5152.0</v>
      </c>
      <c r="R51" s="185">
        <v>5482.0</v>
      </c>
      <c r="S51" s="61">
        <f t="shared" si="4"/>
        <v>10114.8</v>
      </c>
      <c r="T51" s="43"/>
      <c r="U51" s="186">
        <v>2500.0</v>
      </c>
      <c r="V51" s="187">
        <v>1074.0</v>
      </c>
      <c r="W51" s="186">
        <v>2578.0</v>
      </c>
      <c r="X51" s="187">
        <v>1002.0</v>
      </c>
      <c r="Y51" s="188">
        <v>2121.0</v>
      </c>
      <c r="Z51" s="189">
        <v>791.0</v>
      </c>
      <c r="AA51" s="188">
        <v>2060.0</v>
      </c>
      <c r="AB51" s="189">
        <v>578.0</v>
      </c>
      <c r="AC51" s="190">
        <v>1714.0</v>
      </c>
      <c r="AD51" s="189">
        <v>681.0</v>
      </c>
      <c r="AE51" s="186">
        <f t="shared" ref="AE51:AF51" si="111">AVERAGE(U51,W51,Y51,AA51,AC51)</f>
        <v>2194.6</v>
      </c>
      <c r="AF51" s="187">
        <f t="shared" si="111"/>
        <v>825.2</v>
      </c>
      <c r="AG51" s="116">
        <f t="shared" si="21"/>
        <v>-1369.4</v>
      </c>
      <c r="AH51" s="139">
        <f t="shared" si="107"/>
        <v>0.3760138522</v>
      </c>
      <c r="AI51" s="43"/>
      <c r="AJ51" s="191">
        <f t="shared" ref="AJ51:AK51" si="112">SUM(AE51/$AE$57)</f>
        <v>0.02737945231</v>
      </c>
      <c r="AK51" s="191">
        <f t="shared" si="112"/>
        <v>0.01029505333</v>
      </c>
    </row>
    <row r="52" ht="15.75" customHeight="1">
      <c r="A52" s="53" t="s">
        <v>238</v>
      </c>
      <c r="B52" s="53"/>
      <c r="C52" s="183">
        <v>3273.0</v>
      </c>
      <c r="D52" s="144">
        <v>3281.0</v>
      </c>
      <c r="E52" s="61">
        <v>3300.0</v>
      </c>
      <c r="F52" s="61">
        <v>3286.0</v>
      </c>
      <c r="G52" s="61">
        <v>3596.0</v>
      </c>
      <c r="H52" s="144">
        <v>3278.0</v>
      </c>
      <c r="I52" s="184">
        <v>3731.0</v>
      </c>
      <c r="J52" s="61">
        <f t="shared" si="19"/>
        <v>3535</v>
      </c>
      <c r="K52" s="43"/>
      <c r="L52" s="183">
        <v>17155.0</v>
      </c>
      <c r="M52" s="61">
        <v>29963.0</v>
      </c>
      <c r="N52" s="61">
        <v>13082.0</v>
      </c>
      <c r="O52" s="185">
        <v>14578.0</v>
      </c>
      <c r="P52" s="185">
        <v>12233.0</v>
      </c>
      <c r="Q52" s="185">
        <v>9038.0</v>
      </c>
      <c r="R52" s="185">
        <v>10818.0</v>
      </c>
      <c r="S52" s="61">
        <f t="shared" si="4"/>
        <v>11949.8</v>
      </c>
      <c r="T52" s="43"/>
      <c r="U52" s="186">
        <v>1851.0</v>
      </c>
      <c r="V52" s="187">
        <v>740.0</v>
      </c>
      <c r="W52" s="186">
        <v>1623.0</v>
      </c>
      <c r="X52" s="187">
        <v>1288.0</v>
      </c>
      <c r="Y52" s="188">
        <v>1730.0</v>
      </c>
      <c r="Z52" s="189">
        <v>1301.0</v>
      </c>
      <c r="AA52" s="188">
        <v>2127.0</v>
      </c>
      <c r="AB52" s="189">
        <v>1332.0</v>
      </c>
      <c r="AC52" s="190">
        <v>1644.0</v>
      </c>
      <c r="AD52" s="189">
        <v>1831.0</v>
      </c>
      <c r="AE52" s="186">
        <f t="shared" ref="AE52:AF52" si="113">AVERAGE(U52,W52,Y52,AA52,AC52)</f>
        <v>1795</v>
      </c>
      <c r="AF52" s="187">
        <f t="shared" si="113"/>
        <v>1298.4</v>
      </c>
      <c r="AG52" s="116">
        <f t="shared" si="21"/>
        <v>-496.6</v>
      </c>
      <c r="AH52" s="139">
        <f t="shared" si="107"/>
        <v>0.7233426184</v>
      </c>
      <c r="AI52" s="43"/>
      <c r="AJ52" s="191">
        <f t="shared" ref="AJ52:AK52" si="114">SUM(AE52/$AE$57)</f>
        <v>0.02239411141</v>
      </c>
      <c r="AK52" s="191">
        <f t="shared" si="114"/>
        <v>0.01619861518</v>
      </c>
    </row>
    <row r="53" ht="15.75" customHeight="1">
      <c r="A53" s="53" t="s">
        <v>239</v>
      </c>
      <c r="B53" s="53"/>
      <c r="C53" s="183">
        <v>1875.0</v>
      </c>
      <c r="D53" s="61">
        <v>1885.0</v>
      </c>
      <c r="E53" s="61">
        <v>1915.0</v>
      </c>
      <c r="F53" s="61">
        <v>1950.0</v>
      </c>
      <c r="G53" s="61">
        <v>1875.0</v>
      </c>
      <c r="H53" s="144">
        <v>1875.0</v>
      </c>
      <c r="I53" s="184">
        <v>1914.0</v>
      </c>
      <c r="J53" s="61">
        <f t="shared" si="19"/>
        <v>1888</v>
      </c>
      <c r="K53" s="43"/>
      <c r="L53" s="183">
        <v>7890.0</v>
      </c>
      <c r="M53" s="61">
        <v>16812.0</v>
      </c>
      <c r="N53" s="61">
        <v>8085.0</v>
      </c>
      <c r="O53" s="185">
        <v>7451.0</v>
      </c>
      <c r="P53" s="185">
        <v>4856.0</v>
      </c>
      <c r="Q53" s="185">
        <v>5206.0</v>
      </c>
      <c r="R53" s="185">
        <v>5518.0</v>
      </c>
      <c r="S53" s="61">
        <f t="shared" si="4"/>
        <v>6223.2</v>
      </c>
      <c r="T53" s="43"/>
      <c r="U53" s="186">
        <v>0.0</v>
      </c>
      <c r="V53" s="187">
        <v>2032.0</v>
      </c>
      <c r="W53" s="186">
        <v>397.0</v>
      </c>
      <c r="X53" s="187">
        <v>652.0</v>
      </c>
      <c r="Y53" s="188">
        <v>282.0</v>
      </c>
      <c r="Z53" s="189">
        <v>481.0</v>
      </c>
      <c r="AA53" s="188">
        <v>261.0</v>
      </c>
      <c r="AB53" s="189">
        <v>566.0</v>
      </c>
      <c r="AC53" s="190">
        <v>367.0</v>
      </c>
      <c r="AD53" s="189">
        <v>495.0</v>
      </c>
      <c r="AE53" s="186">
        <f t="shared" ref="AE53:AF53" si="115">AVERAGE(U53,W53,Y53,AA53,AC53)</f>
        <v>261.4</v>
      </c>
      <c r="AF53" s="187">
        <f t="shared" si="115"/>
        <v>845.2</v>
      </c>
      <c r="AG53" s="116">
        <f t="shared" si="21"/>
        <v>583.8</v>
      </c>
      <c r="AH53" s="139"/>
      <c r="AI53" s="43"/>
      <c r="AJ53" s="191">
        <f t="shared" ref="AJ53:AK53" si="116">SUM(AE53/$AE$57)</f>
        <v>0.003261181461</v>
      </c>
      <c r="AK53" s="191">
        <f t="shared" si="116"/>
        <v>0.0105445699</v>
      </c>
    </row>
    <row r="54" ht="15.75" customHeight="1">
      <c r="A54" s="193" t="s">
        <v>240</v>
      </c>
      <c r="B54" s="194"/>
      <c r="C54" s="195"/>
      <c r="D54" s="195"/>
      <c r="E54" s="195"/>
      <c r="F54" s="196">
        <v>263.0</v>
      </c>
      <c r="G54" s="196">
        <v>268.0</v>
      </c>
      <c r="H54" s="197">
        <v>247.0</v>
      </c>
      <c r="I54" s="198">
        <v>266.0</v>
      </c>
      <c r="J54" s="61">
        <f t="shared" si="19"/>
        <v>260.3333333</v>
      </c>
      <c r="K54" s="43"/>
      <c r="L54" s="183"/>
      <c r="M54" s="185">
        <v>1854.0</v>
      </c>
      <c r="N54" s="185">
        <v>2009.0</v>
      </c>
      <c r="O54" s="185">
        <v>1252.0</v>
      </c>
      <c r="P54" s="185">
        <v>1486.0</v>
      </c>
      <c r="Q54" s="185">
        <v>811.0</v>
      </c>
      <c r="R54" s="185">
        <v>1187.0</v>
      </c>
      <c r="S54" s="61">
        <f t="shared" si="4"/>
        <v>1349</v>
      </c>
      <c r="T54" s="43"/>
      <c r="U54" s="199"/>
      <c r="V54" s="200"/>
      <c r="W54" s="186">
        <v>22.0</v>
      </c>
      <c r="X54" s="187">
        <v>7.0</v>
      </c>
      <c r="Y54" s="188">
        <v>58.0</v>
      </c>
      <c r="Z54" s="189">
        <v>44.0</v>
      </c>
      <c r="AA54" s="188">
        <v>48.0</v>
      </c>
      <c r="AB54" s="189">
        <v>47.0</v>
      </c>
      <c r="AC54" s="190">
        <v>30.0</v>
      </c>
      <c r="AD54" s="189">
        <v>46.0</v>
      </c>
      <c r="AE54" s="186">
        <f t="shared" ref="AE54:AF54" si="117">AVERAGE(U54,W54,Y54,AA54,AC54)</f>
        <v>39.5</v>
      </c>
      <c r="AF54" s="187">
        <f t="shared" si="117"/>
        <v>36</v>
      </c>
      <c r="AG54" s="116">
        <f t="shared" si="21"/>
        <v>-3.5</v>
      </c>
      <c r="AH54" s="139">
        <f t="shared" ref="AH54:AH56" si="120">SUM(AF54/AE54)</f>
        <v>0.9113924051</v>
      </c>
      <c r="AI54" s="43"/>
      <c r="AJ54" s="191">
        <f t="shared" ref="AJ54:AK54" si="118">SUM(AE54/$AE$57)</f>
        <v>0.0004927952093</v>
      </c>
      <c r="AK54" s="191">
        <f t="shared" si="118"/>
        <v>0.000449129811</v>
      </c>
    </row>
    <row r="55" ht="15.75" customHeight="1">
      <c r="A55" s="53" t="s">
        <v>149</v>
      </c>
      <c r="B55" s="53"/>
      <c r="C55" s="183">
        <v>810.0</v>
      </c>
      <c r="D55" s="192">
        <v>810.0</v>
      </c>
      <c r="E55" s="61">
        <v>805.0</v>
      </c>
      <c r="F55" s="61">
        <v>805.0</v>
      </c>
      <c r="G55" s="61">
        <v>840.0</v>
      </c>
      <c r="H55" s="144">
        <v>840.0</v>
      </c>
      <c r="I55" s="184">
        <v>799.0</v>
      </c>
      <c r="J55" s="61">
        <f t="shared" si="19"/>
        <v>826.3333333</v>
      </c>
      <c r="K55" s="43"/>
      <c r="L55" s="183">
        <v>7587.0</v>
      </c>
      <c r="M55" s="61">
        <v>9593.0</v>
      </c>
      <c r="N55" s="61">
        <v>6560.0</v>
      </c>
      <c r="O55" s="185">
        <v>6466.0</v>
      </c>
      <c r="P55" s="185">
        <v>4388.0</v>
      </c>
      <c r="Q55" s="185">
        <v>5295.0</v>
      </c>
      <c r="R55" s="185">
        <v>6711.0</v>
      </c>
      <c r="S55" s="61">
        <f t="shared" si="4"/>
        <v>5884</v>
      </c>
      <c r="T55" s="43"/>
      <c r="U55" s="186">
        <v>557.0</v>
      </c>
      <c r="V55" s="187">
        <v>323.0</v>
      </c>
      <c r="W55" s="186">
        <v>498.0</v>
      </c>
      <c r="X55" s="187">
        <v>639.0</v>
      </c>
      <c r="Y55" s="188">
        <v>388.0</v>
      </c>
      <c r="Z55" s="189">
        <v>665.0</v>
      </c>
      <c r="AA55" s="188">
        <v>617.0</v>
      </c>
      <c r="AB55" s="189">
        <v>1208.0</v>
      </c>
      <c r="AC55" s="190">
        <v>581.0</v>
      </c>
      <c r="AD55" s="189">
        <v>2134.0</v>
      </c>
      <c r="AE55" s="186">
        <f t="shared" ref="AE55:AF55" si="119">AVERAGE(U55,W55,Y55,AA55,AC55)</f>
        <v>528.2</v>
      </c>
      <c r="AF55" s="187">
        <f t="shared" si="119"/>
        <v>993.8</v>
      </c>
      <c r="AG55" s="116">
        <f t="shared" si="21"/>
        <v>465.6</v>
      </c>
      <c r="AH55" s="139">
        <f t="shared" si="120"/>
        <v>1.881484286</v>
      </c>
      <c r="AI55" s="43"/>
      <c r="AJ55" s="191">
        <f t="shared" ref="AJ55:AK55" si="121">SUM(AE55/$AE$57)</f>
        <v>0.006589732393</v>
      </c>
      <c r="AK55" s="191">
        <f t="shared" si="121"/>
        <v>0.01239847795</v>
      </c>
    </row>
    <row r="56" ht="15.75" customHeight="1">
      <c r="A56" s="53" t="s">
        <v>241</v>
      </c>
      <c r="B56" s="53"/>
      <c r="C56" s="183">
        <v>978.0</v>
      </c>
      <c r="D56" s="192">
        <v>939.0</v>
      </c>
      <c r="E56" s="61">
        <v>981.0</v>
      </c>
      <c r="F56" s="61">
        <v>979.0</v>
      </c>
      <c r="G56" s="61">
        <v>979.0</v>
      </c>
      <c r="H56" s="144">
        <v>971.0</v>
      </c>
      <c r="I56" s="184">
        <v>973.0</v>
      </c>
      <c r="J56" s="61">
        <f t="shared" si="19"/>
        <v>974.3333333</v>
      </c>
      <c r="K56" s="43"/>
      <c r="L56" s="183">
        <v>4475.0</v>
      </c>
      <c r="M56" s="61">
        <v>4034.0</v>
      </c>
      <c r="N56" s="61">
        <v>3901.0</v>
      </c>
      <c r="O56" s="185">
        <v>3440.0</v>
      </c>
      <c r="P56" s="185">
        <v>2873.0</v>
      </c>
      <c r="Q56" s="185">
        <v>2411.0</v>
      </c>
      <c r="R56" s="185">
        <v>2654.0</v>
      </c>
      <c r="S56" s="61">
        <f t="shared" si="4"/>
        <v>3055.8</v>
      </c>
      <c r="T56" s="43"/>
      <c r="U56" s="186">
        <v>543.0</v>
      </c>
      <c r="V56" s="187">
        <v>311.0</v>
      </c>
      <c r="W56" s="186">
        <v>563.0</v>
      </c>
      <c r="X56" s="187">
        <v>317.0</v>
      </c>
      <c r="Y56" s="188">
        <v>554.0</v>
      </c>
      <c r="Z56" s="189">
        <v>279.0</v>
      </c>
      <c r="AA56" s="188">
        <v>617.0</v>
      </c>
      <c r="AB56" s="189">
        <v>341.0</v>
      </c>
      <c r="AC56" s="190">
        <v>478.0</v>
      </c>
      <c r="AD56" s="189">
        <v>295.0</v>
      </c>
      <c r="AE56" s="201">
        <f t="shared" ref="AE56:AF56" si="122">AVERAGE(U56,W56,Y56,AA56,AC56)</f>
        <v>551</v>
      </c>
      <c r="AF56" s="202">
        <f t="shared" si="122"/>
        <v>308.6</v>
      </c>
      <c r="AG56" s="116">
        <f t="shared" si="21"/>
        <v>-242.4</v>
      </c>
      <c r="AH56" s="139">
        <f t="shared" si="120"/>
        <v>0.5600725953</v>
      </c>
      <c r="AI56" s="43"/>
      <c r="AJ56" s="191">
        <f t="shared" ref="AJ56:AK56" si="123">SUM(AE56/$AE$57)</f>
        <v>0.006874181274</v>
      </c>
      <c r="AK56" s="191">
        <f t="shared" si="123"/>
        <v>0.003850040546</v>
      </c>
    </row>
    <row r="57" ht="15.75" customHeight="1">
      <c r="A57" s="219"/>
      <c r="B57" s="219"/>
      <c r="C57" s="88">
        <f t="shared" ref="C57:J57" si="124">SUM(C2:C56)</f>
        <v>247380</v>
      </c>
      <c r="D57" s="88">
        <f t="shared" si="124"/>
        <v>253127</v>
      </c>
      <c r="E57" s="88">
        <f t="shared" si="124"/>
        <v>256619</v>
      </c>
      <c r="F57" s="88">
        <f t="shared" si="124"/>
        <v>262287</v>
      </c>
      <c r="G57" s="88">
        <f t="shared" si="124"/>
        <v>264064.3333</v>
      </c>
      <c r="H57" s="88">
        <f t="shared" si="124"/>
        <v>262350.3333</v>
      </c>
      <c r="I57" s="88">
        <f t="shared" si="124"/>
        <v>258136.3333</v>
      </c>
      <c r="J57" s="88">
        <f t="shared" si="124"/>
        <v>261517</v>
      </c>
      <c r="K57" s="111"/>
      <c r="L57" s="88">
        <f t="shared" ref="L57:R57" si="125">SUM(L2:L56)</f>
        <v>1306776</v>
      </c>
      <c r="M57" s="88">
        <f t="shared" si="125"/>
        <v>1273511</v>
      </c>
      <c r="N57" s="88">
        <f t="shared" si="125"/>
        <v>1269782</v>
      </c>
      <c r="O57" s="88">
        <f t="shared" si="125"/>
        <v>1255263</v>
      </c>
      <c r="P57" s="88">
        <f t="shared" si="125"/>
        <v>937837</v>
      </c>
      <c r="Q57" s="88">
        <f t="shared" si="125"/>
        <v>618285</v>
      </c>
      <c r="R57" s="88">
        <f t="shared" si="125"/>
        <v>896245</v>
      </c>
      <c r="S57" s="88"/>
      <c r="T57" s="111"/>
      <c r="U57" s="220">
        <f t="shared" ref="U57:AD57" si="126">SUM(U2:U56)</f>
        <v>82504</v>
      </c>
      <c r="V57" s="221">
        <f t="shared" si="126"/>
        <v>81815</v>
      </c>
      <c r="W57" s="220">
        <f t="shared" si="126"/>
        <v>84427</v>
      </c>
      <c r="X57" s="221">
        <f t="shared" si="126"/>
        <v>84588</v>
      </c>
      <c r="Y57" s="220">
        <f t="shared" si="126"/>
        <v>74929</v>
      </c>
      <c r="Z57" s="221">
        <f t="shared" si="126"/>
        <v>73199</v>
      </c>
      <c r="AA57" s="220">
        <f t="shared" si="126"/>
        <v>84652</v>
      </c>
      <c r="AB57" s="221">
        <f t="shared" si="126"/>
        <v>84630</v>
      </c>
      <c r="AC57" s="220">
        <f t="shared" si="126"/>
        <v>74263</v>
      </c>
      <c r="AD57" s="221">
        <f t="shared" si="126"/>
        <v>76085</v>
      </c>
      <c r="AE57" s="220">
        <f t="shared" ref="AE57:AF57" si="127">AVERAGE(U57,W57,Y57,AA57,AC57)</f>
        <v>80155</v>
      </c>
      <c r="AF57" s="221">
        <f t="shared" si="127"/>
        <v>80063.4</v>
      </c>
      <c r="AG57" s="116"/>
      <c r="AH57" s="111"/>
      <c r="AI57" s="111"/>
      <c r="AJ57" s="111"/>
      <c r="AK57" s="111"/>
    </row>
    <row r="58" ht="15.75" customHeight="1">
      <c r="A58" s="222" t="s">
        <v>242</v>
      </c>
      <c r="B58" s="53"/>
      <c r="C58" s="61">
        <f t="shared" ref="C58:I58" si="128">AVERAGE(A57:C57)</f>
        <v>247380</v>
      </c>
      <c r="D58" s="61">
        <f t="shared" si="128"/>
        <v>250253.5</v>
      </c>
      <c r="E58" s="61">
        <f t="shared" si="128"/>
        <v>252375.3333</v>
      </c>
      <c r="F58" s="61">
        <f t="shared" si="128"/>
        <v>257344.3333</v>
      </c>
      <c r="G58" s="61">
        <f t="shared" si="128"/>
        <v>260990.1111</v>
      </c>
      <c r="H58" s="61">
        <f t="shared" si="128"/>
        <v>262900.5556</v>
      </c>
      <c r="I58" s="61">
        <f t="shared" si="128"/>
        <v>261517</v>
      </c>
      <c r="J58" s="61"/>
      <c r="K58" s="43"/>
      <c r="L58" s="61"/>
      <c r="M58" s="61"/>
      <c r="N58" s="61">
        <f>AVERAGE(L57:N57)</f>
        <v>1283356.333</v>
      </c>
      <c r="O58" s="61">
        <f>AVERAGE(L57:O57)</f>
        <v>1276333</v>
      </c>
      <c r="P58" s="61">
        <f t="shared" ref="P58:R58" si="129">AVERAGE(L57:P57)</f>
        <v>1208633.8</v>
      </c>
      <c r="Q58" s="61">
        <f t="shared" si="129"/>
        <v>1070935.6</v>
      </c>
      <c r="R58" s="61">
        <f t="shared" si="129"/>
        <v>995482.4</v>
      </c>
      <c r="S58" s="61"/>
      <c r="T58" s="43"/>
      <c r="V58" s="43"/>
      <c r="W58" s="43"/>
      <c r="X58" s="43"/>
      <c r="Y58" s="43"/>
      <c r="Z58" s="43"/>
      <c r="AA58" s="61">
        <f t="shared" ref="AA58:AD58" si="130">AVERAGE(W57:AA57)</f>
        <v>80359</v>
      </c>
      <c r="AB58" s="61">
        <f t="shared" si="130"/>
        <v>80399.6</v>
      </c>
      <c r="AC58" s="61">
        <f t="shared" si="130"/>
        <v>78334.6</v>
      </c>
      <c r="AD58" s="61">
        <f t="shared" si="130"/>
        <v>78565.8</v>
      </c>
      <c r="AE58" s="43"/>
      <c r="AF58" s="43"/>
      <c r="AG58" s="223"/>
      <c r="AH58" s="43"/>
      <c r="AI58" s="43"/>
      <c r="AJ58" s="43"/>
      <c r="AK58" s="43"/>
    </row>
    <row r="59" ht="15.75" customHeight="1">
      <c r="A59" s="53" t="s">
        <v>243</v>
      </c>
      <c r="B59" s="53"/>
      <c r="C59" s="183"/>
      <c r="D59" s="61"/>
      <c r="E59" s="61">
        <f t="shared" ref="E59:I59" si="131">SUM(E2,E4,E11,E20,E22,E34,E41,E42,E45,E50,E51,E56)</f>
        <v>80498</v>
      </c>
      <c r="F59" s="61">
        <f t="shared" si="131"/>
        <v>80763</v>
      </c>
      <c r="G59" s="61">
        <f t="shared" si="131"/>
        <v>81160</v>
      </c>
      <c r="H59" s="61">
        <f t="shared" si="131"/>
        <v>81495</v>
      </c>
      <c r="I59" s="61">
        <f t="shared" si="131"/>
        <v>80026</v>
      </c>
      <c r="J59" s="61"/>
      <c r="K59" s="43"/>
      <c r="L59" s="61">
        <f t="shared" ref="L59:R59" si="132">SUM(L2,L4,L11,L20,L22,L34,L41,L42,L45,L50,L51,L56)</f>
        <v>317123</v>
      </c>
      <c r="M59" s="61">
        <f t="shared" si="132"/>
        <v>267656</v>
      </c>
      <c r="N59" s="61">
        <f t="shared" si="132"/>
        <v>273551</v>
      </c>
      <c r="O59" s="61">
        <f t="shared" si="132"/>
        <v>249073</v>
      </c>
      <c r="P59" s="61">
        <f t="shared" si="132"/>
        <v>198058</v>
      </c>
      <c r="Q59" s="61">
        <f t="shared" si="132"/>
        <v>115935</v>
      </c>
      <c r="R59" s="61">
        <f t="shared" si="132"/>
        <v>164800</v>
      </c>
      <c r="S59" s="61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</row>
    <row r="60" ht="15.75" customHeight="1">
      <c r="A60" s="53"/>
      <c r="B60" s="53"/>
      <c r="C60" s="183"/>
      <c r="D60" s="61"/>
      <c r="E60" s="61"/>
      <c r="F60" s="61"/>
      <c r="G60" s="61"/>
      <c r="H60" s="61"/>
      <c r="I60" s="61"/>
      <c r="J60" s="61"/>
      <c r="K60" s="43"/>
      <c r="L60" s="183"/>
      <c r="M60" s="61"/>
      <c r="N60" s="61"/>
      <c r="O60" s="61"/>
      <c r="P60" s="61"/>
      <c r="Q60" s="61"/>
      <c r="R60" s="61"/>
      <c r="S60" s="61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ht="15.75" customHeight="1">
      <c r="A61" s="53" t="s">
        <v>244</v>
      </c>
      <c r="B61" s="53"/>
      <c r="C61" s="183"/>
      <c r="D61" s="61"/>
      <c r="E61" s="61"/>
      <c r="F61" s="61"/>
      <c r="G61" s="61"/>
      <c r="H61" s="61"/>
      <c r="I61" s="61"/>
      <c r="J61" s="61"/>
      <c r="K61" s="43"/>
      <c r="L61" s="183"/>
      <c r="M61" s="61"/>
      <c r="N61" s="61"/>
      <c r="O61" s="61"/>
      <c r="P61" s="61"/>
      <c r="Q61" s="61"/>
      <c r="R61" s="61"/>
      <c r="S61" s="61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ht="15.75" customHeight="1">
      <c r="A62" s="155" t="s">
        <v>245</v>
      </c>
      <c r="B62" s="53"/>
      <c r="C62" s="183"/>
      <c r="D62" s="61"/>
      <c r="E62" s="61"/>
      <c r="F62" s="61"/>
      <c r="G62" s="61"/>
      <c r="H62" s="61"/>
      <c r="I62" s="61"/>
      <c r="J62" s="61"/>
      <c r="K62" s="43"/>
      <c r="L62" s="183"/>
      <c r="M62" s="61"/>
      <c r="N62" s="61"/>
      <c r="O62" s="61"/>
      <c r="P62" s="61"/>
      <c r="Q62" s="61"/>
      <c r="R62" s="61"/>
      <c r="S62" s="61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ht="15.75" customHeight="1">
      <c r="A63" s="224" t="s">
        <v>246</v>
      </c>
      <c r="B63" s="53"/>
      <c r="C63" s="183"/>
      <c r="D63" s="61"/>
      <c r="E63" s="61"/>
      <c r="F63" s="61"/>
      <c r="G63" s="61"/>
      <c r="H63" s="61"/>
      <c r="I63" s="61"/>
      <c r="J63" s="61"/>
      <c r="K63" s="43"/>
      <c r="L63" s="183"/>
      <c r="M63" s="61"/>
      <c r="N63" s="61"/>
      <c r="O63" s="61"/>
      <c r="P63" s="61"/>
      <c r="Q63" s="61"/>
      <c r="R63" s="61"/>
      <c r="S63" s="61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4" ht="15.75" customHeight="1">
      <c r="A64" s="53"/>
      <c r="B64" s="53"/>
      <c r="C64" s="183"/>
      <c r="D64" s="61"/>
      <c r="E64" s="61"/>
      <c r="F64" s="61"/>
      <c r="G64" s="61"/>
      <c r="H64" s="61"/>
      <c r="I64" s="61"/>
      <c r="J64" s="61"/>
      <c r="K64" s="43"/>
      <c r="L64" s="183"/>
      <c r="M64" s="61"/>
      <c r="N64" s="61"/>
      <c r="O64" s="61"/>
      <c r="P64" s="61"/>
      <c r="Q64" s="61"/>
      <c r="R64" s="61"/>
      <c r="S64" s="61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</row>
    <row r="65" ht="15.75" customHeight="1">
      <c r="A65" s="225" t="s">
        <v>247</v>
      </c>
      <c r="B65" s="53"/>
      <c r="C65" s="183"/>
      <c r="D65" s="61"/>
      <c r="E65" s="61"/>
      <c r="F65" s="61"/>
      <c r="G65" s="61"/>
      <c r="H65" s="61"/>
      <c r="I65" s="61"/>
      <c r="J65" s="61"/>
      <c r="K65" s="43"/>
      <c r="L65" s="183"/>
      <c r="M65" s="61"/>
      <c r="N65" s="61"/>
      <c r="O65" s="61"/>
      <c r="P65" s="61"/>
      <c r="Q65" s="61"/>
      <c r="R65" s="61"/>
      <c r="S65" s="61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  <row r="66" ht="15.75" customHeight="1">
      <c r="A66" s="53"/>
      <c r="B66" s="53"/>
      <c r="C66" s="183"/>
      <c r="D66" s="61"/>
      <c r="E66" s="61"/>
      <c r="F66" s="61"/>
      <c r="G66" s="61"/>
      <c r="H66" s="61"/>
      <c r="I66" s="61"/>
      <c r="J66" s="61"/>
      <c r="K66" s="43"/>
      <c r="L66" s="183"/>
      <c r="M66" s="61"/>
      <c r="N66" s="61"/>
      <c r="O66" s="61"/>
      <c r="P66" s="61"/>
      <c r="Q66" s="61"/>
      <c r="R66" s="61"/>
      <c r="S66" s="61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</row>
    <row r="67" ht="15.75" customHeight="1">
      <c r="A67" s="53"/>
      <c r="B67" s="53"/>
      <c r="C67" s="183"/>
      <c r="D67" s="61"/>
      <c r="E67" s="61"/>
      <c r="F67" s="61"/>
      <c r="G67" s="61"/>
      <c r="H67" s="61"/>
      <c r="I67" s="61"/>
      <c r="J67" s="61"/>
      <c r="K67" s="43"/>
      <c r="L67" s="183"/>
      <c r="M67" s="61"/>
      <c r="N67" s="61"/>
      <c r="O67" s="61"/>
      <c r="P67" s="61"/>
      <c r="Q67" s="61"/>
      <c r="R67" s="61"/>
      <c r="S67" s="61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</row>
    <row r="68" ht="15.75" customHeight="1">
      <c r="A68" s="53"/>
      <c r="B68" s="53"/>
      <c r="C68" s="183"/>
      <c r="D68" s="61"/>
      <c r="E68" s="61"/>
      <c r="F68" s="61"/>
      <c r="G68" s="61"/>
      <c r="H68" s="61"/>
      <c r="I68" s="61"/>
      <c r="J68" s="61"/>
      <c r="K68" s="43"/>
      <c r="L68" s="183"/>
      <c r="M68" s="61"/>
      <c r="N68" s="61"/>
      <c r="O68" s="61"/>
      <c r="P68" s="61"/>
      <c r="Q68" s="61"/>
      <c r="R68" s="61"/>
      <c r="S68" s="61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</row>
    <row r="69" ht="15.75" customHeight="1">
      <c r="A69" s="53"/>
      <c r="B69" s="53"/>
      <c r="C69" s="183"/>
      <c r="D69" s="61"/>
      <c r="E69" s="61"/>
      <c r="F69" s="61"/>
      <c r="G69" s="61"/>
      <c r="H69" s="61"/>
      <c r="I69" s="61"/>
      <c r="J69" s="61"/>
      <c r="K69" s="43"/>
      <c r="L69" s="183"/>
      <c r="M69" s="61"/>
      <c r="N69" s="61"/>
      <c r="O69" s="61"/>
      <c r="P69" s="61"/>
      <c r="Q69" s="61"/>
      <c r="R69" s="61"/>
      <c r="S69" s="61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</row>
    <row r="70" ht="15.75" customHeight="1">
      <c r="A70" s="53"/>
      <c r="B70" s="53"/>
      <c r="C70" s="183"/>
      <c r="D70" s="61"/>
      <c r="E70" s="61"/>
      <c r="F70" s="61"/>
      <c r="G70" s="61"/>
      <c r="H70" s="61"/>
      <c r="I70" s="61"/>
      <c r="J70" s="61"/>
      <c r="K70" s="43"/>
      <c r="L70" s="183"/>
      <c r="M70" s="61"/>
      <c r="N70" s="61"/>
      <c r="O70" s="61"/>
      <c r="P70" s="61"/>
      <c r="Q70" s="61"/>
      <c r="R70" s="61"/>
      <c r="S70" s="61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</row>
    <row r="71" ht="15.75" customHeight="1">
      <c r="A71" s="53"/>
      <c r="B71" s="53"/>
      <c r="C71" s="183"/>
      <c r="D71" s="61"/>
      <c r="E71" s="61"/>
      <c r="F71" s="61"/>
      <c r="G71" s="61"/>
      <c r="H71" s="61"/>
      <c r="I71" s="61"/>
      <c r="J71" s="61"/>
      <c r="K71" s="43"/>
      <c r="L71" s="183"/>
      <c r="M71" s="61"/>
      <c r="N71" s="61"/>
      <c r="O71" s="61"/>
      <c r="P71" s="61"/>
      <c r="Q71" s="61"/>
      <c r="R71" s="61"/>
      <c r="S71" s="61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</row>
    <row r="72" ht="15.75" customHeight="1">
      <c r="A72" s="53"/>
      <c r="B72" s="53"/>
      <c r="C72" s="144">
        <f t="shared" ref="C72:E72" si="133">SUM(C2:C56)</f>
        <v>247380</v>
      </c>
      <c r="D72" s="144">
        <f t="shared" si="133"/>
        <v>253127</v>
      </c>
      <c r="E72" s="144">
        <f t="shared" si="133"/>
        <v>256619</v>
      </c>
      <c r="F72" s="61"/>
      <c r="G72" s="61"/>
      <c r="H72" s="61"/>
      <c r="I72" s="61"/>
      <c r="J72" s="61"/>
      <c r="K72" s="43"/>
      <c r="L72" s="144">
        <f t="shared" ref="L72:N72" si="134">SUM(L2:L56)</f>
        <v>1306776</v>
      </c>
      <c r="M72" s="144">
        <f t="shared" si="134"/>
        <v>1273511</v>
      </c>
      <c r="N72" s="144">
        <f t="shared" si="134"/>
        <v>1269782</v>
      </c>
      <c r="O72" s="61"/>
      <c r="P72" s="61"/>
      <c r="Q72" s="61"/>
      <c r="R72" s="61"/>
      <c r="S72" s="61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</row>
    <row r="73" ht="15.75" customHeight="1">
      <c r="A73" s="53"/>
      <c r="B73" s="53"/>
      <c r="C73" s="53"/>
      <c r="D73" s="43"/>
      <c r="E73" s="43"/>
      <c r="F73" s="43"/>
      <c r="G73" s="43"/>
      <c r="H73" s="43"/>
      <c r="I73" s="43"/>
      <c r="J73" s="43"/>
      <c r="K73" s="43"/>
      <c r="L73" s="5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</row>
    <row r="74" ht="15.75" customHeight="1">
      <c r="A74" s="53"/>
      <c r="B74" s="53"/>
      <c r="C74" s="53"/>
      <c r="D74" s="43"/>
      <c r="E74" s="43"/>
      <c r="F74" s="43"/>
      <c r="G74" s="43"/>
      <c r="H74" s="43"/>
      <c r="I74" s="43"/>
      <c r="J74" s="43"/>
      <c r="K74" s="43"/>
      <c r="L74" s="5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</row>
    <row r="75" ht="15.75" customHeight="1">
      <c r="A75" s="53"/>
      <c r="B75" s="53"/>
      <c r="C75" s="53"/>
      <c r="D75" s="43"/>
      <c r="E75" s="43"/>
      <c r="F75" s="43"/>
      <c r="G75" s="43"/>
      <c r="H75" s="43"/>
      <c r="I75" s="43"/>
      <c r="J75" s="43"/>
      <c r="K75" s="43"/>
      <c r="L75" s="5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</row>
    <row r="76" ht="15.75" customHeight="1">
      <c r="A76" s="53"/>
      <c r="B76" s="53"/>
      <c r="C76" s="53"/>
      <c r="D76" s="43"/>
      <c r="E76" s="43"/>
      <c r="F76" s="43"/>
      <c r="G76" s="43"/>
      <c r="H76" s="43"/>
      <c r="I76" s="43"/>
      <c r="J76" s="43"/>
      <c r="K76" s="43"/>
      <c r="L76" s="5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</row>
    <row r="77" ht="15.75" customHeight="1">
      <c r="A77" s="53"/>
      <c r="B77" s="53"/>
      <c r="C77" s="53"/>
      <c r="D77" s="43"/>
      <c r="E77" s="43"/>
      <c r="F77" s="43"/>
      <c r="G77" s="43"/>
      <c r="H77" s="43"/>
      <c r="I77" s="43"/>
      <c r="J77" s="43"/>
      <c r="K77" s="43"/>
      <c r="L77" s="5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</row>
    <row r="78" ht="15.75" customHeight="1">
      <c r="A78" s="53"/>
      <c r="B78" s="53"/>
      <c r="C78" s="53"/>
      <c r="D78" s="43"/>
      <c r="E78" s="43"/>
      <c r="F78" s="43"/>
      <c r="G78" s="43"/>
      <c r="H78" s="43"/>
      <c r="I78" s="43"/>
      <c r="J78" s="43"/>
      <c r="K78" s="43"/>
      <c r="L78" s="5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</row>
    <row r="79" ht="15.75" customHeight="1">
      <c r="A79" s="53"/>
      <c r="B79" s="53"/>
      <c r="C79" s="53"/>
      <c r="D79" s="43"/>
      <c r="E79" s="43"/>
      <c r="F79" s="43"/>
      <c r="G79" s="43"/>
      <c r="H79" s="43"/>
      <c r="I79" s="43"/>
      <c r="J79" s="43"/>
      <c r="K79" s="43"/>
      <c r="L79" s="5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</row>
    <row r="80" ht="15.75" customHeight="1">
      <c r="A80" s="53"/>
      <c r="B80" s="53"/>
      <c r="C80" s="53"/>
      <c r="D80" s="43"/>
      <c r="E80" s="43"/>
      <c r="F80" s="43"/>
      <c r="G80" s="43"/>
      <c r="H80" s="43"/>
      <c r="I80" s="43"/>
      <c r="J80" s="43"/>
      <c r="K80" s="43"/>
      <c r="L80" s="5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</row>
    <row r="81" ht="15.75" customHeight="1">
      <c r="A81" s="53"/>
      <c r="B81" s="53"/>
      <c r="C81" s="53"/>
      <c r="D81" s="43"/>
      <c r="E81" s="43"/>
      <c r="F81" s="43"/>
      <c r="G81" s="43"/>
      <c r="H81" s="43"/>
      <c r="I81" s="43"/>
      <c r="J81" s="43"/>
      <c r="K81" s="43"/>
      <c r="L81" s="5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</row>
    <row r="82" ht="15.75" customHeight="1">
      <c r="A82" s="53"/>
      <c r="B82" s="53"/>
      <c r="C82" s="53"/>
      <c r="D82" s="43"/>
      <c r="E82" s="43"/>
      <c r="F82" s="43"/>
      <c r="G82" s="43"/>
      <c r="H82" s="43"/>
      <c r="I82" s="43"/>
      <c r="J82" s="43"/>
      <c r="K82" s="43"/>
      <c r="L82" s="5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</row>
    <row r="83" ht="15.75" customHeight="1">
      <c r="A83" s="53"/>
      <c r="B83" s="53"/>
      <c r="C83" s="53"/>
      <c r="D83" s="43"/>
      <c r="E83" s="43"/>
      <c r="F83" s="43"/>
      <c r="G83" s="43"/>
      <c r="H83" s="43"/>
      <c r="I83" s="43"/>
      <c r="J83" s="43"/>
      <c r="K83" s="43"/>
      <c r="L83" s="5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</row>
    <row r="84" ht="15.75" customHeight="1">
      <c r="A84" s="53"/>
      <c r="B84" s="53"/>
      <c r="C84" s="53"/>
      <c r="D84" s="43"/>
      <c r="E84" s="43"/>
      <c r="F84" s="43"/>
      <c r="G84" s="43"/>
      <c r="H84" s="43"/>
      <c r="I84" s="43"/>
      <c r="J84" s="43"/>
      <c r="K84" s="43"/>
      <c r="L84" s="5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</row>
    <row r="85" ht="15.75" customHeight="1">
      <c r="A85" s="53"/>
      <c r="B85" s="53"/>
      <c r="C85" s="53"/>
      <c r="D85" s="43"/>
      <c r="E85" s="43"/>
      <c r="F85" s="43"/>
      <c r="G85" s="43"/>
      <c r="H85" s="43"/>
      <c r="I85" s="43"/>
      <c r="J85" s="43"/>
      <c r="K85" s="43"/>
      <c r="L85" s="5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</row>
    <row r="86" ht="15.75" customHeight="1">
      <c r="A86" s="53"/>
      <c r="B86" s="53"/>
      <c r="C86" s="53"/>
      <c r="D86" s="43"/>
      <c r="E86" s="43"/>
      <c r="F86" s="43"/>
      <c r="G86" s="43"/>
      <c r="H86" s="43"/>
      <c r="I86" s="43"/>
      <c r="J86" s="43"/>
      <c r="K86" s="43"/>
      <c r="L86" s="5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</row>
    <row r="87" ht="15.75" customHeight="1">
      <c r="A87" s="53"/>
      <c r="B87" s="53"/>
      <c r="C87" s="53"/>
      <c r="D87" s="43"/>
      <c r="E87" s="43"/>
      <c r="F87" s="43"/>
      <c r="G87" s="43"/>
      <c r="H87" s="43"/>
      <c r="I87" s="43"/>
      <c r="J87" s="43"/>
      <c r="K87" s="43"/>
      <c r="L87" s="5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</row>
    <row r="88" ht="15.75" customHeight="1">
      <c r="A88" s="53"/>
      <c r="B88" s="53"/>
      <c r="C88" s="53"/>
      <c r="D88" s="43"/>
      <c r="E88" s="43"/>
      <c r="F88" s="43"/>
      <c r="G88" s="43"/>
      <c r="H88" s="43"/>
      <c r="I88" s="43"/>
      <c r="J88" s="43"/>
      <c r="K88" s="43"/>
      <c r="L88" s="5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</row>
    <row r="89" ht="15.75" customHeight="1">
      <c r="A89" s="53"/>
      <c r="B89" s="53"/>
      <c r="C89" s="53"/>
      <c r="D89" s="43"/>
      <c r="E89" s="43"/>
      <c r="F89" s="43"/>
      <c r="G89" s="43"/>
      <c r="H89" s="43"/>
      <c r="I89" s="43"/>
      <c r="J89" s="43"/>
      <c r="K89" s="43"/>
      <c r="L89" s="5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ht="15.75" customHeight="1">
      <c r="A90" s="53"/>
      <c r="B90" s="53"/>
      <c r="C90" s="53"/>
      <c r="D90" s="43"/>
      <c r="E90" s="43"/>
      <c r="F90" s="43"/>
      <c r="G90" s="43"/>
      <c r="H90" s="43"/>
      <c r="I90" s="43"/>
      <c r="J90" s="43"/>
      <c r="K90" s="43"/>
      <c r="L90" s="5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</row>
    <row r="91" ht="15.75" customHeight="1">
      <c r="A91" s="53"/>
      <c r="B91" s="53"/>
      <c r="C91" s="53"/>
      <c r="D91" s="43"/>
      <c r="E91" s="43"/>
      <c r="F91" s="43"/>
      <c r="G91" s="43"/>
      <c r="H91" s="43"/>
      <c r="I91" s="43"/>
      <c r="J91" s="43"/>
      <c r="K91" s="43"/>
      <c r="L91" s="5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</row>
    <row r="92" ht="15.75" customHeight="1">
      <c r="A92" s="53"/>
      <c r="B92" s="53"/>
      <c r="C92" s="53"/>
      <c r="D92" s="43"/>
      <c r="E92" s="43"/>
      <c r="F92" s="43"/>
      <c r="G92" s="43"/>
      <c r="H92" s="43"/>
      <c r="I92" s="43"/>
      <c r="J92" s="43"/>
      <c r="K92" s="43"/>
      <c r="L92" s="5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</row>
    <row r="93" ht="15.75" customHeight="1">
      <c r="A93" s="53"/>
      <c r="B93" s="53"/>
      <c r="C93" s="53"/>
      <c r="D93" s="43"/>
      <c r="E93" s="43"/>
      <c r="F93" s="43"/>
      <c r="G93" s="43"/>
      <c r="H93" s="43"/>
      <c r="I93" s="43"/>
      <c r="J93" s="43"/>
      <c r="K93" s="43"/>
      <c r="L93" s="5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</row>
    <row r="94" ht="15.75" customHeight="1">
      <c r="A94" s="53"/>
      <c r="B94" s="53"/>
      <c r="C94" s="53"/>
      <c r="D94" s="43"/>
      <c r="E94" s="43"/>
      <c r="F94" s="43"/>
      <c r="G94" s="43"/>
      <c r="H94" s="43"/>
      <c r="I94" s="43"/>
      <c r="J94" s="43"/>
      <c r="K94" s="43"/>
      <c r="L94" s="5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5" ht="15.75" customHeight="1">
      <c r="A95" s="53"/>
      <c r="B95" s="53"/>
      <c r="C95" s="53"/>
      <c r="D95" s="43"/>
      <c r="E95" s="43"/>
      <c r="F95" s="43"/>
      <c r="G95" s="43"/>
      <c r="H95" s="43"/>
      <c r="I95" s="43"/>
      <c r="J95" s="43"/>
      <c r="K95" s="43"/>
      <c r="L95" s="5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</row>
    <row r="96" ht="15.75" customHeight="1">
      <c r="A96" s="53"/>
      <c r="B96" s="53"/>
      <c r="C96" s="53"/>
      <c r="D96" s="43"/>
      <c r="E96" s="43"/>
      <c r="F96" s="43"/>
      <c r="G96" s="43"/>
      <c r="H96" s="43"/>
      <c r="I96" s="43"/>
      <c r="J96" s="43"/>
      <c r="K96" s="43"/>
      <c r="L96" s="5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</row>
    <row r="97" ht="15.75" customHeight="1">
      <c r="A97" s="53"/>
      <c r="B97" s="53"/>
      <c r="C97" s="53"/>
      <c r="D97" s="43"/>
      <c r="E97" s="43"/>
      <c r="F97" s="43"/>
      <c r="G97" s="43"/>
      <c r="H97" s="43"/>
      <c r="I97" s="43"/>
      <c r="J97" s="43"/>
      <c r="K97" s="43"/>
      <c r="L97" s="5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</row>
    <row r="98" ht="15.75" customHeight="1">
      <c r="A98" s="53"/>
      <c r="B98" s="53"/>
      <c r="C98" s="53"/>
      <c r="D98" s="43"/>
      <c r="E98" s="43"/>
      <c r="F98" s="43"/>
      <c r="G98" s="43"/>
      <c r="H98" s="43"/>
      <c r="I98" s="43"/>
      <c r="J98" s="43"/>
      <c r="K98" s="43"/>
      <c r="L98" s="5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</row>
    <row r="99" ht="15.75" customHeight="1">
      <c r="A99" s="53"/>
      <c r="B99" s="53"/>
      <c r="C99" s="53"/>
      <c r="D99" s="43"/>
      <c r="E99" s="43"/>
      <c r="F99" s="43"/>
      <c r="G99" s="43"/>
      <c r="H99" s="43"/>
      <c r="I99" s="43"/>
      <c r="J99" s="43"/>
      <c r="K99" s="43"/>
      <c r="L99" s="5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</row>
    <row r="100" ht="15.75" customHeight="1">
      <c r="A100" s="53"/>
      <c r="B100" s="53"/>
      <c r="C100" s="53"/>
      <c r="D100" s="43"/>
      <c r="E100" s="43"/>
      <c r="F100" s="43"/>
      <c r="G100" s="43"/>
      <c r="H100" s="43"/>
      <c r="I100" s="43"/>
      <c r="J100" s="43"/>
      <c r="K100" s="43"/>
      <c r="L100" s="5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</row>
    <row r="101" ht="15.75" customHeight="1">
      <c r="A101" s="53"/>
      <c r="B101" s="53"/>
      <c r="C101" s="53"/>
      <c r="D101" s="43"/>
      <c r="E101" s="43"/>
      <c r="F101" s="43"/>
      <c r="G101" s="43"/>
      <c r="H101" s="43"/>
      <c r="I101" s="43"/>
      <c r="J101" s="43"/>
      <c r="K101" s="43"/>
      <c r="L101" s="5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</row>
    <row r="102" ht="15.75" customHeight="1">
      <c r="A102" s="53"/>
      <c r="B102" s="53"/>
      <c r="C102" s="53"/>
      <c r="D102" s="43"/>
      <c r="E102" s="43"/>
      <c r="F102" s="43"/>
      <c r="G102" s="43"/>
      <c r="H102" s="43"/>
      <c r="I102" s="43"/>
      <c r="J102" s="43"/>
      <c r="K102" s="43"/>
      <c r="L102" s="5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</row>
    <row r="103" ht="15.75" customHeight="1">
      <c r="A103" s="53"/>
      <c r="B103" s="53"/>
      <c r="C103" s="53"/>
      <c r="D103" s="43"/>
      <c r="E103" s="43"/>
      <c r="F103" s="43"/>
      <c r="G103" s="43"/>
      <c r="H103" s="43"/>
      <c r="I103" s="43"/>
      <c r="J103" s="43"/>
      <c r="K103" s="43"/>
      <c r="L103" s="5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</row>
    <row r="104" ht="15.75" customHeight="1">
      <c r="A104" s="53"/>
      <c r="B104" s="53"/>
      <c r="C104" s="53"/>
      <c r="D104" s="43"/>
      <c r="E104" s="43"/>
      <c r="F104" s="43"/>
      <c r="G104" s="43"/>
      <c r="H104" s="43"/>
      <c r="I104" s="43"/>
      <c r="J104" s="43"/>
      <c r="K104" s="43"/>
      <c r="L104" s="5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</row>
    <row r="105" ht="15.75" customHeight="1">
      <c r="A105" s="53"/>
      <c r="B105" s="53"/>
      <c r="C105" s="53"/>
      <c r="D105" s="43"/>
      <c r="E105" s="43"/>
      <c r="F105" s="43"/>
      <c r="G105" s="43"/>
      <c r="H105" s="43"/>
      <c r="I105" s="43"/>
      <c r="J105" s="43"/>
      <c r="K105" s="43"/>
      <c r="L105" s="5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ht="15.75" customHeight="1">
      <c r="A106" s="53"/>
      <c r="B106" s="53"/>
      <c r="C106" s="53"/>
      <c r="D106" s="43"/>
      <c r="E106" s="43"/>
      <c r="F106" s="43"/>
      <c r="G106" s="43"/>
      <c r="H106" s="43"/>
      <c r="I106" s="43"/>
      <c r="J106" s="43"/>
      <c r="K106" s="43"/>
      <c r="L106" s="5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</row>
    <row r="107" ht="15.75" customHeight="1">
      <c r="A107" s="53"/>
      <c r="B107" s="53"/>
      <c r="C107" s="53"/>
      <c r="D107" s="43"/>
      <c r="E107" s="43"/>
      <c r="F107" s="43"/>
      <c r="G107" s="43"/>
      <c r="H107" s="43"/>
      <c r="I107" s="43"/>
      <c r="J107" s="43"/>
      <c r="K107" s="43"/>
      <c r="L107" s="5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</row>
    <row r="108" ht="15.75" customHeight="1">
      <c r="A108" s="53"/>
      <c r="B108" s="53"/>
      <c r="C108" s="53"/>
      <c r="D108" s="43"/>
      <c r="E108" s="43"/>
      <c r="F108" s="43"/>
      <c r="G108" s="43"/>
      <c r="H108" s="43"/>
      <c r="I108" s="43"/>
      <c r="J108" s="43"/>
      <c r="K108" s="43"/>
      <c r="L108" s="5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</row>
    <row r="109" ht="15.75" customHeight="1">
      <c r="A109" s="53"/>
      <c r="B109" s="53"/>
      <c r="C109" s="53"/>
      <c r="D109" s="43"/>
      <c r="E109" s="43"/>
      <c r="F109" s="43"/>
      <c r="G109" s="43"/>
      <c r="H109" s="43"/>
      <c r="I109" s="43"/>
      <c r="J109" s="43"/>
      <c r="K109" s="43"/>
      <c r="L109" s="5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</row>
    <row r="110" ht="15.75" customHeight="1">
      <c r="A110" s="53"/>
      <c r="B110" s="53"/>
      <c r="C110" s="53"/>
      <c r="D110" s="43"/>
      <c r="E110" s="43"/>
      <c r="F110" s="43"/>
      <c r="G110" s="43"/>
      <c r="H110" s="43"/>
      <c r="I110" s="43"/>
      <c r="J110" s="43"/>
      <c r="K110" s="43"/>
      <c r="L110" s="5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</row>
    <row r="111" ht="15.75" customHeight="1">
      <c r="A111" s="53"/>
      <c r="B111" s="53"/>
      <c r="C111" s="53"/>
      <c r="D111" s="43"/>
      <c r="E111" s="43"/>
      <c r="F111" s="43"/>
      <c r="G111" s="43"/>
      <c r="H111" s="43"/>
      <c r="I111" s="43"/>
      <c r="J111" s="43"/>
      <c r="K111" s="43"/>
      <c r="L111" s="5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</row>
    <row r="112" ht="15.75" customHeight="1">
      <c r="A112" s="53"/>
      <c r="B112" s="53"/>
      <c r="C112" s="53"/>
      <c r="D112" s="43"/>
      <c r="E112" s="43"/>
      <c r="F112" s="43"/>
      <c r="G112" s="43"/>
      <c r="H112" s="43"/>
      <c r="I112" s="43"/>
      <c r="J112" s="43"/>
      <c r="K112" s="43"/>
      <c r="L112" s="5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ht="15.75" customHeight="1">
      <c r="A113" s="53"/>
      <c r="B113" s="53"/>
      <c r="C113" s="53"/>
      <c r="D113" s="43"/>
      <c r="E113" s="43"/>
      <c r="F113" s="43"/>
      <c r="G113" s="43"/>
      <c r="H113" s="43"/>
      <c r="I113" s="43"/>
      <c r="J113" s="43"/>
      <c r="K113" s="43"/>
      <c r="L113" s="5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</row>
    <row r="114" ht="15.75" customHeight="1">
      <c r="A114" s="53"/>
      <c r="B114" s="53"/>
      <c r="C114" s="53"/>
      <c r="D114" s="43"/>
      <c r="E114" s="43"/>
      <c r="F114" s="43"/>
      <c r="G114" s="43"/>
      <c r="H114" s="43"/>
      <c r="I114" s="43"/>
      <c r="J114" s="43"/>
      <c r="K114" s="43"/>
      <c r="L114" s="5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</row>
    <row r="115" ht="15.75" customHeight="1">
      <c r="A115" s="53"/>
      <c r="B115" s="53"/>
      <c r="C115" s="53"/>
      <c r="D115" s="43"/>
      <c r="E115" s="43"/>
      <c r="F115" s="43"/>
      <c r="G115" s="43"/>
      <c r="H115" s="43"/>
      <c r="I115" s="43"/>
      <c r="J115" s="43"/>
      <c r="K115" s="43"/>
      <c r="L115" s="5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</row>
    <row r="116" ht="15.75" customHeight="1">
      <c r="A116" s="53"/>
      <c r="B116" s="53"/>
      <c r="C116" s="53"/>
      <c r="D116" s="43"/>
      <c r="E116" s="43"/>
      <c r="F116" s="43"/>
      <c r="G116" s="43"/>
      <c r="H116" s="43"/>
      <c r="I116" s="43"/>
      <c r="J116" s="43"/>
      <c r="K116" s="43"/>
      <c r="L116" s="5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</row>
    <row r="117" ht="15.75" customHeight="1">
      <c r="A117" s="53"/>
      <c r="B117" s="53"/>
      <c r="C117" s="53"/>
      <c r="D117" s="43"/>
      <c r="E117" s="43"/>
      <c r="F117" s="43"/>
      <c r="G117" s="43"/>
      <c r="H117" s="43"/>
      <c r="I117" s="43"/>
      <c r="J117" s="43"/>
      <c r="K117" s="43"/>
      <c r="L117" s="5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</row>
    <row r="118" ht="15.75" customHeight="1">
      <c r="A118" s="53"/>
      <c r="B118" s="53"/>
      <c r="C118" s="53"/>
      <c r="D118" s="43"/>
      <c r="E118" s="43"/>
      <c r="F118" s="43"/>
      <c r="G118" s="43"/>
      <c r="H118" s="43"/>
      <c r="I118" s="43"/>
      <c r="J118" s="43"/>
      <c r="K118" s="43"/>
      <c r="L118" s="5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</row>
    <row r="119" ht="15.75" customHeight="1">
      <c r="A119" s="53"/>
      <c r="B119" s="53"/>
      <c r="C119" s="53"/>
      <c r="D119" s="43"/>
      <c r="E119" s="43"/>
      <c r="F119" s="43"/>
      <c r="G119" s="43"/>
      <c r="H119" s="43"/>
      <c r="I119" s="43"/>
      <c r="J119" s="43"/>
      <c r="K119" s="43"/>
      <c r="L119" s="5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</row>
    <row r="120" ht="15.75" customHeight="1">
      <c r="A120" s="53"/>
      <c r="B120" s="53"/>
      <c r="C120" s="53"/>
      <c r="D120" s="43"/>
      <c r="E120" s="43"/>
      <c r="F120" s="43"/>
      <c r="G120" s="43"/>
      <c r="H120" s="43"/>
      <c r="I120" s="43"/>
      <c r="J120" s="43"/>
      <c r="K120" s="43"/>
      <c r="L120" s="5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</row>
    <row r="121" ht="15.75" customHeight="1">
      <c r="A121" s="53"/>
      <c r="B121" s="53"/>
      <c r="C121" s="53"/>
      <c r="D121" s="43"/>
      <c r="E121" s="43"/>
      <c r="F121" s="43"/>
      <c r="G121" s="43"/>
      <c r="H121" s="43"/>
      <c r="I121" s="43"/>
      <c r="J121" s="43"/>
      <c r="K121" s="43"/>
      <c r="L121" s="5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</row>
    <row r="122" ht="15.75" customHeight="1">
      <c r="A122" s="53"/>
      <c r="B122" s="53"/>
      <c r="C122" s="53"/>
      <c r="D122" s="43"/>
      <c r="E122" s="43"/>
      <c r="F122" s="43"/>
      <c r="G122" s="43"/>
      <c r="H122" s="43"/>
      <c r="I122" s="43"/>
      <c r="J122" s="43"/>
      <c r="K122" s="43"/>
      <c r="L122" s="5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</row>
    <row r="123" ht="15.75" customHeight="1">
      <c r="A123" s="53"/>
      <c r="B123" s="53"/>
      <c r="C123" s="53"/>
      <c r="D123" s="43"/>
      <c r="E123" s="43"/>
      <c r="F123" s="43"/>
      <c r="G123" s="43"/>
      <c r="H123" s="43"/>
      <c r="I123" s="43"/>
      <c r="J123" s="43"/>
      <c r="K123" s="43"/>
      <c r="L123" s="5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</row>
    <row r="124" ht="15.75" customHeight="1">
      <c r="A124" s="53"/>
      <c r="B124" s="53"/>
      <c r="C124" s="53"/>
      <c r="D124" s="43"/>
      <c r="E124" s="43"/>
      <c r="F124" s="43"/>
      <c r="G124" s="43"/>
      <c r="H124" s="43"/>
      <c r="I124" s="43"/>
      <c r="J124" s="43"/>
      <c r="K124" s="43"/>
      <c r="L124" s="5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</row>
    <row r="125" ht="15.75" customHeight="1">
      <c r="A125" s="53"/>
      <c r="B125" s="53"/>
      <c r="C125" s="53"/>
      <c r="D125" s="43"/>
      <c r="E125" s="43"/>
      <c r="F125" s="43"/>
      <c r="G125" s="43"/>
      <c r="H125" s="43"/>
      <c r="I125" s="43"/>
      <c r="J125" s="43"/>
      <c r="K125" s="43"/>
      <c r="L125" s="5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</row>
    <row r="126" ht="15.75" customHeight="1">
      <c r="A126" s="53"/>
      <c r="B126" s="53"/>
      <c r="C126" s="53"/>
      <c r="D126" s="43"/>
      <c r="E126" s="43"/>
      <c r="F126" s="43"/>
      <c r="G126" s="43"/>
      <c r="H126" s="43"/>
      <c r="I126" s="43"/>
      <c r="J126" s="43"/>
      <c r="K126" s="43"/>
      <c r="L126" s="5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</row>
    <row r="127" ht="15.75" customHeight="1">
      <c r="A127" s="53"/>
      <c r="B127" s="53"/>
      <c r="C127" s="53"/>
      <c r="D127" s="43"/>
      <c r="E127" s="43"/>
      <c r="F127" s="43"/>
      <c r="G127" s="43"/>
      <c r="H127" s="43"/>
      <c r="I127" s="43"/>
      <c r="J127" s="43"/>
      <c r="K127" s="43"/>
      <c r="L127" s="5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</row>
    <row r="128" ht="15.75" customHeight="1">
      <c r="A128" s="53"/>
      <c r="B128" s="53"/>
      <c r="C128" s="53"/>
      <c r="D128" s="43"/>
      <c r="E128" s="43"/>
      <c r="F128" s="43"/>
      <c r="G128" s="43"/>
      <c r="H128" s="43"/>
      <c r="I128" s="43"/>
      <c r="J128" s="43"/>
      <c r="K128" s="43"/>
      <c r="L128" s="5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</row>
    <row r="129" ht="15.75" customHeight="1">
      <c r="A129" s="53"/>
      <c r="B129" s="53"/>
      <c r="C129" s="53"/>
      <c r="D129" s="43"/>
      <c r="E129" s="43"/>
      <c r="F129" s="43"/>
      <c r="G129" s="43"/>
      <c r="H129" s="43"/>
      <c r="I129" s="43"/>
      <c r="J129" s="43"/>
      <c r="K129" s="43"/>
      <c r="L129" s="5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</row>
    <row r="130" ht="15.75" customHeight="1">
      <c r="A130" s="53"/>
      <c r="B130" s="53"/>
      <c r="C130" s="53"/>
      <c r="D130" s="43"/>
      <c r="E130" s="43"/>
      <c r="F130" s="43"/>
      <c r="G130" s="43"/>
      <c r="H130" s="43"/>
      <c r="I130" s="43"/>
      <c r="J130" s="43"/>
      <c r="K130" s="43"/>
      <c r="L130" s="5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</row>
    <row r="131" ht="15.75" customHeight="1">
      <c r="A131" s="53"/>
      <c r="B131" s="53"/>
      <c r="C131" s="53"/>
      <c r="D131" s="43"/>
      <c r="E131" s="43"/>
      <c r="F131" s="43"/>
      <c r="G131" s="43"/>
      <c r="H131" s="43"/>
      <c r="I131" s="43"/>
      <c r="J131" s="43"/>
      <c r="K131" s="43"/>
      <c r="L131" s="5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</row>
    <row r="132" ht="15.75" customHeight="1">
      <c r="A132" s="53"/>
      <c r="B132" s="53"/>
      <c r="C132" s="53"/>
      <c r="D132" s="43"/>
      <c r="E132" s="43"/>
      <c r="F132" s="43"/>
      <c r="G132" s="43"/>
      <c r="H132" s="43"/>
      <c r="I132" s="43"/>
      <c r="J132" s="43"/>
      <c r="K132" s="43"/>
      <c r="L132" s="5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</row>
    <row r="133" ht="15.75" customHeight="1">
      <c r="A133" s="53"/>
      <c r="B133" s="53"/>
      <c r="C133" s="53"/>
      <c r="D133" s="43"/>
      <c r="E133" s="43"/>
      <c r="F133" s="43"/>
      <c r="G133" s="43"/>
      <c r="H133" s="43"/>
      <c r="I133" s="43"/>
      <c r="J133" s="43"/>
      <c r="K133" s="43"/>
      <c r="L133" s="5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</row>
    <row r="134" ht="15.75" customHeight="1">
      <c r="A134" s="53"/>
      <c r="B134" s="53"/>
      <c r="C134" s="53"/>
      <c r="D134" s="43"/>
      <c r="E134" s="43"/>
      <c r="F134" s="43"/>
      <c r="G134" s="43"/>
      <c r="H134" s="43"/>
      <c r="I134" s="43"/>
      <c r="J134" s="43"/>
      <c r="K134" s="43"/>
      <c r="L134" s="5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</row>
    <row r="135" ht="15.75" customHeight="1">
      <c r="A135" s="53"/>
      <c r="B135" s="53"/>
      <c r="C135" s="53"/>
      <c r="D135" s="43"/>
      <c r="E135" s="43"/>
      <c r="F135" s="43"/>
      <c r="G135" s="43"/>
      <c r="H135" s="43"/>
      <c r="I135" s="43"/>
      <c r="J135" s="43"/>
      <c r="K135" s="43"/>
      <c r="L135" s="5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</row>
    <row r="136" ht="15.75" customHeight="1">
      <c r="A136" s="53"/>
      <c r="B136" s="53"/>
      <c r="C136" s="53"/>
      <c r="D136" s="43"/>
      <c r="E136" s="43"/>
      <c r="F136" s="43"/>
      <c r="G136" s="43"/>
      <c r="H136" s="43"/>
      <c r="I136" s="43"/>
      <c r="J136" s="43"/>
      <c r="K136" s="43"/>
      <c r="L136" s="5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</row>
    <row r="137" ht="15.75" customHeight="1">
      <c r="A137" s="53"/>
      <c r="B137" s="53"/>
      <c r="C137" s="53"/>
      <c r="D137" s="43"/>
      <c r="E137" s="43"/>
      <c r="F137" s="43"/>
      <c r="G137" s="43"/>
      <c r="H137" s="43"/>
      <c r="I137" s="43"/>
      <c r="J137" s="43"/>
      <c r="K137" s="43"/>
      <c r="L137" s="5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</row>
    <row r="138" ht="15.75" customHeight="1">
      <c r="A138" s="53"/>
      <c r="B138" s="53"/>
      <c r="C138" s="53"/>
      <c r="D138" s="43"/>
      <c r="E138" s="43"/>
      <c r="F138" s="43"/>
      <c r="G138" s="43"/>
      <c r="H138" s="43"/>
      <c r="I138" s="43"/>
      <c r="J138" s="43"/>
      <c r="K138" s="43"/>
      <c r="L138" s="5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</row>
    <row r="139" ht="15.75" customHeight="1">
      <c r="A139" s="53"/>
      <c r="B139" s="53"/>
      <c r="C139" s="53"/>
      <c r="D139" s="43"/>
      <c r="E139" s="43"/>
      <c r="F139" s="43"/>
      <c r="G139" s="43"/>
      <c r="H139" s="43"/>
      <c r="I139" s="43"/>
      <c r="J139" s="43"/>
      <c r="K139" s="43"/>
      <c r="L139" s="5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</row>
    <row r="140" ht="15.75" customHeight="1">
      <c r="A140" s="53"/>
      <c r="B140" s="53"/>
      <c r="C140" s="53"/>
      <c r="D140" s="43"/>
      <c r="E140" s="43"/>
      <c r="F140" s="43"/>
      <c r="G140" s="43"/>
      <c r="H140" s="43"/>
      <c r="I140" s="43"/>
      <c r="J140" s="43"/>
      <c r="K140" s="43"/>
      <c r="L140" s="5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</row>
    <row r="141" ht="15.75" customHeight="1">
      <c r="A141" s="53"/>
      <c r="B141" s="53"/>
      <c r="C141" s="53"/>
      <c r="D141" s="43"/>
      <c r="E141" s="43"/>
      <c r="F141" s="43"/>
      <c r="G141" s="43"/>
      <c r="H141" s="43"/>
      <c r="I141" s="43"/>
      <c r="J141" s="43"/>
      <c r="K141" s="43"/>
      <c r="L141" s="5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</row>
    <row r="142" ht="15.75" customHeight="1">
      <c r="A142" s="53"/>
      <c r="B142" s="53"/>
      <c r="C142" s="53"/>
      <c r="D142" s="43"/>
      <c r="E142" s="43"/>
      <c r="F142" s="43"/>
      <c r="G142" s="43"/>
      <c r="H142" s="43"/>
      <c r="I142" s="43"/>
      <c r="J142" s="43"/>
      <c r="K142" s="43"/>
      <c r="L142" s="5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</row>
    <row r="143" ht="15.75" customHeight="1">
      <c r="A143" s="53"/>
      <c r="B143" s="53"/>
      <c r="C143" s="53"/>
      <c r="D143" s="43"/>
      <c r="E143" s="43"/>
      <c r="F143" s="43"/>
      <c r="G143" s="43"/>
      <c r="H143" s="43"/>
      <c r="I143" s="43"/>
      <c r="J143" s="43"/>
      <c r="K143" s="43"/>
      <c r="L143" s="5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</row>
    <row r="144" ht="15.75" customHeight="1">
      <c r="A144" s="53"/>
      <c r="B144" s="53"/>
      <c r="C144" s="53"/>
      <c r="D144" s="43"/>
      <c r="E144" s="43"/>
      <c r="F144" s="43"/>
      <c r="G144" s="43"/>
      <c r="H144" s="43"/>
      <c r="I144" s="43"/>
      <c r="J144" s="43"/>
      <c r="K144" s="43"/>
      <c r="L144" s="5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</row>
    <row r="145" ht="15.75" customHeight="1">
      <c r="A145" s="53"/>
      <c r="B145" s="53"/>
      <c r="C145" s="53"/>
      <c r="D145" s="43"/>
      <c r="E145" s="43"/>
      <c r="F145" s="43"/>
      <c r="G145" s="43"/>
      <c r="H145" s="43"/>
      <c r="I145" s="43"/>
      <c r="J145" s="43"/>
      <c r="K145" s="43"/>
      <c r="L145" s="5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</row>
    <row r="146" ht="15.75" customHeight="1">
      <c r="A146" s="53"/>
      <c r="B146" s="53"/>
      <c r="C146" s="53"/>
      <c r="D146" s="43"/>
      <c r="E146" s="43"/>
      <c r="F146" s="43"/>
      <c r="G146" s="43"/>
      <c r="H146" s="43"/>
      <c r="I146" s="43"/>
      <c r="J146" s="43"/>
      <c r="K146" s="43"/>
      <c r="L146" s="5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</row>
    <row r="147" ht="15.75" customHeight="1">
      <c r="A147" s="53"/>
      <c r="B147" s="53"/>
      <c r="C147" s="53"/>
      <c r="D147" s="43"/>
      <c r="E147" s="43"/>
      <c r="F147" s="43"/>
      <c r="G147" s="43"/>
      <c r="H147" s="43"/>
      <c r="I147" s="43"/>
      <c r="J147" s="43"/>
      <c r="K147" s="43"/>
      <c r="L147" s="5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</row>
    <row r="148" ht="15.75" customHeight="1">
      <c r="A148" s="53"/>
      <c r="B148" s="53"/>
      <c r="C148" s="53"/>
      <c r="D148" s="43"/>
      <c r="E148" s="43"/>
      <c r="F148" s="43"/>
      <c r="G148" s="43"/>
      <c r="H148" s="43"/>
      <c r="I148" s="43"/>
      <c r="J148" s="43"/>
      <c r="K148" s="43"/>
      <c r="L148" s="5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</row>
    <row r="149" ht="15.75" customHeight="1">
      <c r="A149" s="53"/>
      <c r="B149" s="53"/>
      <c r="C149" s="53"/>
      <c r="D149" s="43"/>
      <c r="E149" s="43"/>
      <c r="F149" s="43"/>
      <c r="G149" s="43"/>
      <c r="H149" s="43"/>
      <c r="I149" s="43"/>
      <c r="J149" s="43"/>
      <c r="K149" s="43"/>
      <c r="L149" s="5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</row>
    <row r="150" ht="15.75" customHeight="1">
      <c r="A150" s="53"/>
      <c r="B150" s="53"/>
      <c r="C150" s="53"/>
      <c r="D150" s="43"/>
      <c r="E150" s="43"/>
      <c r="F150" s="43"/>
      <c r="G150" s="43"/>
      <c r="H150" s="43"/>
      <c r="I150" s="43"/>
      <c r="J150" s="43"/>
      <c r="K150" s="43"/>
      <c r="L150" s="5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</row>
    <row r="151" ht="15.75" customHeight="1">
      <c r="A151" s="53"/>
      <c r="B151" s="53"/>
      <c r="C151" s="53"/>
      <c r="D151" s="43"/>
      <c r="E151" s="43"/>
      <c r="F151" s="43"/>
      <c r="G151" s="43"/>
      <c r="H151" s="43"/>
      <c r="I151" s="43"/>
      <c r="J151" s="43"/>
      <c r="K151" s="43"/>
      <c r="L151" s="5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</row>
    <row r="152" ht="15.75" customHeight="1">
      <c r="A152" s="53"/>
      <c r="B152" s="53"/>
      <c r="C152" s="53"/>
      <c r="D152" s="43"/>
      <c r="E152" s="43"/>
      <c r="F152" s="43"/>
      <c r="G152" s="43"/>
      <c r="H152" s="43"/>
      <c r="I152" s="43"/>
      <c r="J152" s="43"/>
      <c r="K152" s="43"/>
      <c r="L152" s="5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</row>
    <row r="153" ht="15.75" customHeight="1">
      <c r="A153" s="53"/>
      <c r="B153" s="53"/>
      <c r="C153" s="53"/>
      <c r="D153" s="43"/>
      <c r="E153" s="43"/>
      <c r="F153" s="43"/>
      <c r="G153" s="43"/>
      <c r="H153" s="43"/>
      <c r="I153" s="43"/>
      <c r="J153" s="43"/>
      <c r="K153" s="43"/>
      <c r="L153" s="5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</row>
    <row r="154" ht="15.75" customHeight="1">
      <c r="A154" s="53"/>
      <c r="B154" s="53"/>
      <c r="C154" s="53"/>
      <c r="D154" s="43"/>
      <c r="E154" s="43"/>
      <c r="F154" s="43"/>
      <c r="G154" s="43"/>
      <c r="H154" s="43"/>
      <c r="I154" s="43"/>
      <c r="J154" s="43"/>
      <c r="K154" s="43"/>
      <c r="L154" s="5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</row>
    <row r="155" ht="15.75" customHeight="1">
      <c r="A155" s="53"/>
      <c r="B155" s="53"/>
      <c r="C155" s="53"/>
      <c r="D155" s="43"/>
      <c r="E155" s="43"/>
      <c r="F155" s="43"/>
      <c r="G155" s="43"/>
      <c r="H155" s="43"/>
      <c r="I155" s="43"/>
      <c r="J155" s="43"/>
      <c r="K155" s="43"/>
      <c r="L155" s="5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</row>
    <row r="156" ht="15.75" customHeight="1">
      <c r="A156" s="53"/>
      <c r="B156" s="53"/>
      <c r="C156" s="53"/>
      <c r="D156" s="43"/>
      <c r="E156" s="43"/>
      <c r="F156" s="43"/>
      <c r="G156" s="43"/>
      <c r="H156" s="43"/>
      <c r="I156" s="43"/>
      <c r="J156" s="43"/>
      <c r="K156" s="43"/>
      <c r="L156" s="5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</row>
    <row r="157" ht="15.75" customHeight="1">
      <c r="A157" s="53"/>
      <c r="B157" s="53"/>
      <c r="C157" s="53"/>
      <c r="D157" s="43"/>
      <c r="E157" s="43"/>
      <c r="F157" s="43"/>
      <c r="G157" s="43"/>
      <c r="H157" s="43"/>
      <c r="I157" s="43"/>
      <c r="J157" s="43"/>
      <c r="K157" s="43"/>
      <c r="L157" s="5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</row>
    <row r="158" ht="15.75" customHeight="1">
      <c r="A158" s="53"/>
      <c r="B158" s="53"/>
      <c r="C158" s="53"/>
      <c r="D158" s="43"/>
      <c r="E158" s="43"/>
      <c r="F158" s="43"/>
      <c r="G158" s="43"/>
      <c r="H158" s="43"/>
      <c r="I158" s="43"/>
      <c r="J158" s="43"/>
      <c r="K158" s="43"/>
      <c r="L158" s="5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</row>
    <row r="159" ht="15.75" customHeight="1">
      <c r="A159" s="53"/>
      <c r="B159" s="53"/>
      <c r="C159" s="53"/>
      <c r="D159" s="43"/>
      <c r="E159" s="43"/>
      <c r="F159" s="43"/>
      <c r="G159" s="43"/>
      <c r="H159" s="43"/>
      <c r="I159" s="43"/>
      <c r="J159" s="43"/>
      <c r="K159" s="43"/>
      <c r="L159" s="5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</row>
    <row r="160" ht="15.75" customHeight="1">
      <c r="A160" s="53"/>
      <c r="B160" s="53"/>
      <c r="C160" s="53"/>
      <c r="D160" s="43"/>
      <c r="E160" s="43"/>
      <c r="F160" s="43"/>
      <c r="G160" s="43"/>
      <c r="H160" s="43"/>
      <c r="I160" s="43"/>
      <c r="J160" s="43"/>
      <c r="K160" s="43"/>
      <c r="L160" s="5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</row>
    <row r="161" ht="15.75" customHeight="1">
      <c r="A161" s="53"/>
      <c r="B161" s="53"/>
      <c r="C161" s="53"/>
      <c r="D161" s="43"/>
      <c r="E161" s="43"/>
      <c r="F161" s="43"/>
      <c r="G161" s="43"/>
      <c r="H161" s="43"/>
      <c r="I161" s="43"/>
      <c r="J161" s="43"/>
      <c r="K161" s="43"/>
      <c r="L161" s="5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</row>
    <row r="162" ht="15.75" customHeight="1">
      <c r="A162" s="53"/>
      <c r="B162" s="53"/>
      <c r="C162" s="53"/>
      <c r="D162" s="43"/>
      <c r="E162" s="43"/>
      <c r="F162" s="43"/>
      <c r="G162" s="43"/>
      <c r="H162" s="43"/>
      <c r="I162" s="43"/>
      <c r="J162" s="43"/>
      <c r="K162" s="43"/>
      <c r="L162" s="5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</row>
    <row r="163" ht="15.75" customHeight="1">
      <c r="A163" s="53"/>
      <c r="B163" s="53"/>
      <c r="C163" s="53"/>
      <c r="D163" s="43"/>
      <c r="E163" s="43"/>
      <c r="F163" s="43"/>
      <c r="G163" s="43"/>
      <c r="H163" s="43"/>
      <c r="I163" s="43"/>
      <c r="J163" s="43"/>
      <c r="K163" s="43"/>
      <c r="L163" s="5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</row>
    <row r="164" ht="15.75" customHeight="1">
      <c r="A164" s="53"/>
      <c r="B164" s="53"/>
      <c r="C164" s="53"/>
      <c r="D164" s="43"/>
      <c r="E164" s="43"/>
      <c r="F164" s="43"/>
      <c r="G164" s="43"/>
      <c r="H164" s="43"/>
      <c r="I164" s="43"/>
      <c r="J164" s="43"/>
      <c r="K164" s="43"/>
      <c r="L164" s="5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</row>
    <row r="165" ht="15.75" customHeight="1">
      <c r="A165" s="53"/>
      <c r="B165" s="53"/>
      <c r="C165" s="53"/>
      <c r="D165" s="43"/>
      <c r="E165" s="43"/>
      <c r="F165" s="43"/>
      <c r="G165" s="43"/>
      <c r="H165" s="43"/>
      <c r="I165" s="43"/>
      <c r="J165" s="43"/>
      <c r="K165" s="43"/>
      <c r="L165" s="5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</row>
    <row r="166" ht="15.75" customHeight="1">
      <c r="A166" s="53"/>
      <c r="B166" s="53"/>
      <c r="C166" s="53"/>
      <c r="D166" s="43"/>
      <c r="E166" s="43"/>
      <c r="F166" s="43"/>
      <c r="G166" s="43"/>
      <c r="H166" s="43"/>
      <c r="I166" s="43"/>
      <c r="J166" s="43"/>
      <c r="K166" s="43"/>
      <c r="L166" s="5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</row>
    <row r="167" ht="15.75" customHeight="1">
      <c r="A167" s="53"/>
      <c r="B167" s="53"/>
      <c r="C167" s="53"/>
      <c r="D167" s="43"/>
      <c r="E167" s="43"/>
      <c r="F167" s="43"/>
      <c r="G167" s="43"/>
      <c r="H167" s="43"/>
      <c r="I167" s="43"/>
      <c r="J167" s="43"/>
      <c r="K167" s="43"/>
      <c r="L167" s="5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</row>
    <row r="168" ht="15.75" customHeight="1">
      <c r="A168" s="53"/>
      <c r="B168" s="53"/>
      <c r="C168" s="53"/>
      <c r="D168" s="43"/>
      <c r="E168" s="43"/>
      <c r="F168" s="43"/>
      <c r="G168" s="43"/>
      <c r="H168" s="43"/>
      <c r="I168" s="43"/>
      <c r="J168" s="43"/>
      <c r="K168" s="43"/>
      <c r="L168" s="5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</row>
    <row r="169" ht="15.75" customHeight="1">
      <c r="A169" s="53"/>
      <c r="B169" s="53"/>
      <c r="C169" s="53"/>
      <c r="D169" s="43"/>
      <c r="E169" s="43"/>
      <c r="F169" s="43"/>
      <c r="G169" s="43"/>
      <c r="H169" s="43"/>
      <c r="I169" s="43"/>
      <c r="J169" s="43"/>
      <c r="K169" s="43"/>
      <c r="L169" s="5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</row>
    <row r="170" ht="15.75" customHeight="1">
      <c r="A170" s="53"/>
      <c r="B170" s="53"/>
      <c r="C170" s="53"/>
      <c r="D170" s="43"/>
      <c r="E170" s="43"/>
      <c r="F170" s="43"/>
      <c r="G170" s="43"/>
      <c r="H170" s="43"/>
      <c r="I170" s="43"/>
      <c r="J170" s="43"/>
      <c r="K170" s="43"/>
      <c r="L170" s="5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</row>
    <row r="171" ht="15.75" customHeight="1">
      <c r="A171" s="53"/>
      <c r="B171" s="53"/>
      <c r="C171" s="53"/>
      <c r="D171" s="43"/>
      <c r="E171" s="43"/>
      <c r="F171" s="43"/>
      <c r="G171" s="43"/>
      <c r="H171" s="43"/>
      <c r="I171" s="43"/>
      <c r="J171" s="43"/>
      <c r="K171" s="43"/>
      <c r="L171" s="5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</row>
    <row r="172" ht="15.75" customHeight="1">
      <c r="A172" s="53"/>
      <c r="B172" s="53"/>
      <c r="C172" s="53"/>
      <c r="D172" s="43"/>
      <c r="E172" s="43"/>
      <c r="F172" s="43"/>
      <c r="G172" s="43"/>
      <c r="H172" s="43"/>
      <c r="I172" s="43"/>
      <c r="J172" s="43"/>
      <c r="K172" s="43"/>
      <c r="L172" s="5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</row>
    <row r="173" ht="15.75" customHeight="1">
      <c r="A173" s="53"/>
      <c r="B173" s="53"/>
      <c r="C173" s="53"/>
      <c r="D173" s="43"/>
      <c r="E173" s="43"/>
      <c r="F173" s="43"/>
      <c r="G173" s="43"/>
      <c r="H173" s="43"/>
      <c r="I173" s="43"/>
      <c r="J173" s="43"/>
      <c r="K173" s="43"/>
      <c r="L173" s="5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</row>
    <row r="174" ht="15.75" customHeight="1">
      <c r="A174" s="53"/>
      <c r="B174" s="53"/>
      <c r="C174" s="53"/>
      <c r="D174" s="43"/>
      <c r="E174" s="43"/>
      <c r="F174" s="43"/>
      <c r="G174" s="43"/>
      <c r="H174" s="43"/>
      <c r="I174" s="43"/>
      <c r="J174" s="43"/>
      <c r="K174" s="43"/>
      <c r="L174" s="5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</row>
    <row r="175" ht="15.75" customHeight="1">
      <c r="A175" s="53"/>
      <c r="B175" s="53"/>
      <c r="C175" s="53"/>
      <c r="D175" s="43"/>
      <c r="E175" s="43"/>
      <c r="F175" s="43"/>
      <c r="G175" s="43"/>
      <c r="H175" s="43"/>
      <c r="I175" s="43"/>
      <c r="J175" s="43"/>
      <c r="K175" s="43"/>
      <c r="L175" s="5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</row>
    <row r="176" ht="15.75" customHeight="1">
      <c r="A176" s="53"/>
      <c r="B176" s="53"/>
      <c r="C176" s="53"/>
      <c r="D176" s="43"/>
      <c r="E176" s="43"/>
      <c r="F176" s="43"/>
      <c r="G176" s="43"/>
      <c r="H176" s="43"/>
      <c r="I176" s="43"/>
      <c r="J176" s="43"/>
      <c r="K176" s="43"/>
      <c r="L176" s="5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</row>
    <row r="177" ht="15.75" customHeight="1">
      <c r="A177" s="53"/>
      <c r="B177" s="53"/>
      <c r="C177" s="53"/>
      <c r="D177" s="43"/>
      <c r="E177" s="43"/>
      <c r="F177" s="43"/>
      <c r="G177" s="43"/>
      <c r="H177" s="43"/>
      <c r="I177" s="43"/>
      <c r="J177" s="43"/>
      <c r="K177" s="43"/>
      <c r="L177" s="5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</row>
    <row r="178" ht="15.75" customHeight="1">
      <c r="A178" s="53"/>
      <c r="B178" s="53"/>
      <c r="C178" s="53"/>
      <c r="D178" s="43"/>
      <c r="E178" s="43"/>
      <c r="F178" s="43"/>
      <c r="G178" s="43"/>
      <c r="H178" s="43"/>
      <c r="I178" s="43"/>
      <c r="J178" s="43"/>
      <c r="K178" s="43"/>
      <c r="L178" s="5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</row>
    <row r="179" ht="15.75" customHeight="1">
      <c r="A179" s="53"/>
      <c r="B179" s="53"/>
      <c r="C179" s="53"/>
      <c r="D179" s="43"/>
      <c r="E179" s="43"/>
      <c r="F179" s="43"/>
      <c r="G179" s="43"/>
      <c r="H179" s="43"/>
      <c r="I179" s="43"/>
      <c r="J179" s="43"/>
      <c r="K179" s="43"/>
      <c r="L179" s="5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</row>
    <row r="180" ht="15.75" customHeight="1">
      <c r="A180" s="53"/>
      <c r="B180" s="53"/>
      <c r="C180" s="53"/>
      <c r="D180" s="43"/>
      <c r="E180" s="43"/>
      <c r="F180" s="43"/>
      <c r="G180" s="43"/>
      <c r="H180" s="43"/>
      <c r="I180" s="43"/>
      <c r="J180" s="43"/>
      <c r="K180" s="43"/>
      <c r="L180" s="5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</row>
    <row r="181" ht="15.75" customHeight="1">
      <c r="A181" s="53"/>
      <c r="B181" s="53"/>
      <c r="C181" s="53"/>
      <c r="D181" s="43"/>
      <c r="E181" s="43"/>
      <c r="F181" s="43"/>
      <c r="G181" s="43"/>
      <c r="H181" s="43"/>
      <c r="I181" s="43"/>
      <c r="J181" s="43"/>
      <c r="K181" s="43"/>
      <c r="L181" s="5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</row>
    <row r="182" ht="15.75" customHeight="1">
      <c r="A182" s="53"/>
      <c r="B182" s="53"/>
      <c r="C182" s="53"/>
      <c r="D182" s="43"/>
      <c r="E182" s="43"/>
      <c r="F182" s="43"/>
      <c r="G182" s="43"/>
      <c r="H182" s="43"/>
      <c r="I182" s="43"/>
      <c r="J182" s="43"/>
      <c r="K182" s="43"/>
      <c r="L182" s="5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</row>
    <row r="183" ht="15.75" customHeight="1">
      <c r="A183" s="53"/>
      <c r="B183" s="53"/>
      <c r="C183" s="53"/>
      <c r="D183" s="43"/>
      <c r="E183" s="43"/>
      <c r="F183" s="43"/>
      <c r="G183" s="43"/>
      <c r="H183" s="43"/>
      <c r="I183" s="43"/>
      <c r="J183" s="43"/>
      <c r="K183" s="43"/>
      <c r="L183" s="5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</row>
    <row r="184" ht="15.75" customHeight="1">
      <c r="A184" s="53"/>
      <c r="B184" s="53"/>
      <c r="C184" s="53"/>
      <c r="D184" s="43"/>
      <c r="E184" s="43"/>
      <c r="F184" s="43"/>
      <c r="G184" s="43"/>
      <c r="H184" s="43"/>
      <c r="I184" s="43"/>
      <c r="J184" s="43"/>
      <c r="K184" s="43"/>
      <c r="L184" s="5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</row>
    <row r="185" ht="15.75" customHeight="1">
      <c r="A185" s="53"/>
      <c r="B185" s="53"/>
      <c r="C185" s="53"/>
      <c r="D185" s="43"/>
      <c r="E185" s="43"/>
      <c r="F185" s="43"/>
      <c r="G185" s="43"/>
      <c r="H185" s="43"/>
      <c r="I185" s="43"/>
      <c r="J185" s="43"/>
      <c r="K185" s="43"/>
      <c r="L185" s="5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</row>
    <row r="186" ht="15.75" customHeight="1">
      <c r="A186" s="53"/>
      <c r="B186" s="53"/>
      <c r="C186" s="53"/>
      <c r="D186" s="43"/>
      <c r="E186" s="43"/>
      <c r="F186" s="43"/>
      <c r="G186" s="43"/>
      <c r="H186" s="43"/>
      <c r="I186" s="43"/>
      <c r="J186" s="43"/>
      <c r="K186" s="43"/>
      <c r="L186" s="5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</row>
    <row r="187" ht="15.75" customHeight="1">
      <c r="A187" s="53"/>
      <c r="B187" s="53"/>
      <c r="C187" s="53"/>
      <c r="D187" s="43"/>
      <c r="E187" s="43"/>
      <c r="F187" s="43"/>
      <c r="G187" s="43"/>
      <c r="H187" s="43"/>
      <c r="I187" s="43"/>
      <c r="J187" s="43"/>
      <c r="K187" s="43"/>
      <c r="L187" s="5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</row>
    <row r="188" ht="15.75" customHeight="1">
      <c r="A188" s="53"/>
      <c r="B188" s="53"/>
      <c r="C188" s="53"/>
      <c r="D188" s="43"/>
      <c r="E188" s="43"/>
      <c r="F188" s="43"/>
      <c r="G188" s="43"/>
      <c r="H188" s="43"/>
      <c r="I188" s="43"/>
      <c r="J188" s="43"/>
      <c r="K188" s="43"/>
      <c r="L188" s="5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</row>
    <row r="189" ht="15.75" customHeight="1">
      <c r="A189" s="53"/>
      <c r="B189" s="53"/>
      <c r="C189" s="53"/>
      <c r="D189" s="43"/>
      <c r="E189" s="43"/>
      <c r="F189" s="43"/>
      <c r="G189" s="43"/>
      <c r="H189" s="43"/>
      <c r="I189" s="43"/>
      <c r="J189" s="43"/>
      <c r="K189" s="43"/>
      <c r="L189" s="5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</row>
    <row r="190" ht="15.75" customHeight="1">
      <c r="A190" s="53"/>
      <c r="B190" s="53"/>
      <c r="C190" s="53"/>
      <c r="D190" s="43"/>
      <c r="E190" s="43"/>
      <c r="F190" s="43"/>
      <c r="G190" s="43"/>
      <c r="H190" s="43"/>
      <c r="I190" s="43"/>
      <c r="J190" s="43"/>
      <c r="K190" s="43"/>
      <c r="L190" s="5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</row>
    <row r="191" ht="15.75" customHeight="1">
      <c r="A191" s="53"/>
      <c r="B191" s="53"/>
      <c r="C191" s="53"/>
      <c r="D191" s="43"/>
      <c r="E191" s="43"/>
      <c r="F191" s="43"/>
      <c r="G191" s="43"/>
      <c r="H191" s="43"/>
      <c r="I191" s="43"/>
      <c r="J191" s="43"/>
      <c r="K191" s="43"/>
      <c r="L191" s="5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</row>
    <row r="192" ht="15.75" customHeight="1">
      <c r="A192" s="53"/>
      <c r="B192" s="53"/>
      <c r="C192" s="53"/>
      <c r="D192" s="43"/>
      <c r="E192" s="43"/>
      <c r="F192" s="43"/>
      <c r="G192" s="43"/>
      <c r="H192" s="43"/>
      <c r="I192" s="43"/>
      <c r="J192" s="43"/>
      <c r="K192" s="43"/>
      <c r="L192" s="5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</row>
    <row r="193" ht="15.75" customHeight="1">
      <c r="A193" s="53"/>
      <c r="B193" s="53"/>
      <c r="C193" s="53"/>
      <c r="D193" s="43"/>
      <c r="E193" s="43"/>
      <c r="F193" s="43"/>
      <c r="G193" s="43"/>
      <c r="H193" s="43"/>
      <c r="I193" s="43"/>
      <c r="J193" s="43"/>
      <c r="K193" s="43"/>
      <c r="L193" s="5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</row>
    <row r="194" ht="15.75" customHeight="1">
      <c r="A194" s="53"/>
      <c r="B194" s="53"/>
      <c r="C194" s="53"/>
      <c r="D194" s="43"/>
      <c r="E194" s="43"/>
      <c r="F194" s="43"/>
      <c r="G194" s="43"/>
      <c r="H194" s="43"/>
      <c r="I194" s="43"/>
      <c r="J194" s="43"/>
      <c r="K194" s="43"/>
      <c r="L194" s="5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</row>
    <row r="195" ht="15.75" customHeight="1">
      <c r="A195" s="53"/>
      <c r="B195" s="53"/>
      <c r="C195" s="53"/>
      <c r="D195" s="43"/>
      <c r="E195" s="43"/>
      <c r="F195" s="43"/>
      <c r="G195" s="43"/>
      <c r="H195" s="43"/>
      <c r="I195" s="43"/>
      <c r="J195" s="43"/>
      <c r="K195" s="43"/>
      <c r="L195" s="5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</row>
    <row r="196" ht="15.75" customHeight="1">
      <c r="A196" s="53"/>
      <c r="B196" s="53"/>
      <c r="C196" s="53"/>
      <c r="D196" s="43"/>
      <c r="E196" s="43"/>
      <c r="F196" s="43"/>
      <c r="G196" s="43"/>
      <c r="H196" s="43"/>
      <c r="I196" s="43"/>
      <c r="J196" s="43"/>
      <c r="K196" s="43"/>
      <c r="L196" s="5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</row>
    <row r="197" ht="15.75" customHeight="1">
      <c r="A197" s="53"/>
      <c r="B197" s="53"/>
      <c r="C197" s="53"/>
      <c r="D197" s="43"/>
      <c r="E197" s="43"/>
      <c r="F197" s="43"/>
      <c r="G197" s="43"/>
      <c r="H197" s="43"/>
      <c r="I197" s="43"/>
      <c r="J197" s="43"/>
      <c r="K197" s="43"/>
      <c r="L197" s="5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</row>
    <row r="198" ht="15.75" customHeight="1">
      <c r="A198" s="53"/>
      <c r="B198" s="53"/>
      <c r="C198" s="53"/>
      <c r="D198" s="43"/>
      <c r="E198" s="43"/>
      <c r="F198" s="43"/>
      <c r="G198" s="43"/>
      <c r="H198" s="43"/>
      <c r="I198" s="43"/>
      <c r="J198" s="43"/>
      <c r="K198" s="43"/>
      <c r="L198" s="5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</row>
    <row r="199" ht="15.75" customHeight="1">
      <c r="A199" s="53"/>
      <c r="B199" s="53"/>
      <c r="C199" s="53"/>
      <c r="D199" s="43"/>
      <c r="E199" s="43"/>
      <c r="F199" s="43"/>
      <c r="G199" s="43"/>
      <c r="H199" s="43"/>
      <c r="I199" s="43"/>
      <c r="J199" s="43"/>
      <c r="K199" s="43"/>
      <c r="L199" s="5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</row>
    <row r="200" ht="15.75" customHeight="1">
      <c r="A200" s="53"/>
      <c r="B200" s="53"/>
      <c r="C200" s="53"/>
      <c r="D200" s="43"/>
      <c r="E200" s="43"/>
      <c r="F200" s="43"/>
      <c r="G200" s="43"/>
      <c r="H200" s="43"/>
      <c r="I200" s="43"/>
      <c r="J200" s="43"/>
      <c r="K200" s="43"/>
      <c r="L200" s="5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</row>
    <row r="201" ht="15.75" customHeight="1">
      <c r="A201" s="53"/>
      <c r="B201" s="53"/>
      <c r="C201" s="53"/>
      <c r="D201" s="43"/>
      <c r="E201" s="43"/>
      <c r="F201" s="43"/>
      <c r="G201" s="43"/>
      <c r="H201" s="43"/>
      <c r="I201" s="43"/>
      <c r="J201" s="43"/>
      <c r="K201" s="43"/>
      <c r="L201" s="5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</row>
    <row r="202" ht="15.75" customHeight="1">
      <c r="A202" s="53"/>
      <c r="B202" s="53"/>
      <c r="C202" s="53"/>
      <c r="D202" s="43"/>
      <c r="E202" s="43"/>
      <c r="F202" s="43"/>
      <c r="G202" s="43"/>
      <c r="H202" s="43"/>
      <c r="I202" s="43"/>
      <c r="J202" s="43"/>
      <c r="K202" s="43"/>
      <c r="L202" s="5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</row>
    <row r="203" ht="15.75" customHeight="1">
      <c r="A203" s="53"/>
      <c r="B203" s="53"/>
      <c r="C203" s="53"/>
      <c r="D203" s="43"/>
      <c r="E203" s="43"/>
      <c r="F203" s="43"/>
      <c r="G203" s="43"/>
      <c r="H203" s="43"/>
      <c r="I203" s="43"/>
      <c r="J203" s="43"/>
      <c r="K203" s="43"/>
      <c r="L203" s="5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</row>
    <row r="204" ht="15.75" customHeight="1">
      <c r="A204" s="53"/>
      <c r="B204" s="53"/>
      <c r="C204" s="53"/>
      <c r="D204" s="43"/>
      <c r="E204" s="43"/>
      <c r="F204" s="43"/>
      <c r="G204" s="43"/>
      <c r="H204" s="43"/>
      <c r="I204" s="43"/>
      <c r="J204" s="43"/>
      <c r="K204" s="43"/>
      <c r="L204" s="5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</row>
    <row r="205" ht="15.75" customHeight="1">
      <c r="A205" s="53"/>
      <c r="B205" s="53"/>
      <c r="C205" s="53"/>
      <c r="D205" s="43"/>
      <c r="E205" s="43"/>
      <c r="F205" s="43"/>
      <c r="G205" s="43"/>
      <c r="H205" s="43"/>
      <c r="I205" s="43"/>
      <c r="J205" s="43"/>
      <c r="K205" s="43"/>
      <c r="L205" s="5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</row>
    <row r="206" ht="15.75" customHeight="1">
      <c r="A206" s="53"/>
      <c r="B206" s="53"/>
      <c r="C206" s="53"/>
      <c r="D206" s="43"/>
      <c r="E206" s="43"/>
      <c r="F206" s="43"/>
      <c r="G206" s="43"/>
      <c r="H206" s="43"/>
      <c r="I206" s="43"/>
      <c r="J206" s="43"/>
      <c r="K206" s="43"/>
      <c r="L206" s="5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</row>
    <row r="207" ht="15.75" customHeight="1">
      <c r="A207" s="53"/>
      <c r="B207" s="53"/>
      <c r="C207" s="53"/>
      <c r="D207" s="43"/>
      <c r="E207" s="43"/>
      <c r="F207" s="43"/>
      <c r="G207" s="43"/>
      <c r="H207" s="43"/>
      <c r="I207" s="43"/>
      <c r="J207" s="43"/>
      <c r="K207" s="43"/>
      <c r="L207" s="5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</row>
    <row r="208" ht="15.75" customHeight="1">
      <c r="A208" s="53"/>
      <c r="B208" s="53"/>
      <c r="C208" s="53"/>
      <c r="D208" s="43"/>
      <c r="E208" s="43"/>
      <c r="F208" s="43"/>
      <c r="G208" s="43"/>
      <c r="H208" s="43"/>
      <c r="I208" s="43"/>
      <c r="J208" s="43"/>
      <c r="K208" s="43"/>
      <c r="L208" s="5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</row>
    <row r="209" ht="15.75" customHeight="1">
      <c r="A209" s="53"/>
      <c r="B209" s="53"/>
      <c r="C209" s="53"/>
      <c r="D209" s="43"/>
      <c r="E209" s="43"/>
      <c r="F209" s="43"/>
      <c r="G209" s="43"/>
      <c r="H209" s="43"/>
      <c r="I209" s="43"/>
      <c r="J209" s="43"/>
      <c r="K209" s="43"/>
      <c r="L209" s="5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</row>
    <row r="210" ht="15.75" customHeight="1">
      <c r="A210" s="53"/>
      <c r="B210" s="53"/>
      <c r="C210" s="53"/>
      <c r="D210" s="43"/>
      <c r="E210" s="43"/>
      <c r="F210" s="43"/>
      <c r="G210" s="43"/>
      <c r="H210" s="43"/>
      <c r="I210" s="43"/>
      <c r="J210" s="43"/>
      <c r="K210" s="43"/>
      <c r="L210" s="5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</row>
    <row r="211" ht="15.75" customHeight="1">
      <c r="A211" s="53"/>
      <c r="B211" s="53"/>
      <c r="C211" s="53"/>
      <c r="D211" s="43"/>
      <c r="E211" s="43"/>
      <c r="F211" s="43"/>
      <c r="G211" s="43"/>
      <c r="H211" s="43"/>
      <c r="I211" s="43"/>
      <c r="J211" s="43"/>
      <c r="K211" s="43"/>
      <c r="L211" s="5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</row>
    <row r="212" ht="15.75" customHeight="1">
      <c r="A212" s="53"/>
      <c r="B212" s="53"/>
      <c r="C212" s="53"/>
      <c r="D212" s="43"/>
      <c r="E212" s="43"/>
      <c r="F212" s="43"/>
      <c r="G212" s="43"/>
      <c r="H212" s="43"/>
      <c r="I212" s="43"/>
      <c r="J212" s="43"/>
      <c r="K212" s="43"/>
      <c r="L212" s="5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</row>
    <row r="213" ht="15.75" customHeight="1">
      <c r="A213" s="53"/>
      <c r="B213" s="53"/>
      <c r="C213" s="53"/>
      <c r="D213" s="43"/>
      <c r="E213" s="43"/>
      <c r="F213" s="43"/>
      <c r="G213" s="43"/>
      <c r="H213" s="43"/>
      <c r="I213" s="43"/>
      <c r="J213" s="43"/>
      <c r="K213" s="43"/>
      <c r="L213" s="5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</row>
    <row r="214" ht="15.75" customHeight="1">
      <c r="A214" s="53"/>
      <c r="B214" s="53"/>
      <c r="C214" s="53"/>
      <c r="D214" s="43"/>
      <c r="E214" s="43"/>
      <c r="F214" s="43"/>
      <c r="G214" s="43"/>
      <c r="H214" s="43"/>
      <c r="I214" s="43"/>
      <c r="J214" s="43"/>
      <c r="K214" s="43"/>
      <c r="L214" s="5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</row>
    <row r="215" ht="15.75" customHeight="1">
      <c r="A215" s="53"/>
      <c r="B215" s="53"/>
      <c r="C215" s="53"/>
      <c r="D215" s="43"/>
      <c r="E215" s="43"/>
      <c r="F215" s="43"/>
      <c r="G215" s="43"/>
      <c r="H215" s="43"/>
      <c r="I215" s="43"/>
      <c r="J215" s="43"/>
      <c r="K215" s="43"/>
      <c r="L215" s="5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</row>
    <row r="216" ht="15.75" customHeight="1">
      <c r="A216" s="53"/>
      <c r="B216" s="53"/>
      <c r="C216" s="53"/>
      <c r="D216" s="43"/>
      <c r="E216" s="43"/>
      <c r="F216" s="43"/>
      <c r="G216" s="43"/>
      <c r="H216" s="43"/>
      <c r="I216" s="43"/>
      <c r="J216" s="43"/>
      <c r="K216" s="43"/>
      <c r="L216" s="5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</row>
    <row r="217" ht="15.75" customHeight="1">
      <c r="A217" s="53"/>
      <c r="B217" s="53"/>
      <c r="C217" s="53"/>
      <c r="D217" s="43"/>
      <c r="E217" s="43"/>
      <c r="F217" s="43"/>
      <c r="G217" s="43"/>
      <c r="H217" s="43"/>
      <c r="I217" s="43"/>
      <c r="J217" s="43"/>
      <c r="K217" s="43"/>
      <c r="L217" s="5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</row>
    <row r="218" ht="15.75" customHeight="1">
      <c r="A218" s="53"/>
      <c r="B218" s="53"/>
      <c r="C218" s="53"/>
      <c r="D218" s="43"/>
      <c r="E218" s="43"/>
      <c r="F218" s="43"/>
      <c r="G218" s="43"/>
      <c r="H218" s="43"/>
      <c r="I218" s="43"/>
      <c r="J218" s="43"/>
      <c r="K218" s="43"/>
      <c r="L218" s="5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</row>
    <row r="219" ht="15.75" customHeight="1">
      <c r="A219" s="53"/>
      <c r="B219" s="53"/>
      <c r="C219" s="53"/>
      <c r="D219" s="43"/>
      <c r="E219" s="43"/>
      <c r="F219" s="43"/>
      <c r="G219" s="43"/>
      <c r="H219" s="43"/>
      <c r="I219" s="43"/>
      <c r="J219" s="43"/>
      <c r="K219" s="43"/>
      <c r="L219" s="5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</row>
    <row r="220" ht="15.75" customHeight="1">
      <c r="A220" s="53"/>
      <c r="B220" s="53"/>
      <c r="C220" s="53"/>
      <c r="D220" s="43"/>
      <c r="E220" s="43"/>
      <c r="F220" s="43"/>
      <c r="G220" s="43"/>
      <c r="H220" s="43"/>
      <c r="I220" s="43"/>
      <c r="J220" s="43"/>
      <c r="K220" s="43"/>
      <c r="L220" s="5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</row>
    <row r="221" ht="15.75" customHeight="1">
      <c r="A221" s="53"/>
      <c r="B221" s="53"/>
      <c r="C221" s="53"/>
      <c r="D221" s="43"/>
      <c r="E221" s="43"/>
      <c r="F221" s="43"/>
      <c r="G221" s="43"/>
      <c r="H221" s="43"/>
      <c r="I221" s="43"/>
      <c r="J221" s="43"/>
      <c r="K221" s="43"/>
      <c r="L221" s="5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</row>
    <row r="222" ht="15.75" customHeight="1">
      <c r="A222" s="53"/>
      <c r="B222" s="53"/>
      <c r="C222" s="53"/>
      <c r="D222" s="43"/>
      <c r="E222" s="43"/>
      <c r="F222" s="43"/>
      <c r="G222" s="43"/>
      <c r="H222" s="43"/>
      <c r="I222" s="43"/>
      <c r="J222" s="43"/>
      <c r="K222" s="43"/>
      <c r="L222" s="5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</row>
    <row r="223" ht="15.75" customHeight="1">
      <c r="A223" s="53"/>
      <c r="B223" s="53"/>
      <c r="C223" s="53"/>
      <c r="D223" s="43"/>
      <c r="E223" s="43"/>
      <c r="F223" s="43"/>
      <c r="G223" s="43"/>
      <c r="H223" s="43"/>
      <c r="I223" s="43"/>
      <c r="J223" s="43"/>
      <c r="K223" s="43"/>
      <c r="L223" s="5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</row>
    <row r="224" ht="15.75" customHeight="1">
      <c r="A224" s="53"/>
      <c r="B224" s="53"/>
      <c r="C224" s="53"/>
      <c r="D224" s="43"/>
      <c r="E224" s="43"/>
      <c r="F224" s="43"/>
      <c r="G224" s="43"/>
      <c r="H224" s="43"/>
      <c r="I224" s="43"/>
      <c r="J224" s="43"/>
      <c r="K224" s="43"/>
      <c r="L224" s="5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</row>
    <row r="225" ht="15.75" customHeight="1">
      <c r="A225" s="53"/>
      <c r="B225" s="53"/>
      <c r="C225" s="53"/>
      <c r="D225" s="43"/>
      <c r="E225" s="43"/>
      <c r="F225" s="43"/>
      <c r="G225" s="43"/>
      <c r="H225" s="43"/>
      <c r="I225" s="43"/>
      <c r="J225" s="43"/>
      <c r="K225" s="43"/>
      <c r="L225" s="5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</row>
    <row r="226" ht="15.75" customHeight="1">
      <c r="A226" s="53"/>
      <c r="B226" s="53"/>
      <c r="C226" s="53"/>
      <c r="D226" s="43"/>
      <c r="E226" s="43"/>
      <c r="F226" s="43"/>
      <c r="G226" s="43"/>
      <c r="H226" s="43"/>
      <c r="I226" s="43"/>
      <c r="J226" s="43"/>
      <c r="K226" s="43"/>
      <c r="L226" s="5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</row>
    <row r="227" ht="15.75" customHeight="1">
      <c r="A227" s="53"/>
      <c r="B227" s="53"/>
      <c r="C227" s="53"/>
      <c r="D227" s="43"/>
      <c r="E227" s="43"/>
      <c r="F227" s="43"/>
      <c r="G227" s="43"/>
      <c r="H227" s="43"/>
      <c r="I227" s="43"/>
      <c r="J227" s="43"/>
      <c r="K227" s="43"/>
      <c r="L227" s="5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</row>
    <row r="228" ht="15.75" customHeight="1">
      <c r="A228" s="53"/>
      <c r="B228" s="53"/>
      <c r="C228" s="53"/>
      <c r="D228" s="43"/>
      <c r="E228" s="43"/>
      <c r="F228" s="43"/>
      <c r="G228" s="43"/>
      <c r="H228" s="43"/>
      <c r="I228" s="43"/>
      <c r="J228" s="43"/>
      <c r="K228" s="43"/>
      <c r="L228" s="5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</row>
    <row r="229" ht="15.75" customHeight="1">
      <c r="A229" s="53"/>
      <c r="B229" s="53"/>
      <c r="C229" s="53"/>
      <c r="D229" s="43"/>
      <c r="E229" s="43"/>
      <c r="F229" s="43"/>
      <c r="G229" s="43"/>
      <c r="H229" s="43"/>
      <c r="I229" s="43"/>
      <c r="J229" s="43"/>
      <c r="K229" s="43"/>
      <c r="L229" s="5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</row>
    <row r="230" ht="15.75" customHeight="1">
      <c r="A230" s="53"/>
      <c r="B230" s="53"/>
      <c r="C230" s="53"/>
      <c r="D230" s="43"/>
      <c r="E230" s="43"/>
      <c r="F230" s="43"/>
      <c r="G230" s="43"/>
      <c r="H230" s="43"/>
      <c r="I230" s="43"/>
      <c r="J230" s="43"/>
      <c r="K230" s="43"/>
      <c r="L230" s="5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</row>
    <row r="231" ht="15.75" customHeight="1">
      <c r="A231" s="53"/>
      <c r="B231" s="53"/>
      <c r="C231" s="53"/>
      <c r="D231" s="43"/>
      <c r="E231" s="43"/>
      <c r="F231" s="43"/>
      <c r="G231" s="43"/>
      <c r="H231" s="43"/>
      <c r="I231" s="43"/>
      <c r="J231" s="43"/>
      <c r="K231" s="43"/>
      <c r="L231" s="5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</row>
    <row r="232" ht="15.75" customHeight="1">
      <c r="A232" s="53"/>
      <c r="B232" s="53"/>
      <c r="C232" s="53"/>
      <c r="D232" s="43"/>
      <c r="E232" s="43"/>
      <c r="F232" s="43"/>
      <c r="G232" s="43"/>
      <c r="H232" s="43"/>
      <c r="I232" s="43"/>
      <c r="J232" s="43"/>
      <c r="K232" s="43"/>
      <c r="L232" s="5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</row>
    <row r="233" ht="15.75" customHeight="1">
      <c r="A233" s="53"/>
      <c r="B233" s="53"/>
      <c r="C233" s="53"/>
      <c r="D233" s="43"/>
      <c r="E233" s="43"/>
      <c r="F233" s="43"/>
      <c r="G233" s="43"/>
      <c r="H233" s="43"/>
      <c r="I233" s="43"/>
      <c r="J233" s="43"/>
      <c r="K233" s="43"/>
      <c r="L233" s="5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</row>
    <row r="234" ht="15.75" customHeight="1">
      <c r="A234" s="53"/>
      <c r="B234" s="53"/>
      <c r="C234" s="53"/>
      <c r="D234" s="43"/>
      <c r="E234" s="43"/>
      <c r="F234" s="43"/>
      <c r="G234" s="43"/>
      <c r="H234" s="43"/>
      <c r="I234" s="43"/>
      <c r="J234" s="43"/>
      <c r="K234" s="43"/>
      <c r="L234" s="5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</row>
    <row r="235" ht="15.75" customHeight="1">
      <c r="A235" s="53"/>
      <c r="B235" s="53"/>
      <c r="C235" s="53"/>
      <c r="D235" s="43"/>
      <c r="E235" s="43"/>
      <c r="F235" s="43"/>
      <c r="G235" s="43"/>
      <c r="H235" s="43"/>
      <c r="I235" s="43"/>
      <c r="J235" s="43"/>
      <c r="K235" s="43"/>
      <c r="L235" s="5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</row>
    <row r="236" ht="15.75" customHeight="1">
      <c r="A236" s="53"/>
      <c r="B236" s="53"/>
      <c r="C236" s="53"/>
      <c r="D236" s="43"/>
      <c r="E236" s="43"/>
      <c r="F236" s="43"/>
      <c r="G236" s="43"/>
      <c r="H236" s="43"/>
      <c r="I236" s="43"/>
      <c r="J236" s="43"/>
      <c r="K236" s="43"/>
      <c r="L236" s="5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</row>
    <row r="237" ht="15.75" customHeight="1">
      <c r="A237" s="53"/>
      <c r="B237" s="53"/>
      <c r="C237" s="53"/>
      <c r="D237" s="43"/>
      <c r="E237" s="43"/>
      <c r="F237" s="43"/>
      <c r="G237" s="43"/>
      <c r="H237" s="43"/>
      <c r="I237" s="43"/>
      <c r="J237" s="43"/>
      <c r="K237" s="43"/>
      <c r="L237" s="5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</row>
    <row r="238" ht="15.75" customHeight="1">
      <c r="A238" s="53"/>
      <c r="B238" s="53"/>
      <c r="C238" s="53"/>
      <c r="D238" s="43"/>
      <c r="E238" s="43"/>
      <c r="F238" s="43"/>
      <c r="G238" s="43"/>
      <c r="H238" s="43"/>
      <c r="I238" s="43"/>
      <c r="J238" s="43"/>
      <c r="K238" s="43"/>
      <c r="L238" s="5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</row>
    <row r="239" ht="15.75" customHeight="1">
      <c r="A239" s="53"/>
      <c r="B239" s="53"/>
      <c r="C239" s="53"/>
      <c r="D239" s="43"/>
      <c r="E239" s="43"/>
      <c r="F239" s="43"/>
      <c r="G239" s="43"/>
      <c r="H239" s="43"/>
      <c r="I239" s="43"/>
      <c r="J239" s="43"/>
      <c r="K239" s="43"/>
      <c r="L239" s="5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</row>
    <row r="240" ht="15.75" customHeight="1">
      <c r="A240" s="53"/>
      <c r="B240" s="53"/>
      <c r="C240" s="53"/>
      <c r="D240" s="43"/>
      <c r="E240" s="43"/>
      <c r="F240" s="43"/>
      <c r="G240" s="43"/>
      <c r="H240" s="43"/>
      <c r="I240" s="43"/>
      <c r="J240" s="43"/>
      <c r="K240" s="43"/>
      <c r="L240" s="5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</row>
    <row r="241" ht="15.75" customHeight="1">
      <c r="A241" s="53"/>
      <c r="B241" s="53"/>
      <c r="C241" s="53"/>
      <c r="D241" s="43"/>
      <c r="E241" s="43"/>
      <c r="F241" s="43"/>
      <c r="G241" s="43"/>
      <c r="H241" s="43"/>
      <c r="I241" s="43"/>
      <c r="J241" s="43"/>
      <c r="K241" s="43"/>
      <c r="L241" s="5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</row>
    <row r="242" ht="15.75" customHeight="1">
      <c r="A242" s="53"/>
      <c r="B242" s="53"/>
      <c r="C242" s="53"/>
      <c r="D242" s="43"/>
      <c r="E242" s="43"/>
      <c r="F242" s="43"/>
      <c r="G242" s="43"/>
      <c r="H242" s="43"/>
      <c r="I242" s="43"/>
      <c r="J242" s="43"/>
      <c r="K242" s="43"/>
      <c r="L242" s="5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</row>
    <row r="243" ht="15.75" customHeight="1">
      <c r="A243" s="53"/>
      <c r="B243" s="53"/>
      <c r="C243" s="53"/>
      <c r="D243" s="43"/>
      <c r="E243" s="43"/>
      <c r="F243" s="43"/>
      <c r="G243" s="43"/>
      <c r="H243" s="43"/>
      <c r="I243" s="43"/>
      <c r="J243" s="43"/>
      <c r="K243" s="43"/>
      <c r="L243" s="5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</row>
    <row r="244" ht="15.75" customHeight="1">
      <c r="A244" s="53"/>
      <c r="B244" s="53"/>
      <c r="C244" s="53"/>
      <c r="D244" s="43"/>
      <c r="E244" s="43"/>
      <c r="F244" s="43"/>
      <c r="G244" s="43"/>
      <c r="H244" s="43"/>
      <c r="I244" s="43"/>
      <c r="J244" s="43"/>
      <c r="K244" s="43"/>
      <c r="L244" s="5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</row>
    <row r="245" ht="15.75" customHeight="1">
      <c r="A245" s="53"/>
      <c r="B245" s="53"/>
      <c r="C245" s="53"/>
      <c r="D245" s="43"/>
      <c r="E245" s="43"/>
      <c r="F245" s="43"/>
      <c r="G245" s="43"/>
      <c r="H245" s="43"/>
      <c r="I245" s="43"/>
      <c r="J245" s="43"/>
      <c r="K245" s="43"/>
      <c r="L245" s="5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</row>
    <row r="246" ht="15.75" customHeight="1">
      <c r="A246" s="53"/>
      <c r="B246" s="53"/>
      <c r="C246" s="53"/>
      <c r="D246" s="43"/>
      <c r="E246" s="43"/>
      <c r="F246" s="43"/>
      <c r="G246" s="43"/>
      <c r="H246" s="43"/>
      <c r="I246" s="43"/>
      <c r="J246" s="43"/>
      <c r="K246" s="43"/>
      <c r="L246" s="5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</row>
    <row r="247" ht="15.75" customHeight="1">
      <c r="A247" s="53"/>
      <c r="B247" s="53"/>
      <c r="C247" s="53"/>
      <c r="D247" s="43"/>
      <c r="E247" s="43"/>
      <c r="F247" s="43"/>
      <c r="G247" s="43"/>
      <c r="H247" s="43"/>
      <c r="I247" s="43"/>
      <c r="J247" s="43"/>
      <c r="K247" s="43"/>
      <c r="L247" s="5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</row>
    <row r="248" ht="15.75" customHeight="1">
      <c r="A248" s="53"/>
      <c r="B248" s="53"/>
      <c r="C248" s="53"/>
      <c r="D248" s="43"/>
      <c r="E248" s="43"/>
      <c r="F248" s="43"/>
      <c r="G248" s="43"/>
      <c r="H248" s="43"/>
      <c r="I248" s="43"/>
      <c r="J248" s="43"/>
      <c r="K248" s="43"/>
      <c r="L248" s="5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</row>
    <row r="249" ht="15.75" customHeight="1">
      <c r="A249" s="53"/>
      <c r="B249" s="53"/>
      <c r="C249" s="53"/>
      <c r="D249" s="43"/>
      <c r="E249" s="43"/>
      <c r="F249" s="43"/>
      <c r="G249" s="43"/>
      <c r="H249" s="43"/>
      <c r="I249" s="43"/>
      <c r="J249" s="43"/>
      <c r="K249" s="43"/>
      <c r="L249" s="5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</row>
    <row r="250" ht="15.75" customHeight="1">
      <c r="A250" s="53"/>
      <c r="B250" s="53"/>
      <c r="C250" s="53"/>
      <c r="D250" s="43"/>
      <c r="E250" s="43"/>
      <c r="F250" s="43"/>
      <c r="G250" s="43"/>
      <c r="H250" s="43"/>
      <c r="I250" s="43"/>
      <c r="J250" s="43"/>
      <c r="K250" s="43"/>
      <c r="L250" s="5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</row>
    <row r="251" ht="15.75" customHeight="1">
      <c r="A251" s="53"/>
      <c r="B251" s="53"/>
      <c r="C251" s="53"/>
      <c r="D251" s="43"/>
      <c r="E251" s="43"/>
      <c r="F251" s="43"/>
      <c r="G251" s="43"/>
      <c r="H251" s="43"/>
      <c r="I251" s="43"/>
      <c r="J251" s="43"/>
      <c r="K251" s="43"/>
      <c r="L251" s="5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</row>
    <row r="252" ht="15.75" customHeight="1">
      <c r="A252" s="53"/>
      <c r="B252" s="53"/>
      <c r="C252" s="53"/>
      <c r="D252" s="43"/>
      <c r="E252" s="43"/>
      <c r="F252" s="43"/>
      <c r="G252" s="43"/>
      <c r="H252" s="43"/>
      <c r="I252" s="43"/>
      <c r="J252" s="43"/>
      <c r="K252" s="43"/>
      <c r="L252" s="5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</row>
    <row r="253" ht="15.75" customHeight="1">
      <c r="A253" s="53"/>
      <c r="B253" s="53"/>
      <c r="C253" s="53"/>
      <c r="D253" s="43"/>
      <c r="E253" s="43"/>
      <c r="F253" s="43"/>
      <c r="G253" s="43"/>
      <c r="H253" s="43"/>
      <c r="I253" s="43"/>
      <c r="J253" s="43"/>
      <c r="K253" s="43"/>
      <c r="L253" s="5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</row>
    <row r="254" ht="15.75" customHeight="1">
      <c r="A254" s="53"/>
      <c r="B254" s="53"/>
      <c r="C254" s="53"/>
      <c r="D254" s="43"/>
      <c r="E254" s="43"/>
      <c r="F254" s="43"/>
      <c r="G254" s="43"/>
      <c r="H254" s="43"/>
      <c r="I254" s="43"/>
      <c r="J254" s="43"/>
      <c r="K254" s="43"/>
      <c r="L254" s="5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</row>
    <row r="255" ht="15.75" customHeight="1">
      <c r="A255" s="53"/>
      <c r="B255" s="53"/>
      <c r="C255" s="53"/>
      <c r="D255" s="43"/>
      <c r="E255" s="43"/>
      <c r="F255" s="43"/>
      <c r="G255" s="43"/>
      <c r="H255" s="43"/>
      <c r="I255" s="43"/>
      <c r="J255" s="43"/>
      <c r="K255" s="43"/>
      <c r="L255" s="5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</row>
    <row r="256" ht="15.75" customHeight="1">
      <c r="A256" s="53"/>
      <c r="B256" s="53"/>
      <c r="C256" s="53"/>
      <c r="D256" s="43"/>
      <c r="E256" s="43"/>
      <c r="F256" s="43"/>
      <c r="G256" s="43"/>
      <c r="H256" s="43"/>
      <c r="I256" s="43"/>
      <c r="J256" s="43"/>
      <c r="K256" s="43"/>
      <c r="L256" s="5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</row>
    <row r="257" ht="15.75" customHeight="1">
      <c r="A257" s="53"/>
      <c r="B257" s="53"/>
      <c r="C257" s="53"/>
      <c r="D257" s="43"/>
      <c r="E257" s="43"/>
      <c r="F257" s="43"/>
      <c r="G257" s="43"/>
      <c r="H257" s="43"/>
      <c r="I257" s="43"/>
      <c r="J257" s="43"/>
      <c r="K257" s="43"/>
      <c r="L257" s="5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</row>
    <row r="258" ht="15.75" customHeight="1">
      <c r="A258" s="53"/>
      <c r="B258" s="53"/>
      <c r="C258" s="53"/>
      <c r="D258" s="43"/>
      <c r="E258" s="43"/>
      <c r="F258" s="43"/>
      <c r="G258" s="43"/>
      <c r="H258" s="43"/>
      <c r="I258" s="43"/>
      <c r="J258" s="43"/>
      <c r="K258" s="43"/>
      <c r="L258" s="5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</row>
    <row r="259" ht="15.75" customHeight="1">
      <c r="A259" s="53"/>
      <c r="B259" s="53"/>
      <c r="C259" s="53"/>
      <c r="D259" s="43"/>
      <c r="E259" s="43"/>
      <c r="F259" s="43"/>
      <c r="G259" s="43"/>
      <c r="H259" s="43"/>
      <c r="I259" s="43"/>
      <c r="J259" s="43"/>
      <c r="K259" s="43"/>
      <c r="L259" s="5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</row>
    <row r="260" ht="15.75" customHeight="1">
      <c r="A260" s="53"/>
      <c r="B260" s="53"/>
      <c r="C260" s="53"/>
      <c r="D260" s="43"/>
      <c r="E260" s="43"/>
      <c r="F260" s="43"/>
      <c r="G260" s="43"/>
      <c r="H260" s="43"/>
      <c r="I260" s="43"/>
      <c r="J260" s="43"/>
      <c r="K260" s="43"/>
      <c r="L260" s="5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</row>
    <row r="261" ht="15.75" customHeight="1">
      <c r="A261" s="53"/>
      <c r="B261" s="53"/>
      <c r="C261" s="53"/>
      <c r="D261" s="43"/>
      <c r="E261" s="43"/>
      <c r="F261" s="43"/>
      <c r="G261" s="43"/>
      <c r="H261" s="43"/>
      <c r="I261" s="43"/>
      <c r="J261" s="43"/>
      <c r="K261" s="43"/>
      <c r="L261" s="5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</row>
    <row r="262" ht="15.75" customHeight="1">
      <c r="A262" s="53"/>
      <c r="B262" s="53"/>
      <c r="C262" s="53"/>
      <c r="D262" s="43"/>
      <c r="E262" s="43"/>
      <c r="F262" s="43"/>
      <c r="G262" s="43"/>
      <c r="H262" s="43"/>
      <c r="I262" s="43"/>
      <c r="J262" s="43"/>
      <c r="K262" s="43"/>
      <c r="L262" s="5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</row>
    <row r="263" ht="15.75" customHeight="1">
      <c r="A263" s="53"/>
      <c r="B263" s="53"/>
      <c r="C263" s="53"/>
      <c r="D263" s="43"/>
      <c r="E263" s="43"/>
      <c r="F263" s="43"/>
      <c r="G263" s="43"/>
      <c r="H263" s="43"/>
      <c r="I263" s="43"/>
      <c r="J263" s="43"/>
      <c r="K263" s="43"/>
      <c r="L263" s="5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</row>
    <row r="264" ht="15.75" customHeight="1">
      <c r="A264" s="53"/>
      <c r="B264" s="53"/>
      <c r="C264" s="53"/>
      <c r="D264" s="43"/>
      <c r="E264" s="43"/>
      <c r="F264" s="43"/>
      <c r="G264" s="43"/>
      <c r="H264" s="43"/>
      <c r="I264" s="43"/>
      <c r="J264" s="43"/>
      <c r="K264" s="43"/>
      <c r="L264" s="5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</row>
    <row r="265" ht="15.75" customHeight="1">
      <c r="A265" s="53"/>
      <c r="B265" s="53"/>
      <c r="C265" s="53"/>
      <c r="D265" s="43"/>
      <c r="E265" s="43"/>
      <c r="F265" s="43"/>
      <c r="G265" s="43"/>
      <c r="H265" s="43"/>
      <c r="I265" s="43"/>
      <c r="J265" s="43"/>
      <c r="K265" s="43"/>
      <c r="L265" s="5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</row>
    <row r="266" ht="15.75" customHeight="1">
      <c r="A266" s="53"/>
      <c r="B266" s="53"/>
      <c r="C266" s="53"/>
      <c r="D266" s="43"/>
      <c r="E266" s="43"/>
      <c r="F266" s="43"/>
      <c r="G266" s="43"/>
      <c r="H266" s="43"/>
      <c r="I266" s="43"/>
      <c r="J266" s="43"/>
      <c r="K266" s="43"/>
      <c r="L266" s="5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</row>
    <row r="267" ht="15.75" customHeight="1">
      <c r="A267" s="53"/>
      <c r="B267" s="53"/>
      <c r="C267" s="53"/>
      <c r="D267" s="43"/>
      <c r="E267" s="43"/>
      <c r="F267" s="43"/>
      <c r="G267" s="43"/>
      <c r="H267" s="43"/>
      <c r="I267" s="43"/>
      <c r="J267" s="43"/>
      <c r="K267" s="43"/>
      <c r="L267" s="5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</row>
    <row r="268" ht="15.75" customHeight="1">
      <c r="A268" s="53"/>
      <c r="B268" s="53"/>
      <c r="C268" s="53"/>
      <c r="D268" s="43"/>
      <c r="E268" s="43"/>
      <c r="F268" s="43"/>
      <c r="G268" s="43"/>
      <c r="H268" s="43"/>
      <c r="I268" s="43"/>
      <c r="J268" s="43"/>
      <c r="K268" s="43"/>
      <c r="L268" s="5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</row>
    <row r="269" ht="15.75" customHeight="1">
      <c r="A269" s="53"/>
      <c r="B269" s="53"/>
      <c r="C269" s="53"/>
      <c r="D269" s="43"/>
      <c r="E269" s="43"/>
      <c r="F269" s="43"/>
      <c r="G269" s="43"/>
      <c r="H269" s="43"/>
      <c r="I269" s="43"/>
      <c r="J269" s="43"/>
      <c r="K269" s="43"/>
      <c r="L269" s="5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</row>
    <row r="270" ht="15.75" customHeight="1">
      <c r="A270" s="53"/>
      <c r="B270" s="53"/>
      <c r="C270" s="53"/>
      <c r="D270" s="43"/>
      <c r="E270" s="43"/>
      <c r="F270" s="43"/>
      <c r="G270" s="43"/>
      <c r="H270" s="43"/>
      <c r="I270" s="43"/>
      <c r="J270" s="43"/>
      <c r="K270" s="43"/>
      <c r="L270" s="5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</row>
    <row r="271" ht="15.75" customHeight="1">
      <c r="A271" s="53"/>
      <c r="B271" s="53"/>
      <c r="C271" s="53"/>
      <c r="D271" s="43"/>
      <c r="E271" s="43"/>
      <c r="F271" s="43"/>
      <c r="G271" s="43"/>
      <c r="H271" s="43"/>
      <c r="I271" s="43"/>
      <c r="J271" s="43"/>
      <c r="K271" s="43"/>
      <c r="L271" s="5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</row>
    <row r="272" ht="15.75" customHeight="1">
      <c r="A272" s="53"/>
      <c r="B272" s="53"/>
      <c r="C272" s="53"/>
      <c r="D272" s="43"/>
      <c r="E272" s="43"/>
      <c r="F272" s="43"/>
      <c r="G272" s="43"/>
      <c r="H272" s="43"/>
      <c r="I272" s="43"/>
      <c r="J272" s="43"/>
      <c r="K272" s="43"/>
      <c r="L272" s="5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onditionalFormatting sqref="AH2:AH56">
    <cfRule type="colorScale" priority="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S2:S56">
    <cfRule type="colorScale" priority="2">
      <colorScale>
        <cfvo type="min"/>
        <cfvo type="max"/>
        <color rgb="FFFFFFFF"/>
        <color rgb="FFFFD666"/>
      </colorScale>
    </cfRule>
  </conditionalFormatting>
  <hyperlinks>
    <hyperlink r:id="rId2" ref="A63"/>
    <hyperlink r:id="rId3" ref="A65"/>
  </hyperlinks>
  <printOptions/>
  <pageMargins bottom="0.75" footer="0.0" header="0.0" left="0.7" right="0.7" top="0.75"/>
  <pageSetup orientation="portrait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9.0"/>
    <col customWidth="1" min="2" max="2" width="1.86"/>
    <col customWidth="1" min="3" max="8" width="15.43"/>
    <col customWidth="1" min="9" max="9" width="11.14"/>
    <col customWidth="1" min="10" max="10" width="2.14"/>
    <col customWidth="1" min="11" max="11" width="13.86"/>
    <col customWidth="1" min="12" max="13" width="17.29"/>
    <col customWidth="1" min="14" max="14" width="13.86"/>
    <col customWidth="1" min="15" max="15" width="11.14"/>
    <col customWidth="1" min="16" max="16" width="2.14"/>
    <col customWidth="1" min="17" max="17" width="11.71"/>
    <col customWidth="1" min="18" max="18" width="12.14"/>
    <col customWidth="1" min="19" max="19" width="11.71"/>
    <col customWidth="1" min="20" max="20" width="12.14"/>
    <col customWidth="1" min="21" max="21" width="11.14"/>
    <col customWidth="1" min="22" max="22" width="12.43"/>
    <col customWidth="1" min="23" max="27" width="8.71"/>
  </cols>
  <sheetData>
    <row r="1">
      <c r="A1" s="172" t="s">
        <v>172</v>
      </c>
      <c r="B1" s="173"/>
      <c r="C1" s="174" t="s">
        <v>173</v>
      </c>
      <c r="D1" s="174" t="s">
        <v>174</v>
      </c>
      <c r="E1" s="174" t="s">
        <v>175</v>
      </c>
      <c r="F1" s="174" t="s">
        <v>176</v>
      </c>
      <c r="G1" s="174" t="s">
        <v>177</v>
      </c>
      <c r="H1" s="174" t="s">
        <v>178</v>
      </c>
      <c r="I1" s="174" t="s">
        <v>180</v>
      </c>
      <c r="J1" s="43"/>
      <c r="K1" s="176" t="s">
        <v>181</v>
      </c>
      <c r="L1" s="176" t="s">
        <v>182</v>
      </c>
      <c r="M1" s="176" t="s">
        <v>183</v>
      </c>
      <c r="N1" s="176" t="s">
        <v>184</v>
      </c>
      <c r="O1" s="176" t="s">
        <v>180</v>
      </c>
      <c r="P1" s="43"/>
      <c r="Q1" s="226" t="s">
        <v>189</v>
      </c>
      <c r="R1" s="227" t="s">
        <v>190</v>
      </c>
      <c r="S1" s="226" t="s">
        <v>191</v>
      </c>
      <c r="T1" s="227" t="s">
        <v>192</v>
      </c>
      <c r="U1" s="226" t="s">
        <v>199</v>
      </c>
      <c r="V1" s="227" t="s">
        <v>200</v>
      </c>
      <c r="W1" s="43"/>
      <c r="X1" s="43"/>
      <c r="Y1" s="43"/>
      <c r="Z1" s="43"/>
      <c r="AA1" s="43"/>
    </row>
    <row r="2">
      <c r="A2" s="53" t="s">
        <v>205</v>
      </c>
      <c r="B2" s="53"/>
      <c r="C2" s="183">
        <v>528.0</v>
      </c>
      <c r="D2" s="61">
        <v>528.0</v>
      </c>
      <c r="E2" s="61">
        <v>537.0</v>
      </c>
      <c r="F2" s="61">
        <v>536.0</v>
      </c>
      <c r="G2" s="61">
        <v>532.0</v>
      </c>
      <c r="H2" s="144">
        <v>528.0</v>
      </c>
      <c r="I2" s="61">
        <f t="shared" ref="I2:I55" si="2">AVERAGE(F2:H2)</f>
        <v>532</v>
      </c>
      <c r="J2" s="43"/>
      <c r="K2" s="183">
        <v>493.0</v>
      </c>
      <c r="L2" s="61">
        <v>460.0</v>
      </c>
      <c r="M2" s="61">
        <v>1402.0</v>
      </c>
      <c r="N2" s="61"/>
      <c r="O2" s="61">
        <f t="shared" ref="O2:O5" si="3">AVERAGE(K2:M2)</f>
        <v>785</v>
      </c>
      <c r="P2" s="43"/>
      <c r="Q2" s="116">
        <v>319.0</v>
      </c>
      <c r="R2" s="116">
        <v>54.0</v>
      </c>
      <c r="S2" s="43">
        <v>216.0</v>
      </c>
      <c r="T2" s="43">
        <v>57.0</v>
      </c>
      <c r="U2" s="116">
        <f t="shared" ref="U2:V2" si="1">AVERAGE(Q2,S2)</f>
        <v>267.5</v>
      </c>
      <c r="V2" s="116">
        <f t="shared" si="1"/>
        <v>55.5</v>
      </c>
      <c r="W2" s="43"/>
      <c r="X2" s="43"/>
      <c r="Y2" s="43"/>
      <c r="Z2" s="43"/>
      <c r="AA2" s="43"/>
    </row>
    <row r="3" hidden="1">
      <c r="A3" s="53" t="s">
        <v>35</v>
      </c>
      <c r="B3" s="53"/>
      <c r="C3" s="183">
        <v>605.0</v>
      </c>
      <c r="D3" s="192">
        <v>605.0</v>
      </c>
      <c r="E3" s="61">
        <v>610.0</v>
      </c>
      <c r="F3" s="61">
        <v>610.0</v>
      </c>
      <c r="G3" s="61">
        <v>615.0</v>
      </c>
      <c r="H3" s="144">
        <v>615.0</v>
      </c>
      <c r="I3" s="61">
        <f t="shared" si="2"/>
        <v>613.3333333</v>
      </c>
      <c r="J3" s="43"/>
      <c r="K3" s="183">
        <v>2644.0</v>
      </c>
      <c r="L3" s="61">
        <v>3382.0</v>
      </c>
      <c r="M3" s="61">
        <v>2761.0</v>
      </c>
      <c r="N3" s="61"/>
      <c r="O3" s="61">
        <f t="shared" si="3"/>
        <v>2929</v>
      </c>
      <c r="P3" s="43"/>
      <c r="Q3" s="116">
        <v>507.0</v>
      </c>
      <c r="R3" s="116">
        <v>80.0</v>
      </c>
      <c r="S3" s="43">
        <v>593.0</v>
      </c>
      <c r="T3" s="43">
        <v>152.0</v>
      </c>
      <c r="U3" s="116">
        <f t="shared" ref="U3:V3" si="4">AVERAGE(Q3,S3)</f>
        <v>550</v>
      </c>
      <c r="V3" s="116">
        <f t="shared" si="4"/>
        <v>116</v>
      </c>
      <c r="W3" s="43"/>
      <c r="X3" s="43"/>
      <c r="Y3" s="43"/>
      <c r="Z3" s="43"/>
      <c r="AA3" s="43"/>
    </row>
    <row r="4">
      <c r="A4" s="53" t="s">
        <v>206</v>
      </c>
      <c r="B4" s="53"/>
      <c r="C4" s="183">
        <v>1626.0</v>
      </c>
      <c r="D4" s="61">
        <v>1576.0</v>
      </c>
      <c r="E4" s="61">
        <v>1682.0</v>
      </c>
      <c r="F4" s="61">
        <v>1672.0</v>
      </c>
      <c r="G4" s="61">
        <v>1661.0</v>
      </c>
      <c r="H4" s="144">
        <v>1646.0</v>
      </c>
      <c r="I4" s="61">
        <f t="shared" si="2"/>
        <v>1659.666667</v>
      </c>
      <c r="J4" s="43"/>
      <c r="K4" s="183">
        <v>6069.0</v>
      </c>
      <c r="L4" s="61">
        <v>5448.0</v>
      </c>
      <c r="M4" s="61">
        <v>7078.0</v>
      </c>
      <c r="N4" s="61"/>
      <c r="O4" s="61">
        <f t="shared" si="3"/>
        <v>6198.333333</v>
      </c>
      <c r="P4" s="43"/>
      <c r="Q4" s="116">
        <v>698.0</v>
      </c>
      <c r="R4" s="116">
        <v>715.0</v>
      </c>
      <c r="S4" s="43">
        <v>1036.0</v>
      </c>
      <c r="T4" s="43">
        <v>1476.0</v>
      </c>
      <c r="U4" s="116">
        <f t="shared" ref="U4:V4" si="5">AVERAGE(Q4,S4)</f>
        <v>867</v>
      </c>
      <c r="V4" s="116">
        <f t="shared" si="5"/>
        <v>1095.5</v>
      </c>
      <c r="W4" s="43"/>
      <c r="X4" s="43"/>
      <c r="Y4" s="43"/>
      <c r="Z4" s="43"/>
      <c r="AA4" s="43"/>
    </row>
    <row r="5" hidden="1">
      <c r="A5" s="53" t="s">
        <v>207</v>
      </c>
      <c r="B5" s="53"/>
      <c r="C5" s="183">
        <v>16425.0</v>
      </c>
      <c r="D5" s="61">
        <v>16510.0</v>
      </c>
      <c r="E5" s="61">
        <v>16750.0</v>
      </c>
      <c r="F5" s="61">
        <v>16765.0</v>
      </c>
      <c r="G5" s="61">
        <v>16820.0</v>
      </c>
      <c r="H5" s="144">
        <v>16910.0</v>
      </c>
      <c r="I5" s="61">
        <f t="shared" si="2"/>
        <v>16831.66667</v>
      </c>
      <c r="J5" s="43"/>
      <c r="K5" s="183">
        <v>164954.0</v>
      </c>
      <c r="L5" s="61">
        <v>150720.0</v>
      </c>
      <c r="M5" s="61">
        <v>136133.0</v>
      </c>
      <c r="N5" s="61"/>
      <c r="O5" s="61">
        <f t="shared" si="3"/>
        <v>150602.3333</v>
      </c>
      <c r="P5" s="43"/>
      <c r="Q5" s="61">
        <v>8246.0</v>
      </c>
      <c r="R5" s="61">
        <v>6390.0</v>
      </c>
      <c r="S5" s="43">
        <v>8331.0</v>
      </c>
      <c r="T5" s="43">
        <v>7498.0</v>
      </c>
      <c r="U5" s="116">
        <f t="shared" ref="U5:V5" si="6">AVERAGE(Q5,S5)</f>
        <v>8288.5</v>
      </c>
      <c r="V5" s="116">
        <f t="shared" si="6"/>
        <v>6944</v>
      </c>
      <c r="W5" s="43"/>
      <c r="X5" s="43"/>
      <c r="Y5" s="43"/>
      <c r="Z5" s="43"/>
      <c r="AA5" s="43"/>
    </row>
    <row r="6" hidden="1">
      <c r="A6" s="193" t="s">
        <v>208</v>
      </c>
      <c r="B6" s="194"/>
      <c r="C6" s="195">
        <v>2491.0</v>
      </c>
      <c r="D6" s="195">
        <v>2766.0</v>
      </c>
      <c r="E6" s="195">
        <v>2442.0</v>
      </c>
      <c r="F6" s="196">
        <v>2185.0</v>
      </c>
      <c r="G6" s="196">
        <v>1531.0</v>
      </c>
      <c r="H6" s="205">
        <v>1569.0</v>
      </c>
      <c r="I6" s="61">
        <f t="shared" si="2"/>
        <v>1761.666667</v>
      </c>
      <c r="J6" s="43"/>
      <c r="K6" s="183"/>
      <c r="L6" s="61"/>
      <c r="M6" s="61"/>
      <c r="N6" s="61"/>
      <c r="O6" s="61"/>
      <c r="P6" s="43"/>
      <c r="Q6" s="54"/>
      <c r="R6" s="54"/>
      <c r="S6" s="43">
        <v>521.0</v>
      </c>
      <c r="T6" s="43">
        <v>98.0</v>
      </c>
      <c r="U6" s="116">
        <f t="shared" ref="U6:V6" si="7">AVERAGE(Q6,S6)</f>
        <v>521</v>
      </c>
      <c r="V6" s="116">
        <f t="shared" si="7"/>
        <v>98</v>
      </c>
      <c r="W6" s="43"/>
      <c r="X6" s="43"/>
      <c r="Y6" s="43"/>
      <c r="Z6" s="43"/>
      <c r="AA6" s="43"/>
    </row>
    <row r="7" hidden="1">
      <c r="A7" s="206" t="s">
        <v>210</v>
      </c>
      <c r="B7" s="204"/>
      <c r="C7" s="195">
        <v>1433.0</v>
      </c>
      <c r="D7" s="195">
        <v>1268.0</v>
      </c>
      <c r="E7" s="195">
        <v>1492.0</v>
      </c>
      <c r="F7" s="196">
        <v>1309.0</v>
      </c>
      <c r="G7" s="196">
        <v>1034.0</v>
      </c>
      <c r="H7" s="205">
        <v>884.0</v>
      </c>
      <c r="I7" s="61">
        <f t="shared" si="2"/>
        <v>1075.666667</v>
      </c>
      <c r="J7" s="43"/>
      <c r="K7" s="183"/>
      <c r="L7" s="61"/>
      <c r="M7" s="61"/>
      <c r="N7" s="61"/>
      <c r="O7" s="61"/>
      <c r="P7" s="43"/>
      <c r="Q7" s="54"/>
      <c r="R7" s="54"/>
      <c r="S7" s="43">
        <v>1415.0</v>
      </c>
      <c r="T7" s="43">
        <v>184.0</v>
      </c>
      <c r="U7" s="116">
        <f t="shared" ref="U7:V7" si="8">AVERAGE(Q7,S7)</f>
        <v>1415</v>
      </c>
      <c r="V7" s="116">
        <f t="shared" si="8"/>
        <v>184</v>
      </c>
      <c r="W7" s="43"/>
      <c r="X7" s="43"/>
      <c r="Y7" s="43"/>
      <c r="Z7" s="43"/>
      <c r="AA7" s="43"/>
    </row>
    <row r="8" hidden="1">
      <c r="A8" s="193" t="s">
        <v>49</v>
      </c>
      <c r="B8" s="194"/>
      <c r="C8" s="195"/>
      <c r="D8" s="195"/>
      <c r="E8" s="195"/>
      <c r="F8" s="196">
        <v>292.0</v>
      </c>
      <c r="G8" s="196">
        <v>291.0</v>
      </c>
      <c r="H8" s="205">
        <v>252.0</v>
      </c>
      <c r="I8" s="61">
        <f t="shared" si="2"/>
        <v>278.3333333</v>
      </c>
      <c r="J8" s="43"/>
      <c r="K8" s="183"/>
      <c r="L8" s="61"/>
      <c r="M8" s="61"/>
      <c r="N8" s="61"/>
      <c r="O8" s="61"/>
      <c r="P8" s="43"/>
      <c r="Q8" s="54"/>
      <c r="R8" s="54"/>
      <c r="S8" s="43">
        <v>3.0</v>
      </c>
      <c r="T8" s="43">
        <v>2.0</v>
      </c>
      <c r="U8" s="116">
        <f t="shared" ref="U8:V8" si="9">AVERAGE(Q8,S8)</f>
        <v>3</v>
      </c>
      <c r="V8" s="116">
        <f t="shared" si="9"/>
        <v>2</v>
      </c>
      <c r="W8" s="43"/>
      <c r="X8" s="43"/>
      <c r="Y8" s="43"/>
      <c r="Z8" s="43"/>
      <c r="AA8" s="43"/>
    </row>
    <row r="9" hidden="1">
      <c r="A9" s="193" t="s">
        <v>211</v>
      </c>
      <c r="B9" s="194"/>
      <c r="C9" s="195"/>
      <c r="D9" s="196"/>
      <c r="E9" s="196"/>
      <c r="F9" s="196">
        <v>66.0</v>
      </c>
      <c r="G9" s="196">
        <v>86.0</v>
      </c>
      <c r="H9" s="205">
        <v>82.0</v>
      </c>
      <c r="I9" s="61">
        <f t="shared" si="2"/>
        <v>78</v>
      </c>
      <c r="J9" s="43"/>
      <c r="K9" s="183"/>
      <c r="L9" s="61"/>
      <c r="M9" s="61"/>
      <c r="N9" s="61"/>
      <c r="O9" s="61"/>
      <c r="P9" s="43"/>
      <c r="Q9" s="54"/>
      <c r="R9" s="54"/>
      <c r="S9" s="43">
        <v>29.0</v>
      </c>
      <c r="T9" s="43">
        <v>18.0</v>
      </c>
      <c r="U9" s="116">
        <f t="shared" ref="U9:V9" si="10">AVERAGE(Q9,S9)</f>
        <v>29</v>
      </c>
      <c r="V9" s="116">
        <f t="shared" si="10"/>
        <v>18</v>
      </c>
      <c r="W9" s="43"/>
      <c r="X9" s="43"/>
      <c r="Y9" s="43"/>
      <c r="Z9" s="43"/>
      <c r="AA9" s="43"/>
    </row>
    <row r="10">
      <c r="A10" s="53" t="s">
        <v>212</v>
      </c>
      <c r="B10" s="53"/>
      <c r="C10" s="183">
        <v>1006.0</v>
      </c>
      <c r="D10" s="61">
        <v>1006.0</v>
      </c>
      <c r="E10" s="61">
        <v>1009.0</v>
      </c>
      <c r="F10" s="61">
        <v>1015.0</v>
      </c>
      <c r="G10" s="61">
        <v>1008.0</v>
      </c>
      <c r="H10" s="144">
        <v>1013.0</v>
      </c>
      <c r="I10" s="61">
        <f t="shared" si="2"/>
        <v>1012</v>
      </c>
      <c r="J10" s="43"/>
      <c r="K10" s="183">
        <v>12236.0</v>
      </c>
      <c r="L10" s="61">
        <v>8029.0</v>
      </c>
      <c r="M10" s="61">
        <v>5891.0</v>
      </c>
      <c r="N10" s="61"/>
      <c r="O10" s="61">
        <f>AVERAGE(K10:M10)</f>
        <v>8718.666667</v>
      </c>
      <c r="P10" s="43"/>
      <c r="Q10" s="61">
        <v>2316.0</v>
      </c>
      <c r="R10" s="116">
        <v>573.0</v>
      </c>
      <c r="S10" s="43">
        <v>2433.0</v>
      </c>
      <c r="T10" s="43">
        <v>405.0</v>
      </c>
      <c r="U10" s="116">
        <f t="shared" ref="U10:V10" si="11">AVERAGE(Q10,S10)</f>
        <v>2374.5</v>
      </c>
      <c r="V10" s="116">
        <f t="shared" si="11"/>
        <v>489</v>
      </c>
      <c r="W10" s="43"/>
      <c r="X10" s="43"/>
      <c r="Y10" s="43"/>
      <c r="Z10" s="43"/>
      <c r="AA10" s="43"/>
    </row>
    <row r="11" hidden="1">
      <c r="A11" s="193" t="s">
        <v>57</v>
      </c>
      <c r="B11" s="194"/>
      <c r="C11" s="195"/>
      <c r="D11" s="195"/>
      <c r="E11" s="195"/>
      <c r="F11" s="196">
        <f>'FY21-22 fees'!K22</f>
        <v>2</v>
      </c>
      <c r="G11" s="196">
        <f>$F$11</f>
        <v>2</v>
      </c>
      <c r="H11" s="205">
        <v>2.0</v>
      </c>
      <c r="I11" s="61">
        <f t="shared" si="2"/>
        <v>2</v>
      </c>
      <c r="J11" s="43"/>
      <c r="K11" s="183"/>
      <c r="L11" s="61"/>
      <c r="M11" s="61"/>
      <c r="N11" s="61"/>
      <c r="O11" s="61"/>
      <c r="P11" s="43"/>
      <c r="Q11" s="54"/>
      <c r="R11" s="54"/>
      <c r="S11" s="43">
        <v>64.0</v>
      </c>
      <c r="T11" s="43">
        <v>66.0</v>
      </c>
      <c r="U11" s="116">
        <f t="shared" ref="U11:V11" si="12">AVERAGE(Q11,S11)</f>
        <v>64</v>
      </c>
      <c r="V11" s="116">
        <f t="shared" si="12"/>
        <v>66</v>
      </c>
      <c r="W11" s="43"/>
      <c r="X11" s="43"/>
      <c r="Y11" s="43"/>
      <c r="Z11" s="43"/>
      <c r="AA11" s="43"/>
    </row>
    <row r="12" hidden="1">
      <c r="A12" s="53" t="s">
        <v>60</v>
      </c>
      <c r="B12" s="53"/>
      <c r="C12" s="183">
        <v>2633.0</v>
      </c>
      <c r="D12" s="61">
        <v>2640.0</v>
      </c>
      <c r="E12" s="61">
        <v>2655.0</v>
      </c>
      <c r="F12" s="61">
        <v>2631.0</v>
      </c>
      <c r="G12" s="61">
        <v>2867.0</v>
      </c>
      <c r="H12" s="144">
        <v>2607.0</v>
      </c>
      <c r="I12" s="61">
        <f t="shared" si="2"/>
        <v>2701.666667</v>
      </c>
      <c r="J12" s="43"/>
      <c r="K12" s="183">
        <v>7846.0</v>
      </c>
      <c r="L12" s="61">
        <v>7039.0</v>
      </c>
      <c r="M12" s="61">
        <v>9101.0</v>
      </c>
      <c r="N12" s="61"/>
      <c r="O12" s="61">
        <f t="shared" ref="O12:O16" si="14">AVERAGE(K12:M12)</f>
        <v>7995.333333</v>
      </c>
      <c r="P12" s="43"/>
      <c r="Q12" s="61">
        <v>1066.0</v>
      </c>
      <c r="R12" s="61">
        <v>1825.0</v>
      </c>
      <c r="S12" s="43">
        <v>1040.0</v>
      </c>
      <c r="T12" s="43">
        <v>1285.0</v>
      </c>
      <c r="U12" s="116">
        <f t="shared" ref="U12:V12" si="13">AVERAGE(Q12,S12)</f>
        <v>1053</v>
      </c>
      <c r="V12" s="116">
        <f t="shared" si="13"/>
        <v>1555</v>
      </c>
      <c r="W12" s="43"/>
      <c r="X12" s="43"/>
      <c r="Y12" s="43"/>
      <c r="Z12" s="43"/>
      <c r="AA12" s="43"/>
    </row>
    <row r="13" hidden="1">
      <c r="A13" s="53" t="s">
        <v>213</v>
      </c>
      <c r="B13" s="53"/>
      <c r="C13" s="183">
        <v>1940.0</v>
      </c>
      <c r="D13" s="192">
        <v>1940.0</v>
      </c>
      <c r="E13" s="61">
        <v>1985.0</v>
      </c>
      <c r="F13" s="61">
        <v>1985.0</v>
      </c>
      <c r="G13" s="61">
        <v>1985.0</v>
      </c>
      <c r="H13" s="144">
        <v>1995.0</v>
      </c>
      <c r="I13" s="61">
        <f t="shared" si="2"/>
        <v>1988.333333</v>
      </c>
      <c r="J13" s="43"/>
      <c r="K13" s="183">
        <v>21530.0</v>
      </c>
      <c r="L13" s="61">
        <v>16584.0</v>
      </c>
      <c r="M13" s="61">
        <v>20707.0</v>
      </c>
      <c r="N13" s="61"/>
      <c r="O13" s="61">
        <f t="shared" si="14"/>
        <v>19607</v>
      </c>
      <c r="P13" s="43"/>
      <c r="Q13" s="61">
        <v>1260.0</v>
      </c>
      <c r="R13" s="61">
        <v>2483.0</v>
      </c>
      <c r="S13" s="43">
        <v>1002.0</v>
      </c>
      <c r="T13" s="43">
        <v>2492.0</v>
      </c>
      <c r="U13" s="116">
        <f t="shared" ref="U13:V13" si="15">AVERAGE(Q13,S13)</f>
        <v>1131</v>
      </c>
      <c r="V13" s="116">
        <f t="shared" si="15"/>
        <v>2487.5</v>
      </c>
      <c r="W13" s="43"/>
      <c r="X13" s="43"/>
      <c r="Y13" s="43"/>
      <c r="Z13" s="43"/>
      <c r="AA13" s="43"/>
    </row>
    <row r="14" hidden="1">
      <c r="A14" s="53" t="s">
        <v>214</v>
      </c>
      <c r="B14" s="53"/>
      <c r="C14" s="183">
        <v>475.0</v>
      </c>
      <c r="D14" s="61">
        <v>475.0</v>
      </c>
      <c r="E14" s="61">
        <v>475.0</v>
      </c>
      <c r="F14" s="61">
        <v>475.0</v>
      </c>
      <c r="G14" s="61">
        <v>475.0</v>
      </c>
      <c r="H14" s="144">
        <v>475.0</v>
      </c>
      <c r="I14" s="61">
        <f t="shared" si="2"/>
        <v>475</v>
      </c>
      <c r="J14" s="43"/>
      <c r="K14" s="183">
        <v>2240.0</v>
      </c>
      <c r="L14" s="61">
        <v>3264.0</v>
      </c>
      <c r="M14" s="61">
        <v>967.0</v>
      </c>
      <c r="N14" s="61"/>
      <c r="O14" s="61">
        <f t="shared" si="14"/>
        <v>2157</v>
      </c>
      <c r="P14" s="43"/>
      <c r="Q14" s="228">
        <v>0.0</v>
      </c>
      <c r="R14" s="228">
        <v>0.0</v>
      </c>
      <c r="S14" s="43">
        <v>69.0</v>
      </c>
      <c r="T14" s="43">
        <v>431.0</v>
      </c>
      <c r="U14" s="116">
        <f t="shared" ref="U14:V14" si="16">AVERAGE(Q14,S14)</f>
        <v>34.5</v>
      </c>
      <c r="V14" s="116">
        <f t="shared" si="16"/>
        <v>215.5</v>
      </c>
      <c r="W14" s="43"/>
      <c r="X14" s="43"/>
      <c r="Y14" s="43"/>
      <c r="Z14" s="43"/>
      <c r="AA14" s="43"/>
    </row>
    <row r="15" hidden="1">
      <c r="A15" s="53" t="s">
        <v>67</v>
      </c>
      <c r="B15" s="53"/>
      <c r="C15" s="215">
        <v>1975.0</v>
      </c>
      <c r="D15" s="192">
        <v>1385.0</v>
      </c>
      <c r="E15" s="61">
        <v>1385.0</v>
      </c>
      <c r="F15" s="61">
        <v>1375.0</v>
      </c>
      <c r="G15" s="61">
        <v>1375.0</v>
      </c>
      <c r="H15" s="144">
        <v>1375.0</v>
      </c>
      <c r="I15" s="61">
        <f t="shared" si="2"/>
        <v>1375</v>
      </c>
      <c r="J15" s="43"/>
      <c r="K15" s="183">
        <v>6854.0</v>
      </c>
      <c r="L15" s="61">
        <v>6165.0</v>
      </c>
      <c r="M15" s="61">
        <v>6404.0</v>
      </c>
      <c r="N15" s="61"/>
      <c r="O15" s="61">
        <f t="shared" si="14"/>
        <v>6474.333333</v>
      </c>
      <c r="P15" s="43"/>
      <c r="Q15" s="116">
        <v>321.0</v>
      </c>
      <c r="R15" s="116">
        <v>861.0</v>
      </c>
      <c r="S15" s="43">
        <v>412.0</v>
      </c>
      <c r="T15" s="43">
        <v>731.0</v>
      </c>
      <c r="U15" s="116">
        <f t="shared" ref="U15:V15" si="17">AVERAGE(Q15,S15)</f>
        <v>366.5</v>
      </c>
      <c r="V15" s="116">
        <f t="shared" si="17"/>
        <v>796</v>
      </c>
      <c r="W15" s="43"/>
      <c r="X15" s="43"/>
      <c r="Y15" s="43"/>
      <c r="Z15" s="43"/>
      <c r="AA15" s="43"/>
    </row>
    <row r="16" hidden="1">
      <c r="A16" s="53" t="s">
        <v>69</v>
      </c>
      <c r="B16" s="53"/>
      <c r="C16" s="183">
        <v>7430.0</v>
      </c>
      <c r="D16" s="61">
        <v>7410.0</v>
      </c>
      <c r="E16" s="61">
        <v>7415.0</v>
      </c>
      <c r="F16" s="61">
        <v>7400.0</v>
      </c>
      <c r="G16" s="61">
        <v>7360.0</v>
      </c>
      <c r="H16" s="144">
        <v>7315.0</v>
      </c>
      <c r="I16" s="61">
        <f t="shared" si="2"/>
        <v>7358.333333</v>
      </c>
      <c r="J16" s="43"/>
      <c r="K16" s="183">
        <v>17427.0</v>
      </c>
      <c r="L16" s="61">
        <v>18352.0</v>
      </c>
      <c r="M16" s="61">
        <v>27011.0</v>
      </c>
      <c r="N16" s="61"/>
      <c r="O16" s="61">
        <f t="shared" si="14"/>
        <v>20930</v>
      </c>
      <c r="P16" s="43"/>
      <c r="Q16" s="61">
        <v>1554.0</v>
      </c>
      <c r="R16" s="61">
        <v>1114.0</v>
      </c>
      <c r="S16" s="43">
        <v>1611.0</v>
      </c>
      <c r="T16" s="43">
        <v>985.0</v>
      </c>
      <c r="U16" s="116">
        <f t="shared" ref="U16:V16" si="18">AVERAGE(Q16,S16)</f>
        <v>1582.5</v>
      </c>
      <c r="V16" s="116">
        <f t="shared" si="18"/>
        <v>1049.5</v>
      </c>
      <c r="W16" s="43"/>
      <c r="X16" s="43"/>
      <c r="Y16" s="43"/>
      <c r="Z16" s="43"/>
      <c r="AA16" s="43"/>
    </row>
    <row r="17" hidden="1">
      <c r="A17" s="194" t="s">
        <v>72</v>
      </c>
      <c r="B17" s="194"/>
      <c r="C17" s="195"/>
      <c r="D17" s="195"/>
      <c r="E17" s="195"/>
      <c r="F17" s="196">
        <f>'FY21-22 fees'!K28</f>
        <v>24.33333333</v>
      </c>
      <c r="G17" s="196">
        <f>$F$17</f>
        <v>24.33333333</v>
      </c>
      <c r="H17" s="205">
        <v>24.333333333333332</v>
      </c>
      <c r="I17" s="61">
        <f t="shared" si="2"/>
        <v>24.33333333</v>
      </c>
      <c r="J17" s="43"/>
      <c r="K17" s="183"/>
      <c r="L17" s="61"/>
      <c r="M17" s="61"/>
      <c r="N17" s="61"/>
      <c r="O17" s="61"/>
      <c r="P17" s="43"/>
      <c r="Q17" s="54"/>
      <c r="R17" s="54"/>
      <c r="S17" s="43">
        <v>215.0</v>
      </c>
      <c r="T17" s="43">
        <v>49.0</v>
      </c>
      <c r="U17" s="116">
        <f t="shared" ref="U17:V17" si="19">AVERAGE(Q17,S17)</f>
        <v>215</v>
      </c>
      <c r="V17" s="116">
        <f t="shared" si="19"/>
        <v>49</v>
      </c>
      <c r="W17" s="43"/>
      <c r="X17" s="43"/>
      <c r="Y17" s="43"/>
      <c r="Z17" s="43"/>
      <c r="AA17" s="43"/>
    </row>
    <row r="18" hidden="1">
      <c r="A18" s="216" t="s">
        <v>75</v>
      </c>
      <c r="B18" s="53"/>
      <c r="C18" s="183">
        <v>7295.0</v>
      </c>
      <c r="D18" s="61">
        <v>7320.0</v>
      </c>
      <c r="E18" s="61">
        <v>7360.0</v>
      </c>
      <c r="F18" s="61">
        <v>7380.0</v>
      </c>
      <c r="G18" s="61">
        <v>7360.0</v>
      </c>
      <c r="H18" s="144">
        <v>7280.0</v>
      </c>
      <c r="I18" s="61">
        <f t="shared" si="2"/>
        <v>7340</v>
      </c>
      <c r="J18" s="43"/>
      <c r="K18" s="183">
        <v>48335.0</v>
      </c>
      <c r="L18" s="61">
        <v>45403.0</v>
      </c>
      <c r="M18" s="61">
        <v>42033.0</v>
      </c>
      <c r="N18" s="61"/>
      <c r="O18" s="61">
        <f t="shared" ref="O18:O19" si="21">AVERAGE(K18:M18)</f>
        <v>45257</v>
      </c>
      <c r="P18" s="43"/>
      <c r="Q18" s="61">
        <v>2594.0</v>
      </c>
      <c r="R18" s="61">
        <v>3005.0</v>
      </c>
      <c r="S18" s="43">
        <v>2304.0</v>
      </c>
      <c r="T18" s="43">
        <v>3214.0</v>
      </c>
      <c r="U18" s="116">
        <f t="shared" ref="U18:V18" si="20">AVERAGE(Q18,S18)</f>
        <v>2449</v>
      </c>
      <c r="V18" s="116">
        <f t="shared" si="20"/>
        <v>3109.5</v>
      </c>
      <c r="W18" s="43"/>
      <c r="X18" s="43"/>
      <c r="Y18" s="43"/>
      <c r="Z18" s="43"/>
      <c r="AA18" s="43"/>
    </row>
    <row r="19">
      <c r="A19" s="53" t="s">
        <v>215</v>
      </c>
      <c r="B19" s="53"/>
      <c r="C19" s="183">
        <v>278.0</v>
      </c>
      <c r="D19" s="192">
        <v>259.0</v>
      </c>
      <c r="E19" s="61">
        <v>279.0</v>
      </c>
      <c r="F19" s="61">
        <v>279.0</v>
      </c>
      <c r="G19" s="61">
        <v>277.0</v>
      </c>
      <c r="H19" s="144">
        <v>281.0</v>
      </c>
      <c r="I19" s="61">
        <f t="shared" si="2"/>
        <v>279</v>
      </c>
      <c r="J19" s="43"/>
      <c r="K19" s="183">
        <v>2278.0</v>
      </c>
      <c r="L19" s="61">
        <v>1872.0</v>
      </c>
      <c r="M19" s="61">
        <v>2061.0</v>
      </c>
      <c r="N19" s="61"/>
      <c r="O19" s="61">
        <f t="shared" si="21"/>
        <v>2070.333333</v>
      </c>
      <c r="P19" s="43"/>
      <c r="Q19" s="116">
        <v>280.0</v>
      </c>
      <c r="R19" s="116">
        <v>543.0</v>
      </c>
      <c r="S19" s="43">
        <v>355.0</v>
      </c>
      <c r="T19" s="43">
        <v>400.0</v>
      </c>
      <c r="U19" s="116">
        <f t="shared" ref="U19:V19" si="22">AVERAGE(Q19,S19)</f>
        <v>317.5</v>
      </c>
      <c r="V19" s="116">
        <f t="shared" si="22"/>
        <v>471.5</v>
      </c>
      <c r="W19" s="43"/>
      <c r="X19" s="43"/>
      <c r="Y19" s="43"/>
      <c r="Z19" s="43"/>
      <c r="AA19" s="43"/>
    </row>
    <row r="20" hidden="1">
      <c r="A20" s="193" t="s">
        <v>216</v>
      </c>
      <c r="B20" s="194"/>
      <c r="C20" s="195"/>
      <c r="D20" s="195"/>
      <c r="E20" s="195"/>
      <c r="F20" s="196">
        <f>'FY21-22 fees'!K31</f>
        <v>2</v>
      </c>
      <c r="G20" s="196">
        <f>$F$20</f>
        <v>2</v>
      </c>
      <c r="H20" s="205">
        <v>2.0</v>
      </c>
      <c r="I20" s="61">
        <f t="shared" si="2"/>
        <v>2</v>
      </c>
      <c r="J20" s="43"/>
      <c r="K20" s="183"/>
      <c r="L20" s="61"/>
      <c r="M20" s="61"/>
      <c r="N20" s="61"/>
      <c r="O20" s="61"/>
      <c r="P20" s="43"/>
      <c r="Q20" s="54"/>
      <c r="R20" s="54"/>
      <c r="S20" s="43">
        <v>104.0</v>
      </c>
      <c r="T20" s="43">
        <v>1.0</v>
      </c>
      <c r="U20" s="116">
        <f t="shared" ref="U20:V20" si="23">AVERAGE(Q20,S20)</f>
        <v>104</v>
      </c>
      <c r="V20" s="116">
        <f t="shared" si="23"/>
        <v>1</v>
      </c>
      <c r="W20" s="43"/>
      <c r="X20" s="43"/>
      <c r="Y20" s="43"/>
      <c r="Z20" s="43"/>
      <c r="AA20" s="43"/>
    </row>
    <row r="21" ht="15.75" customHeight="1">
      <c r="A21" s="53" t="s">
        <v>81</v>
      </c>
      <c r="B21" s="53"/>
      <c r="C21" s="183">
        <v>25003.0</v>
      </c>
      <c r="D21" s="192">
        <v>23534.0</v>
      </c>
      <c r="E21" s="61">
        <v>25752.0</v>
      </c>
      <c r="F21" s="61">
        <v>26016.0</v>
      </c>
      <c r="G21" s="61">
        <v>26140.0</v>
      </c>
      <c r="H21" s="144">
        <v>26419.0</v>
      </c>
      <c r="I21" s="61">
        <f t="shared" si="2"/>
        <v>26191.66667</v>
      </c>
      <c r="J21" s="43"/>
      <c r="K21" s="183">
        <v>75399.0</v>
      </c>
      <c r="L21" s="61">
        <v>66487.0</v>
      </c>
      <c r="M21" s="61">
        <v>81820.0</v>
      </c>
      <c r="N21" s="61"/>
      <c r="O21" s="61">
        <f>AVERAGE(K21:M21)</f>
        <v>74568.66667</v>
      </c>
      <c r="P21" s="43"/>
      <c r="Q21" s="61">
        <v>2736.0</v>
      </c>
      <c r="R21" s="61">
        <v>4848.0</v>
      </c>
      <c r="S21" s="43">
        <v>3186.0</v>
      </c>
      <c r="T21" s="43">
        <v>4699.0</v>
      </c>
      <c r="U21" s="116">
        <f t="shared" ref="U21:V21" si="24">AVERAGE(Q21,S21)</f>
        <v>2961</v>
      </c>
      <c r="V21" s="116">
        <f t="shared" si="24"/>
        <v>4773.5</v>
      </c>
      <c r="W21" s="43"/>
      <c r="X21" s="43"/>
      <c r="Y21" s="43"/>
      <c r="Z21" s="43"/>
      <c r="AA21" s="43"/>
    </row>
    <row r="22" ht="15.75" hidden="1" customHeight="1">
      <c r="A22" s="206" t="s">
        <v>217</v>
      </c>
      <c r="B22" s="204"/>
      <c r="C22" s="195"/>
      <c r="D22" s="195"/>
      <c r="E22" s="195"/>
      <c r="F22" s="196">
        <v>200.0</v>
      </c>
      <c r="G22" s="196">
        <v>208.0</v>
      </c>
      <c r="H22" s="205">
        <v>174.0</v>
      </c>
      <c r="I22" s="61">
        <f t="shared" si="2"/>
        <v>194</v>
      </c>
      <c r="J22" s="43"/>
      <c r="K22" s="183"/>
      <c r="L22" s="61"/>
      <c r="M22" s="61"/>
      <c r="N22" s="61"/>
      <c r="O22" s="61"/>
      <c r="P22" s="43"/>
      <c r="Q22" s="54"/>
      <c r="R22" s="54"/>
      <c r="S22" s="43">
        <v>116.0</v>
      </c>
      <c r="T22" s="43">
        <v>111.0</v>
      </c>
      <c r="U22" s="116">
        <f t="shared" ref="U22:V22" si="25">AVERAGE(Q22,S22)</f>
        <v>116</v>
      </c>
      <c r="V22" s="116">
        <f t="shared" si="25"/>
        <v>111</v>
      </c>
      <c r="W22" s="43"/>
      <c r="X22" s="43"/>
      <c r="Y22" s="43"/>
      <c r="Z22" s="43"/>
      <c r="AA22" s="43"/>
    </row>
    <row r="23" ht="15.75" hidden="1" customHeight="1">
      <c r="A23" s="53" t="s">
        <v>86</v>
      </c>
      <c r="B23" s="53"/>
      <c r="C23" s="183">
        <v>24245.0</v>
      </c>
      <c r="D23" s="61">
        <v>24735.0</v>
      </c>
      <c r="E23" s="61">
        <v>25145.0</v>
      </c>
      <c r="F23" s="61">
        <v>25310.0</v>
      </c>
      <c r="G23" s="61">
        <v>25480.0</v>
      </c>
      <c r="H23" s="144">
        <v>25640.0</v>
      </c>
      <c r="I23" s="61">
        <f t="shared" si="2"/>
        <v>25476.66667</v>
      </c>
      <c r="J23" s="43"/>
      <c r="K23" s="183">
        <v>138307.0</v>
      </c>
      <c r="L23" s="61">
        <v>135436.0</v>
      </c>
      <c r="M23" s="61">
        <v>134270.0</v>
      </c>
      <c r="N23" s="61"/>
      <c r="O23" s="61">
        <f>AVERAGE(K23:M23)</f>
        <v>136004.3333</v>
      </c>
      <c r="P23" s="43"/>
      <c r="Q23" s="54">
        <v>12944.0</v>
      </c>
      <c r="R23" s="54">
        <v>12591.0</v>
      </c>
      <c r="S23" s="43">
        <v>9559.0</v>
      </c>
      <c r="T23" s="43">
        <v>10381.0</v>
      </c>
      <c r="U23" s="116">
        <f t="shared" ref="U23:V23" si="26">AVERAGE(Q23,S23)</f>
        <v>11251.5</v>
      </c>
      <c r="V23" s="116">
        <f t="shared" si="26"/>
        <v>11486</v>
      </c>
      <c r="W23" s="43"/>
      <c r="X23" s="43"/>
      <c r="Y23" s="43"/>
      <c r="Z23" s="43"/>
      <c r="AA23" s="43"/>
    </row>
    <row r="24" ht="15.75" hidden="1" customHeight="1">
      <c r="A24" s="193" t="s">
        <v>218</v>
      </c>
      <c r="B24" s="194"/>
      <c r="C24" s="195"/>
      <c r="D24" s="195"/>
      <c r="E24" s="195"/>
      <c r="F24" s="196">
        <f>'FY21-22 fees'!K35</f>
        <v>2288.333333</v>
      </c>
      <c r="G24" s="196">
        <v>1327.0</v>
      </c>
      <c r="H24" s="205">
        <v>1318.0</v>
      </c>
      <c r="I24" s="61">
        <f t="shared" si="2"/>
        <v>1644.444444</v>
      </c>
      <c r="J24" s="43"/>
      <c r="K24" s="183"/>
      <c r="L24" s="61"/>
      <c r="M24" s="61"/>
      <c r="N24" s="61"/>
      <c r="O24" s="61"/>
      <c r="P24" s="43"/>
      <c r="Q24" s="54"/>
      <c r="R24" s="54"/>
      <c r="S24" s="43">
        <v>337.0</v>
      </c>
      <c r="T24" s="43">
        <v>231.0</v>
      </c>
      <c r="U24" s="116">
        <f t="shared" ref="U24:V24" si="27">AVERAGE(Q24,S24)</f>
        <v>337</v>
      </c>
      <c r="V24" s="116">
        <f t="shared" si="27"/>
        <v>231</v>
      </c>
      <c r="W24" s="43"/>
      <c r="X24" s="43"/>
      <c r="Y24" s="43"/>
      <c r="Z24" s="43"/>
      <c r="AA24" s="43"/>
    </row>
    <row r="25" ht="15.75" hidden="1" customHeight="1">
      <c r="A25" s="193" t="s">
        <v>219</v>
      </c>
      <c r="B25" s="194"/>
      <c r="C25" s="195"/>
      <c r="D25" s="195"/>
      <c r="E25" s="195"/>
      <c r="F25" s="196">
        <f>'FY21-22 fees'!K36</f>
        <v>128.3333333</v>
      </c>
      <c r="G25" s="196">
        <v>92.0</v>
      </c>
      <c r="H25" s="205">
        <v>21.0</v>
      </c>
      <c r="I25" s="61">
        <f t="shared" si="2"/>
        <v>80.44444444</v>
      </c>
      <c r="J25" s="43"/>
      <c r="K25" s="183"/>
      <c r="L25" s="61"/>
      <c r="M25" s="61"/>
      <c r="N25" s="61"/>
      <c r="O25" s="61"/>
      <c r="P25" s="43"/>
      <c r="Q25" s="54"/>
      <c r="R25" s="54"/>
      <c r="S25" s="43">
        <v>0.0</v>
      </c>
      <c r="T25" s="43">
        <v>6.0</v>
      </c>
      <c r="U25" s="116">
        <f t="shared" ref="U25:V25" si="28">AVERAGE(Q25,S25)</f>
        <v>0</v>
      </c>
      <c r="V25" s="116">
        <f t="shared" si="28"/>
        <v>6</v>
      </c>
      <c r="W25" s="43"/>
      <c r="X25" s="43"/>
      <c r="Y25" s="43"/>
      <c r="Z25" s="43"/>
      <c r="AA25" s="43"/>
    </row>
    <row r="26" ht="15.75" hidden="1" customHeight="1">
      <c r="A26" s="53" t="s">
        <v>93</v>
      </c>
      <c r="B26" s="53"/>
      <c r="C26" s="183">
        <v>936.0</v>
      </c>
      <c r="D26" s="192">
        <v>936.0</v>
      </c>
      <c r="E26" s="61">
        <v>886.0</v>
      </c>
      <c r="F26" s="61">
        <v>815.0</v>
      </c>
      <c r="G26" s="61">
        <v>879.0</v>
      </c>
      <c r="H26" s="144">
        <v>861.0</v>
      </c>
      <c r="I26" s="61">
        <f t="shared" si="2"/>
        <v>851.6666667</v>
      </c>
      <c r="J26" s="43"/>
      <c r="K26" s="183">
        <v>2348.0</v>
      </c>
      <c r="L26" s="61">
        <v>2549.0</v>
      </c>
      <c r="M26" s="61">
        <v>2533.0</v>
      </c>
      <c r="N26" s="61"/>
      <c r="O26" s="61">
        <f>AVERAGE(K26:M26)</f>
        <v>2476.666667</v>
      </c>
      <c r="P26" s="43"/>
      <c r="Q26" s="116">
        <v>349.0</v>
      </c>
      <c r="R26" s="116">
        <v>484.0</v>
      </c>
      <c r="S26" s="43">
        <v>314.0</v>
      </c>
      <c r="T26" s="43">
        <v>442.0</v>
      </c>
      <c r="U26" s="116">
        <f t="shared" ref="U26:V26" si="29">AVERAGE(Q26,S26)</f>
        <v>331.5</v>
      </c>
      <c r="V26" s="116">
        <f t="shared" si="29"/>
        <v>463</v>
      </c>
      <c r="W26" s="43"/>
      <c r="X26" s="43"/>
      <c r="Y26" s="43"/>
      <c r="Z26" s="43"/>
      <c r="AA26" s="43"/>
    </row>
    <row r="27" ht="15.75" hidden="1" customHeight="1">
      <c r="A27" s="193" t="s">
        <v>95</v>
      </c>
      <c r="B27" s="194"/>
      <c r="C27" s="195"/>
      <c r="D27" s="195"/>
      <c r="E27" s="195"/>
      <c r="F27" s="196">
        <f>'FY21-22 fees'!K38</f>
        <v>2</v>
      </c>
      <c r="G27" s="196">
        <f>$F$27</f>
        <v>2</v>
      </c>
      <c r="H27" s="205">
        <v>2.0</v>
      </c>
      <c r="I27" s="61">
        <f t="shared" si="2"/>
        <v>2</v>
      </c>
      <c r="J27" s="43"/>
      <c r="K27" s="183"/>
      <c r="L27" s="61"/>
      <c r="M27" s="61"/>
      <c r="N27" s="61"/>
      <c r="O27" s="61"/>
      <c r="P27" s="43"/>
      <c r="Q27" s="54"/>
      <c r="R27" s="54"/>
      <c r="S27" s="43">
        <v>1.0</v>
      </c>
      <c r="T27" s="43">
        <v>65.0</v>
      </c>
      <c r="U27" s="116">
        <f t="shared" ref="U27:V27" si="30">AVERAGE(Q27,S27)</f>
        <v>1</v>
      </c>
      <c r="V27" s="116">
        <f t="shared" si="30"/>
        <v>65</v>
      </c>
      <c r="W27" s="43"/>
      <c r="X27" s="43"/>
      <c r="Y27" s="43"/>
      <c r="Z27" s="43"/>
      <c r="AA27" s="43"/>
    </row>
    <row r="28" ht="15.75" hidden="1" customHeight="1">
      <c r="A28" s="53" t="s">
        <v>220</v>
      </c>
      <c r="B28" s="53"/>
      <c r="C28" s="183">
        <v>1095.0</v>
      </c>
      <c r="D28" s="192">
        <v>1120.0</v>
      </c>
      <c r="E28" s="61">
        <v>1120.0</v>
      </c>
      <c r="F28" s="61">
        <v>1120.0</v>
      </c>
      <c r="G28" s="61">
        <v>1120.0</v>
      </c>
      <c r="H28" s="144">
        <v>1120.0</v>
      </c>
      <c r="I28" s="61">
        <f t="shared" si="2"/>
        <v>1120</v>
      </c>
      <c r="J28" s="43"/>
      <c r="K28" s="183">
        <v>17014.0</v>
      </c>
      <c r="L28" s="61">
        <v>21007.0</v>
      </c>
      <c r="M28" s="61">
        <v>19703.0</v>
      </c>
      <c r="N28" s="61"/>
      <c r="O28" s="61">
        <f>AVERAGE(K28:M28)</f>
        <v>19241.33333</v>
      </c>
      <c r="P28" s="43"/>
      <c r="Q28" s="61">
        <v>1090.0</v>
      </c>
      <c r="R28" s="61">
        <v>1943.0</v>
      </c>
      <c r="S28" s="43">
        <v>828.0</v>
      </c>
      <c r="T28" s="43">
        <v>1042.0</v>
      </c>
      <c r="U28" s="116">
        <f t="shared" ref="U28:V28" si="31">AVERAGE(Q28,S28)</f>
        <v>959</v>
      </c>
      <c r="V28" s="116">
        <f t="shared" si="31"/>
        <v>1492.5</v>
      </c>
      <c r="W28" s="43"/>
      <c r="X28" s="43"/>
      <c r="Y28" s="43"/>
      <c r="Z28" s="43"/>
      <c r="AA28" s="43"/>
    </row>
    <row r="29" ht="15.75" hidden="1" customHeight="1">
      <c r="A29" s="193" t="s">
        <v>99</v>
      </c>
      <c r="B29" s="194"/>
      <c r="C29" s="195"/>
      <c r="D29" s="195"/>
      <c r="E29" s="195"/>
      <c r="F29" s="196">
        <f>'FY21-22 fees'!K40</f>
        <v>1</v>
      </c>
      <c r="G29" s="196">
        <f>F29</f>
        <v>1</v>
      </c>
      <c r="H29" s="205">
        <v>1.0</v>
      </c>
      <c r="I29" s="61">
        <f t="shared" si="2"/>
        <v>1</v>
      </c>
      <c r="J29" s="43"/>
      <c r="K29" s="183"/>
      <c r="L29" s="61"/>
      <c r="M29" s="61"/>
      <c r="N29" s="61"/>
      <c r="O29" s="61"/>
      <c r="P29" s="43"/>
      <c r="Q29" s="54"/>
      <c r="R29" s="54"/>
      <c r="S29" s="43">
        <v>0.0</v>
      </c>
      <c r="T29" s="43">
        <v>0.0</v>
      </c>
      <c r="U29" s="116">
        <f t="shared" ref="U29:V29" si="32">AVERAGE(Q29,S29)</f>
        <v>0</v>
      </c>
      <c r="V29" s="116">
        <f t="shared" si="32"/>
        <v>0</v>
      </c>
      <c r="W29" s="43"/>
      <c r="X29" s="43"/>
      <c r="Y29" s="43"/>
      <c r="Z29" s="43"/>
      <c r="AA29" s="43"/>
    </row>
    <row r="30" ht="15.75" hidden="1" customHeight="1">
      <c r="A30" s="206" t="s">
        <v>221</v>
      </c>
      <c r="B30" s="204"/>
      <c r="C30" s="195">
        <v>1874.0</v>
      </c>
      <c r="D30" s="195">
        <v>2217.0</v>
      </c>
      <c r="E30" s="195">
        <v>1954.0</v>
      </c>
      <c r="F30" s="196">
        <v>2161.0</v>
      </c>
      <c r="G30" s="196">
        <v>1797.0</v>
      </c>
      <c r="H30" s="205">
        <v>1478.0</v>
      </c>
      <c r="I30" s="61">
        <f t="shared" si="2"/>
        <v>1812</v>
      </c>
      <c r="J30" s="43"/>
      <c r="K30" s="183"/>
      <c r="L30" s="61"/>
      <c r="M30" s="61"/>
      <c r="N30" s="61"/>
      <c r="O30" s="61"/>
      <c r="P30" s="43"/>
      <c r="Q30" s="54"/>
      <c r="R30" s="54"/>
      <c r="S30" s="43">
        <v>415.0</v>
      </c>
      <c r="T30" s="43">
        <v>61.0</v>
      </c>
      <c r="U30" s="116">
        <f t="shared" ref="U30:V30" si="33">AVERAGE(Q30,S30)</f>
        <v>415</v>
      </c>
      <c r="V30" s="116">
        <f t="shared" si="33"/>
        <v>61</v>
      </c>
      <c r="W30" s="43"/>
      <c r="X30" s="43"/>
      <c r="Y30" s="43"/>
      <c r="Z30" s="43"/>
      <c r="AA30" s="43"/>
    </row>
    <row r="31" ht="15.75" hidden="1" customHeight="1">
      <c r="A31" s="53" t="s">
        <v>222</v>
      </c>
      <c r="B31" s="53"/>
      <c r="C31" s="183">
        <v>20042.0</v>
      </c>
      <c r="D31" s="61">
        <v>20145.0</v>
      </c>
      <c r="E31" s="61">
        <v>20262.0</v>
      </c>
      <c r="F31" s="61">
        <v>20291.0</v>
      </c>
      <c r="G31" s="61">
        <v>22022.0</v>
      </c>
      <c r="H31" s="144">
        <v>20284.0</v>
      </c>
      <c r="I31" s="61">
        <f t="shared" si="2"/>
        <v>20865.66667</v>
      </c>
      <c r="J31" s="43"/>
      <c r="K31" s="183">
        <v>145706.0</v>
      </c>
      <c r="L31" s="61">
        <v>129927.0</v>
      </c>
      <c r="M31" s="61">
        <v>130536.0</v>
      </c>
      <c r="N31" s="61"/>
      <c r="O31" s="61">
        <f t="shared" ref="O31:O36" si="35">AVERAGE(K31:M31)</f>
        <v>135389.6667</v>
      </c>
      <c r="P31" s="43"/>
      <c r="Q31" s="61">
        <v>4047.0</v>
      </c>
      <c r="R31" s="61">
        <v>8041.0</v>
      </c>
      <c r="S31" s="43">
        <v>3729.0</v>
      </c>
      <c r="T31" s="43">
        <v>7574.0</v>
      </c>
      <c r="U31" s="116">
        <f t="shared" ref="U31:V31" si="34">AVERAGE(Q31,S31)</f>
        <v>3888</v>
      </c>
      <c r="V31" s="116">
        <f t="shared" si="34"/>
        <v>7807.5</v>
      </c>
      <c r="W31" s="43"/>
      <c r="X31" s="43"/>
      <c r="Y31" s="43"/>
      <c r="Z31" s="43"/>
      <c r="AA31" s="43"/>
    </row>
    <row r="32" ht="15.75" hidden="1" customHeight="1">
      <c r="A32" s="53" t="s">
        <v>248</v>
      </c>
      <c r="B32" s="53"/>
      <c r="C32" s="183">
        <v>8010.0</v>
      </c>
      <c r="D32" s="61">
        <v>8015.0</v>
      </c>
      <c r="E32" s="61">
        <v>8120.0</v>
      </c>
      <c r="F32" s="61">
        <v>8115.0</v>
      </c>
      <c r="G32" s="61">
        <v>8080.0</v>
      </c>
      <c r="H32" s="144">
        <v>8075.0</v>
      </c>
      <c r="I32" s="61">
        <f t="shared" si="2"/>
        <v>8090</v>
      </c>
      <c r="J32" s="43"/>
      <c r="K32" s="183">
        <v>49015.0</v>
      </c>
      <c r="L32" s="61">
        <v>44705.0</v>
      </c>
      <c r="M32" s="61">
        <v>41956.0</v>
      </c>
      <c r="N32" s="61"/>
      <c r="O32" s="61">
        <f t="shared" si="35"/>
        <v>45225.33333</v>
      </c>
      <c r="P32" s="43"/>
      <c r="Q32" s="61">
        <v>2157.0</v>
      </c>
      <c r="R32" s="61">
        <v>3307.0</v>
      </c>
      <c r="S32" s="43">
        <v>2262.0</v>
      </c>
      <c r="T32" s="43">
        <v>3487.0</v>
      </c>
      <c r="U32" s="116">
        <f t="shared" ref="U32:V32" si="36">AVERAGE(Q32,S32)</f>
        <v>2209.5</v>
      </c>
      <c r="V32" s="116">
        <f t="shared" si="36"/>
        <v>3397</v>
      </c>
      <c r="W32" s="43"/>
      <c r="X32" s="43"/>
      <c r="Y32" s="43"/>
      <c r="Z32" s="43"/>
      <c r="AA32" s="43"/>
    </row>
    <row r="33" ht="15.75" customHeight="1">
      <c r="A33" s="53" t="s">
        <v>223</v>
      </c>
      <c r="B33" s="53"/>
      <c r="C33" s="183">
        <v>10091.0</v>
      </c>
      <c r="D33" s="61">
        <v>10091.0</v>
      </c>
      <c r="E33" s="61">
        <v>10123.0</v>
      </c>
      <c r="F33" s="61">
        <v>10156.0</v>
      </c>
      <c r="G33" s="61">
        <v>10142.0</v>
      </c>
      <c r="H33" s="144">
        <v>10146.0</v>
      </c>
      <c r="I33" s="61">
        <f t="shared" si="2"/>
        <v>10148</v>
      </c>
      <c r="J33" s="43"/>
      <c r="K33" s="183">
        <v>46697.0</v>
      </c>
      <c r="L33" s="61">
        <v>46393.0</v>
      </c>
      <c r="M33" s="61">
        <v>47054.0</v>
      </c>
      <c r="N33" s="61"/>
      <c r="O33" s="61">
        <f t="shared" si="35"/>
        <v>46714.66667</v>
      </c>
      <c r="P33" s="43"/>
      <c r="Q33" s="61">
        <v>2946.0</v>
      </c>
      <c r="R33" s="61">
        <v>3407.0</v>
      </c>
      <c r="S33" s="43">
        <v>3094.0</v>
      </c>
      <c r="T33" s="43">
        <v>4063.0</v>
      </c>
      <c r="U33" s="116">
        <f t="shared" ref="U33:V33" si="37">AVERAGE(Q33,S33)</f>
        <v>3020</v>
      </c>
      <c r="V33" s="116">
        <f t="shared" si="37"/>
        <v>3735</v>
      </c>
      <c r="W33" s="43"/>
      <c r="X33" s="43"/>
      <c r="Y33" s="43"/>
      <c r="Z33" s="43"/>
      <c r="AA33" s="43"/>
    </row>
    <row r="34" ht="15.75" hidden="1" customHeight="1">
      <c r="A34" s="53" t="s">
        <v>224</v>
      </c>
      <c r="B34" s="53"/>
      <c r="C34" s="183">
        <v>677.0</v>
      </c>
      <c r="D34" s="61">
        <v>679.0</v>
      </c>
      <c r="E34" s="61">
        <v>683.0</v>
      </c>
      <c r="F34" s="61">
        <v>677.0</v>
      </c>
      <c r="G34" s="61">
        <v>737.0</v>
      </c>
      <c r="H34" s="144">
        <v>671.0</v>
      </c>
      <c r="I34" s="61">
        <f t="shared" si="2"/>
        <v>695</v>
      </c>
      <c r="J34" s="43"/>
      <c r="K34" s="183">
        <v>1570.0</v>
      </c>
      <c r="L34" s="61">
        <v>2128.0</v>
      </c>
      <c r="M34" s="61">
        <v>1989.0</v>
      </c>
      <c r="N34" s="61"/>
      <c r="O34" s="61">
        <f t="shared" si="35"/>
        <v>1895.666667</v>
      </c>
      <c r="P34" s="43"/>
      <c r="Q34" s="116">
        <v>316.0</v>
      </c>
      <c r="R34" s="116">
        <v>185.0</v>
      </c>
      <c r="S34" s="43">
        <v>302.0</v>
      </c>
      <c r="T34" s="43">
        <v>306.0</v>
      </c>
      <c r="U34" s="116">
        <f t="shared" ref="U34:V34" si="38">AVERAGE(Q34,S34)</f>
        <v>309</v>
      </c>
      <c r="V34" s="116">
        <f t="shared" si="38"/>
        <v>245.5</v>
      </c>
      <c r="W34" s="43"/>
      <c r="X34" s="43"/>
      <c r="Y34" s="43"/>
      <c r="Z34" s="43"/>
      <c r="AA34" s="43"/>
    </row>
    <row r="35" ht="15.75" hidden="1" customHeight="1">
      <c r="A35" s="53" t="s">
        <v>112</v>
      </c>
      <c r="B35" s="53"/>
      <c r="C35" s="183">
        <v>3285.0</v>
      </c>
      <c r="D35" s="61">
        <v>3285.0</v>
      </c>
      <c r="E35" s="61">
        <v>3285.0</v>
      </c>
      <c r="F35" s="61">
        <v>3310.0</v>
      </c>
      <c r="G35" s="61">
        <v>3320.0</v>
      </c>
      <c r="H35" s="144">
        <v>3340.0</v>
      </c>
      <c r="I35" s="61">
        <f t="shared" si="2"/>
        <v>3323.333333</v>
      </c>
      <c r="J35" s="43"/>
      <c r="K35" s="183">
        <v>19226.0</v>
      </c>
      <c r="L35" s="61">
        <v>16129.0</v>
      </c>
      <c r="M35" s="61">
        <v>15145.0</v>
      </c>
      <c r="N35" s="61"/>
      <c r="O35" s="61">
        <f t="shared" si="35"/>
        <v>16833.33333</v>
      </c>
      <c r="P35" s="43"/>
      <c r="Q35" s="116">
        <v>946.0</v>
      </c>
      <c r="R35" s="61">
        <v>1372.0</v>
      </c>
      <c r="S35" s="43">
        <v>959.0</v>
      </c>
      <c r="T35" s="43">
        <v>1193.0</v>
      </c>
      <c r="U35" s="116">
        <f t="shared" ref="U35:V35" si="39">AVERAGE(Q35,S35)</f>
        <v>952.5</v>
      </c>
      <c r="V35" s="116">
        <f t="shared" si="39"/>
        <v>1282.5</v>
      </c>
      <c r="W35" s="43"/>
      <c r="X35" s="43"/>
      <c r="Y35" s="43"/>
      <c r="Z35" s="43"/>
      <c r="AA35" s="43"/>
    </row>
    <row r="36" ht="15.75" hidden="1" customHeight="1">
      <c r="A36" s="53" t="s">
        <v>114</v>
      </c>
      <c r="B36" s="53"/>
      <c r="C36" s="183">
        <v>26320.0</v>
      </c>
      <c r="D36" s="61">
        <v>26535.0</v>
      </c>
      <c r="E36" s="61">
        <v>26645.0</v>
      </c>
      <c r="F36" s="61">
        <v>26665.0</v>
      </c>
      <c r="G36" s="61">
        <v>26835.0</v>
      </c>
      <c r="H36" s="144">
        <v>26890.0</v>
      </c>
      <c r="I36" s="61">
        <f t="shared" si="2"/>
        <v>26796.66667</v>
      </c>
      <c r="J36" s="43"/>
      <c r="K36" s="183">
        <v>74651.0</v>
      </c>
      <c r="L36" s="61">
        <v>77664.0</v>
      </c>
      <c r="M36" s="61">
        <v>82254.0</v>
      </c>
      <c r="N36" s="61"/>
      <c r="O36" s="61">
        <f t="shared" si="35"/>
        <v>78189.66667</v>
      </c>
      <c r="P36" s="43"/>
      <c r="Q36" s="54">
        <v>4327.0</v>
      </c>
      <c r="R36" s="54">
        <v>3295.0</v>
      </c>
      <c r="S36" s="43">
        <v>5049.0</v>
      </c>
      <c r="T36" s="43">
        <v>2986.0</v>
      </c>
      <c r="U36" s="116">
        <f t="shared" ref="U36:V36" si="40">AVERAGE(Q36,S36)</f>
        <v>4688</v>
      </c>
      <c r="V36" s="116">
        <f t="shared" si="40"/>
        <v>3140.5</v>
      </c>
      <c r="W36" s="43"/>
      <c r="X36" s="43"/>
      <c r="Y36" s="43"/>
      <c r="Z36" s="43"/>
      <c r="AA36" s="43"/>
    </row>
    <row r="37" ht="15.75" hidden="1" customHeight="1">
      <c r="A37" s="193" t="s">
        <v>226</v>
      </c>
      <c r="B37" s="194"/>
      <c r="C37" s="195"/>
      <c r="D37" s="195"/>
      <c r="E37" s="195"/>
      <c r="F37" s="196">
        <v>661.0</v>
      </c>
      <c r="G37" s="196">
        <v>652.0</v>
      </c>
      <c r="H37" s="205">
        <v>686.0</v>
      </c>
      <c r="I37" s="61">
        <f t="shared" si="2"/>
        <v>666.3333333</v>
      </c>
      <c r="J37" s="43"/>
      <c r="K37" s="183"/>
      <c r="L37" s="61"/>
      <c r="M37" s="61"/>
      <c r="N37" s="61"/>
      <c r="O37" s="61"/>
      <c r="P37" s="43"/>
      <c r="Q37" s="54"/>
      <c r="R37" s="54"/>
      <c r="S37" s="43">
        <v>160.0</v>
      </c>
      <c r="T37" s="43">
        <v>213.0</v>
      </c>
      <c r="U37" s="116">
        <f t="shared" ref="U37:V37" si="41">AVERAGE(Q37,S37)</f>
        <v>160</v>
      </c>
      <c r="V37" s="116">
        <f t="shared" si="41"/>
        <v>213</v>
      </c>
      <c r="W37" s="43"/>
      <c r="X37" s="43"/>
      <c r="Y37" s="43"/>
      <c r="Z37" s="43"/>
      <c r="AA37" s="43"/>
    </row>
    <row r="38" ht="15.75" hidden="1" customHeight="1">
      <c r="A38" s="193" t="s">
        <v>227</v>
      </c>
      <c r="B38" s="194"/>
      <c r="C38" s="195"/>
      <c r="D38" s="195"/>
      <c r="E38" s="195"/>
      <c r="F38" s="196">
        <v>358.0</v>
      </c>
      <c r="G38" s="196">
        <v>363.0</v>
      </c>
      <c r="H38" s="205">
        <v>361.0</v>
      </c>
      <c r="I38" s="61">
        <f t="shared" si="2"/>
        <v>360.6666667</v>
      </c>
      <c r="J38" s="43"/>
      <c r="K38" s="183"/>
      <c r="L38" s="61"/>
      <c r="M38" s="61"/>
      <c r="N38" s="61"/>
      <c r="O38" s="61"/>
      <c r="P38" s="43"/>
      <c r="Q38" s="54"/>
      <c r="R38" s="54"/>
      <c r="S38" s="43">
        <v>16.0</v>
      </c>
      <c r="T38" s="43">
        <v>4.0</v>
      </c>
      <c r="U38" s="116">
        <f t="shared" ref="U38:V38" si="42">AVERAGE(Q38,S38)</f>
        <v>16</v>
      </c>
      <c r="V38" s="116">
        <f t="shared" si="42"/>
        <v>4</v>
      </c>
      <c r="W38" s="43"/>
      <c r="X38" s="43"/>
      <c r="Y38" s="43"/>
      <c r="Z38" s="43"/>
      <c r="AA38" s="43"/>
    </row>
    <row r="39" ht="15.75" hidden="1" customHeight="1">
      <c r="A39" s="53" t="s">
        <v>120</v>
      </c>
      <c r="B39" s="53"/>
      <c r="C39" s="183">
        <v>9747.0</v>
      </c>
      <c r="D39" s="192">
        <v>9747.0</v>
      </c>
      <c r="E39" s="61">
        <v>9972.0</v>
      </c>
      <c r="F39" s="61">
        <v>10224.0</v>
      </c>
      <c r="G39" s="61">
        <v>10866.0</v>
      </c>
      <c r="H39" s="144">
        <v>11061.0</v>
      </c>
      <c r="I39" s="61">
        <f t="shared" si="2"/>
        <v>10717</v>
      </c>
      <c r="J39" s="43"/>
      <c r="K39" s="183">
        <v>29130.0</v>
      </c>
      <c r="L39" s="61">
        <v>27889.0</v>
      </c>
      <c r="M39" s="61">
        <v>27062.0</v>
      </c>
      <c r="N39" s="61"/>
      <c r="O39" s="61">
        <f t="shared" ref="O39:O42" si="44">AVERAGE(K39:M39)</f>
        <v>28027</v>
      </c>
      <c r="P39" s="43"/>
      <c r="Q39" s="61">
        <v>4327.0</v>
      </c>
      <c r="R39" s="61">
        <v>3295.0</v>
      </c>
      <c r="S39" s="43">
        <v>2379.0</v>
      </c>
      <c r="T39" s="43">
        <v>4003.0</v>
      </c>
      <c r="U39" s="116">
        <f t="shared" ref="U39:V39" si="43">AVERAGE(Q39,S39)</f>
        <v>3353</v>
      </c>
      <c r="V39" s="116">
        <f t="shared" si="43"/>
        <v>3649</v>
      </c>
      <c r="W39" s="43"/>
      <c r="X39" s="43"/>
      <c r="Y39" s="43"/>
      <c r="Z39" s="43"/>
      <c r="AA39" s="43"/>
    </row>
    <row r="40" ht="15.75" customHeight="1">
      <c r="A40" s="53" t="s">
        <v>228</v>
      </c>
      <c r="B40" s="53"/>
      <c r="C40" s="183">
        <v>24040.0</v>
      </c>
      <c r="D40" s="192">
        <v>24040.0</v>
      </c>
      <c r="E40" s="61">
        <v>24184.0</v>
      </c>
      <c r="F40" s="61">
        <v>24029.0</v>
      </c>
      <c r="G40" s="61">
        <v>24160.0</v>
      </c>
      <c r="H40" s="144">
        <v>24126.0</v>
      </c>
      <c r="I40" s="61">
        <f t="shared" si="2"/>
        <v>24105</v>
      </c>
      <c r="J40" s="43"/>
      <c r="K40" s="183">
        <v>112263.0</v>
      </c>
      <c r="L40" s="61">
        <v>100957.0</v>
      </c>
      <c r="M40" s="61">
        <v>92173.0</v>
      </c>
      <c r="N40" s="61"/>
      <c r="O40" s="61">
        <f t="shared" si="44"/>
        <v>101797.6667</v>
      </c>
      <c r="P40" s="43"/>
      <c r="Q40" s="54">
        <v>4324.0</v>
      </c>
      <c r="R40" s="54">
        <v>6866.0</v>
      </c>
      <c r="S40" s="43">
        <v>4256.0</v>
      </c>
      <c r="T40" s="43">
        <v>7774.0</v>
      </c>
      <c r="U40" s="116">
        <f t="shared" ref="U40:V40" si="45">AVERAGE(Q40,S40)</f>
        <v>4290</v>
      </c>
      <c r="V40" s="116">
        <f t="shared" si="45"/>
        <v>7320</v>
      </c>
      <c r="W40" s="43"/>
      <c r="X40" s="43"/>
      <c r="Y40" s="43"/>
      <c r="Z40" s="43"/>
      <c r="AA40" s="43"/>
    </row>
    <row r="41" ht="15.75" customHeight="1">
      <c r="A41" s="53" t="s">
        <v>229</v>
      </c>
      <c r="B41" s="53"/>
      <c r="C41" s="183">
        <v>2148.0</v>
      </c>
      <c r="D41" s="192">
        <v>2109.0</v>
      </c>
      <c r="E41" s="61">
        <v>2155.0</v>
      </c>
      <c r="F41" s="61">
        <v>2151.0</v>
      </c>
      <c r="G41" s="61">
        <v>2136.0</v>
      </c>
      <c r="H41" s="144">
        <v>2118.0</v>
      </c>
      <c r="I41" s="61">
        <f t="shared" si="2"/>
        <v>2135</v>
      </c>
      <c r="J41" s="43"/>
      <c r="K41" s="183">
        <v>4697.0</v>
      </c>
      <c r="L41" s="61">
        <v>3254.0</v>
      </c>
      <c r="M41" s="61">
        <v>4221.0</v>
      </c>
      <c r="N41" s="61"/>
      <c r="O41" s="61">
        <f t="shared" si="44"/>
        <v>4057.333333</v>
      </c>
      <c r="P41" s="43"/>
      <c r="Q41" s="61">
        <v>1222.0</v>
      </c>
      <c r="R41" s="116">
        <v>533.0</v>
      </c>
      <c r="S41" s="43">
        <v>1203.0</v>
      </c>
      <c r="T41" s="43">
        <v>699.0</v>
      </c>
      <c r="U41" s="116">
        <f t="shared" ref="U41:V41" si="46">AVERAGE(Q41,S41)</f>
        <v>1212.5</v>
      </c>
      <c r="V41" s="116">
        <f t="shared" si="46"/>
        <v>616</v>
      </c>
      <c r="W41" s="43"/>
      <c r="X41" s="43"/>
      <c r="Y41" s="43"/>
      <c r="Z41" s="43"/>
      <c r="AA41" s="43"/>
    </row>
    <row r="42" ht="15.75" hidden="1" customHeight="1">
      <c r="A42" s="53" t="s">
        <v>230</v>
      </c>
      <c r="B42" s="53"/>
      <c r="C42" s="183">
        <v>1790.0</v>
      </c>
      <c r="D42" s="61">
        <v>1795.0</v>
      </c>
      <c r="E42" s="61">
        <v>1800.0</v>
      </c>
      <c r="F42" s="61">
        <v>1785.0</v>
      </c>
      <c r="G42" s="61">
        <v>1770.0</v>
      </c>
      <c r="H42" s="144">
        <v>1795.0</v>
      </c>
      <c r="I42" s="61">
        <f t="shared" si="2"/>
        <v>1783.333333</v>
      </c>
      <c r="J42" s="43"/>
      <c r="K42" s="183">
        <v>8789.0</v>
      </c>
      <c r="L42" s="61">
        <v>12278.0</v>
      </c>
      <c r="M42" s="61">
        <v>12801.0</v>
      </c>
      <c r="N42" s="61"/>
      <c r="O42" s="61">
        <f t="shared" si="44"/>
        <v>11289.33333</v>
      </c>
      <c r="P42" s="43"/>
      <c r="Q42" s="61">
        <v>1088.0</v>
      </c>
      <c r="R42" s="116">
        <v>585.0</v>
      </c>
      <c r="S42" s="43">
        <v>1086.0</v>
      </c>
      <c r="T42" s="43">
        <v>546.0</v>
      </c>
      <c r="U42" s="116">
        <f t="shared" ref="U42:V42" si="47">AVERAGE(Q42,S42)</f>
        <v>1087</v>
      </c>
      <c r="V42" s="116">
        <f t="shared" si="47"/>
        <v>565.5</v>
      </c>
      <c r="W42" s="43"/>
      <c r="X42" s="43"/>
      <c r="Y42" s="43"/>
      <c r="Z42" s="43"/>
      <c r="AA42" s="43"/>
    </row>
    <row r="43" ht="15.75" hidden="1" customHeight="1">
      <c r="A43" s="206" t="s">
        <v>231</v>
      </c>
      <c r="B43" s="204"/>
      <c r="C43" s="195"/>
      <c r="D43" s="195"/>
      <c r="E43" s="195"/>
      <c r="F43" s="196">
        <v>424.0</v>
      </c>
      <c r="G43" s="196">
        <v>395.0</v>
      </c>
      <c r="H43" s="205">
        <v>339.0</v>
      </c>
      <c r="I43" s="61">
        <f t="shared" si="2"/>
        <v>386</v>
      </c>
      <c r="J43" s="43"/>
      <c r="K43" s="183"/>
      <c r="L43" s="61"/>
      <c r="M43" s="61"/>
      <c r="N43" s="61"/>
      <c r="O43" s="61"/>
      <c r="P43" s="43"/>
      <c r="Q43" s="54"/>
      <c r="R43" s="54"/>
      <c r="S43" s="43">
        <v>67.0</v>
      </c>
      <c r="T43" s="43">
        <v>574.0</v>
      </c>
      <c r="U43" s="116">
        <f t="shared" ref="U43:V43" si="48">AVERAGE(Q43,S43)</f>
        <v>67</v>
      </c>
      <c r="V43" s="116">
        <f t="shared" si="48"/>
        <v>574</v>
      </c>
      <c r="W43" s="43"/>
      <c r="X43" s="43"/>
      <c r="Y43" s="43"/>
      <c r="Z43" s="43"/>
      <c r="AA43" s="43"/>
    </row>
    <row r="44" ht="15.75" customHeight="1">
      <c r="A44" s="53" t="s">
        <v>232</v>
      </c>
      <c r="B44" s="53"/>
      <c r="C44" s="183">
        <v>3033.0</v>
      </c>
      <c r="D44" s="192">
        <v>3033.0</v>
      </c>
      <c r="E44" s="61">
        <v>3071.0</v>
      </c>
      <c r="F44" s="61">
        <v>3123.0</v>
      </c>
      <c r="G44" s="61">
        <v>3187.0</v>
      </c>
      <c r="H44" s="144">
        <v>3208.0</v>
      </c>
      <c r="I44" s="61">
        <f t="shared" si="2"/>
        <v>3172.666667</v>
      </c>
      <c r="J44" s="43"/>
      <c r="K44" s="183">
        <v>11725.0</v>
      </c>
      <c r="L44" s="61">
        <v>11624.0</v>
      </c>
      <c r="M44" s="61">
        <v>8744.0</v>
      </c>
      <c r="N44" s="61"/>
      <c r="O44" s="61">
        <f>AVERAGE(K44:M44)</f>
        <v>10697.66667</v>
      </c>
      <c r="P44" s="43"/>
      <c r="Q44" s="61">
        <v>1886.0</v>
      </c>
      <c r="R44" s="116">
        <v>728.0</v>
      </c>
      <c r="S44" s="43">
        <v>1160.0</v>
      </c>
      <c r="T44" s="43">
        <v>981.0</v>
      </c>
      <c r="U44" s="116">
        <f t="shared" ref="U44:V44" si="49">AVERAGE(Q44,S44)</f>
        <v>1523</v>
      </c>
      <c r="V44" s="116">
        <f t="shared" si="49"/>
        <v>854.5</v>
      </c>
      <c r="W44" s="43"/>
      <c r="X44" s="43"/>
      <c r="Y44" s="43"/>
      <c r="Z44" s="43"/>
      <c r="AA44" s="43"/>
    </row>
    <row r="45" ht="15.75" hidden="1" customHeight="1">
      <c r="A45" s="193" t="s">
        <v>131</v>
      </c>
      <c r="B45" s="194"/>
      <c r="C45" s="195"/>
      <c r="D45" s="195"/>
      <c r="E45" s="195"/>
      <c r="F45" s="196">
        <f>'FY21-22 fees'!K56</f>
        <v>2</v>
      </c>
      <c r="G45" s="196">
        <f t="shared" ref="G45:G46" si="51">F45</f>
        <v>2</v>
      </c>
      <c r="H45" s="205">
        <v>2.0</v>
      </c>
      <c r="I45" s="61">
        <f t="shared" si="2"/>
        <v>2</v>
      </c>
      <c r="J45" s="43"/>
      <c r="K45" s="183"/>
      <c r="L45" s="61"/>
      <c r="M45" s="61"/>
      <c r="N45" s="61"/>
      <c r="O45" s="61"/>
      <c r="P45" s="43"/>
      <c r="Q45" s="54"/>
      <c r="R45" s="54"/>
      <c r="S45" s="43">
        <v>9.0</v>
      </c>
      <c r="T45" s="43">
        <v>37.0</v>
      </c>
      <c r="U45" s="116">
        <f t="shared" ref="U45:V45" si="50">AVERAGE(Q45,S45)</f>
        <v>9</v>
      </c>
      <c r="V45" s="116">
        <f t="shared" si="50"/>
        <v>37</v>
      </c>
      <c r="W45" s="43"/>
      <c r="X45" s="43"/>
      <c r="Y45" s="43"/>
      <c r="Z45" s="43"/>
      <c r="AA45" s="43"/>
    </row>
    <row r="46" ht="15.75" hidden="1" customHeight="1">
      <c r="A46" s="193" t="s">
        <v>233</v>
      </c>
      <c r="B46" s="194"/>
      <c r="C46" s="195"/>
      <c r="D46" s="195"/>
      <c r="E46" s="195"/>
      <c r="F46" s="196">
        <f>'FY21-22 fees'!K57</f>
        <v>1</v>
      </c>
      <c r="G46" s="196">
        <f t="shared" si="51"/>
        <v>1</v>
      </c>
      <c r="H46" s="205">
        <v>1.0</v>
      </c>
      <c r="I46" s="61">
        <f t="shared" si="2"/>
        <v>1</v>
      </c>
      <c r="J46" s="43"/>
      <c r="K46" s="183"/>
      <c r="L46" s="61"/>
      <c r="M46" s="61"/>
      <c r="N46" s="61"/>
      <c r="O46" s="61"/>
      <c r="P46" s="43"/>
      <c r="Q46" s="54"/>
      <c r="R46" s="54"/>
      <c r="S46" s="43">
        <v>0.0</v>
      </c>
      <c r="T46" s="43">
        <v>0.0</v>
      </c>
      <c r="U46" s="116">
        <f t="shared" ref="U46:V46" si="52">AVERAGE(Q46,S46)</f>
        <v>0</v>
      </c>
      <c r="V46" s="116">
        <f t="shared" si="52"/>
        <v>0</v>
      </c>
      <c r="W46" s="43"/>
      <c r="X46" s="43"/>
      <c r="Y46" s="43"/>
      <c r="Z46" s="43"/>
      <c r="AA46" s="43"/>
    </row>
    <row r="47" ht="15.75" hidden="1" customHeight="1">
      <c r="A47" s="53" t="s">
        <v>234</v>
      </c>
      <c r="B47" s="53"/>
      <c r="C47" s="183">
        <f>2055+2689+14515</f>
        <v>19259</v>
      </c>
      <c r="D47" s="61">
        <f>2005+420+23840</f>
        <v>26265</v>
      </c>
      <c r="E47" s="61">
        <f>2030+23455</f>
        <v>25485</v>
      </c>
      <c r="F47" s="61">
        <f>14735+6599+2600+2031</f>
        <v>25965</v>
      </c>
      <c r="G47" s="61">
        <f>22835+2182+1753</f>
        <v>26770</v>
      </c>
      <c r="H47" s="144">
        <f>22582+2642+2071</f>
        <v>27295</v>
      </c>
      <c r="I47" s="61">
        <f t="shared" si="2"/>
        <v>26676.66667</v>
      </c>
      <c r="J47" s="43"/>
      <c r="K47" s="183">
        <v>199435.0</v>
      </c>
      <c r="L47" s="61">
        <v>197620.0</v>
      </c>
      <c r="M47" s="61">
        <v>219628.0</v>
      </c>
      <c r="N47" s="61"/>
      <c r="O47" s="61">
        <f>AVERAGE(K47:M47)</f>
        <v>205561</v>
      </c>
      <c r="P47" s="43"/>
      <c r="Q47" s="61">
        <v>12799.0</v>
      </c>
      <c r="R47" s="61">
        <v>7997.0</v>
      </c>
      <c r="S47" s="43">
        <v>14547.0</v>
      </c>
      <c r="T47" s="43">
        <v>8716.0</v>
      </c>
      <c r="U47" s="116">
        <f t="shared" ref="U47:V47" si="53">AVERAGE(Q47,S47)</f>
        <v>13673</v>
      </c>
      <c r="V47" s="116">
        <f t="shared" si="53"/>
        <v>8356.5</v>
      </c>
      <c r="W47" s="43"/>
      <c r="X47" s="43"/>
      <c r="Y47" s="43"/>
      <c r="Z47" s="43"/>
      <c r="AA47" s="43"/>
    </row>
    <row r="48" ht="15.75" hidden="1" customHeight="1">
      <c r="A48" s="218" t="s">
        <v>235</v>
      </c>
      <c r="B48" s="194"/>
      <c r="C48" s="195">
        <v>2285.0</v>
      </c>
      <c r="D48" s="195">
        <v>1819.0</v>
      </c>
      <c r="E48" s="195">
        <v>2175.0</v>
      </c>
      <c r="F48" s="196">
        <v>2215.0</v>
      </c>
      <c r="G48" s="196">
        <v>1779.0</v>
      </c>
      <c r="H48" s="205">
        <v>1813.0</v>
      </c>
      <c r="I48" s="61">
        <f t="shared" si="2"/>
        <v>1935.666667</v>
      </c>
      <c r="J48" s="43"/>
      <c r="K48" s="183"/>
      <c r="L48" s="61"/>
      <c r="M48" s="61"/>
      <c r="N48" s="61"/>
      <c r="O48" s="61"/>
      <c r="P48" s="43"/>
      <c r="Q48" s="54"/>
      <c r="R48" s="54"/>
      <c r="S48" s="43">
        <v>1443.0</v>
      </c>
      <c r="T48" s="43">
        <v>436.0</v>
      </c>
      <c r="U48" s="116">
        <f t="shared" ref="U48:V48" si="54">AVERAGE(Q48,S48)</f>
        <v>1443</v>
      </c>
      <c r="V48" s="116">
        <f t="shared" si="54"/>
        <v>436</v>
      </c>
      <c r="W48" s="43"/>
      <c r="X48" s="43"/>
      <c r="Y48" s="43"/>
      <c r="Z48" s="43"/>
      <c r="AA48" s="43"/>
    </row>
    <row r="49" ht="15.75" customHeight="1">
      <c r="A49" s="53" t="s">
        <v>236</v>
      </c>
      <c r="B49" s="53"/>
      <c r="C49" s="183">
        <v>349.0</v>
      </c>
      <c r="D49" s="192">
        <v>349.0</v>
      </c>
      <c r="E49" s="61">
        <v>351.0</v>
      </c>
      <c r="F49" s="61">
        <v>343.0</v>
      </c>
      <c r="G49" s="61">
        <v>334.0</v>
      </c>
      <c r="H49" s="144">
        <v>338.0</v>
      </c>
      <c r="I49" s="61">
        <f t="shared" si="2"/>
        <v>338.3333333</v>
      </c>
      <c r="J49" s="43"/>
      <c r="K49" s="183">
        <v>4797.0</v>
      </c>
      <c r="L49" s="61">
        <v>2522.0</v>
      </c>
      <c r="M49" s="61">
        <v>3548.0</v>
      </c>
      <c r="N49" s="61"/>
      <c r="O49" s="61">
        <f t="shared" ref="O49:O52" si="56">AVERAGE(K49:M49)</f>
        <v>3622.333333</v>
      </c>
      <c r="P49" s="43"/>
      <c r="Q49" s="116">
        <v>388.0</v>
      </c>
      <c r="R49" s="116">
        <v>215.0</v>
      </c>
      <c r="S49" s="43">
        <v>516.0</v>
      </c>
      <c r="T49" s="43">
        <v>509.0</v>
      </c>
      <c r="U49" s="116">
        <f t="shared" ref="U49:V49" si="55">AVERAGE(Q49,S49)</f>
        <v>452</v>
      </c>
      <c r="V49" s="116">
        <f t="shared" si="55"/>
        <v>362</v>
      </c>
      <c r="W49" s="43"/>
      <c r="X49" s="43"/>
      <c r="Y49" s="43"/>
      <c r="Z49" s="43"/>
      <c r="AA49" s="43"/>
    </row>
    <row r="50" ht="15.75" customHeight="1">
      <c r="A50" s="53" t="s">
        <v>237</v>
      </c>
      <c r="B50" s="53"/>
      <c r="C50" s="183">
        <v>10075.0</v>
      </c>
      <c r="D50" s="61">
        <v>10075.0</v>
      </c>
      <c r="E50" s="61">
        <v>10374.0</v>
      </c>
      <c r="F50" s="61">
        <v>10464.0</v>
      </c>
      <c r="G50" s="61">
        <v>10604.0</v>
      </c>
      <c r="H50" s="144">
        <v>10701.0</v>
      </c>
      <c r="I50" s="61">
        <f t="shared" si="2"/>
        <v>10589.66667</v>
      </c>
      <c r="J50" s="43"/>
      <c r="K50" s="183">
        <v>35994.0</v>
      </c>
      <c r="L50" s="61">
        <v>16576.0</v>
      </c>
      <c r="M50" s="61">
        <v>15658.0</v>
      </c>
      <c r="N50" s="61"/>
      <c r="O50" s="61">
        <f t="shared" si="56"/>
        <v>22742.66667</v>
      </c>
      <c r="P50" s="43"/>
      <c r="Q50" s="61">
        <v>2500.0</v>
      </c>
      <c r="R50" s="61">
        <v>1074.0</v>
      </c>
      <c r="S50" s="43">
        <v>2578.0</v>
      </c>
      <c r="T50" s="43">
        <v>1002.0</v>
      </c>
      <c r="U50" s="116">
        <f t="shared" ref="U50:V50" si="57">AVERAGE(Q50,S50)</f>
        <v>2539</v>
      </c>
      <c r="V50" s="116">
        <f t="shared" si="57"/>
        <v>1038</v>
      </c>
      <c r="W50" s="43"/>
      <c r="X50" s="43"/>
      <c r="Y50" s="43"/>
      <c r="Z50" s="43"/>
      <c r="AA50" s="43"/>
    </row>
    <row r="51" ht="15.75" hidden="1" customHeight="1">
      <c r="A51" s="53" t="s">
        <v>238</v>
      </c>
      <c r="B51" s="53"/>
      <c r="C51" s="183">
        <v>3273.0</v>
      </c>
      <c r="D51" s="144">
        <v>3281.0</v>
      </c>
      <c r="E51" s="61">
        <v>3300.0</v>
      </c>
      <c r="F51" s="61">
        <v>3286.0</v>
      </c>
      <c r="G51" s="61">
        <v>3596.0</v>
      </c>
      <c r="H51" s="144">
        <v>3278.0</v>
      </c>
      <c r="I51" s="61">
        <f t="shared" si="2"/>
        <v>3386.666667</v>
      </c>
      <c r="J51" s="43"/>
      <c r="K51" s="183">
        <v>17155.0</v>
      </c>
      <c r="L51" s="61">
        <v>29963.0</v>
      </c>
      <c r="M51" s="61">
        <v>13082.0</v>
      </c>
      <c r="N51" s="61"/>
      <c r="O51" s="61">
        <f t="shared" si="56"/>
        <v>20066.66667</v>
      </c>
      <c r="P51" s="43"/>
      <c r="Q51" s="61">
        <v>1851.0</v>
      </c>
      <c r="R51" s="116">
        <v>740.0</v>
      </c>
      <c r="S51" s="43">
        <v>1623.0</v>
      </c>
      <c r="T51" s="43">
        <v>1288.0</v>
      </c>
      <c r="U51" s="116">
        <f t="shared" ref="U51:V51" si="58">AVERAGE(Q51,S51)</f>
        <v>1737</v>
      </c>
      <c r="V51" s="116">
        <f t="shared" si="58"/>
        <v>1014</v>
      </c>
      <c r="W51" s="43"/>
      <c r="X51" s="43"/>
      <c r="Y51" s="43"/>
      <c r="Z51" s="43"/>
      <c r="AA51" s="43"/>
    </row>
    <row r="52" ht="15.75" hidden="1" customHeight="1">
      <c r="A52" s="53" t="s">
        <v>239</v>
      </c>
      <c r="B52" s="53"/>
      <c r="C52" s="183">
        <v>1875.0</v>
      </c>
      <c r="D52" s="61">
        <v>1885.0</v>
      </c>
      <c r="E52" s="61">
        <v>1915.0</v>
      </c>
      <c r="F52" s="61">
        <v>1950.0</v>
      </c>
      <c r="G52" s="61">
        <v>1875.0</v>
      </c>
      <c r="H52" s="144">
        <v>1875.0</v>
      </c>
      <c r="I52" s="61">
        <f t="shared" si="2"/>
        <v>1900</v>
      </c>
      <c r="J52" s="43"/>
      <c r="K52" s="183">
        <v>7890.0</v>
      </c>
      <c r="L52" s="61">
        <v>16812.0</v>
      </c>
      <c r="M52" s="61">
        <v>8085.0</v>
      </c>
      <c r="N52" s="61"/>
      <c r="O52" s="61">
        <f t="shared" si="56"/>
        <v>10929</v>
      </c>
      <c r="P52" s="43"/>
      <c r="Q52" s="116">
        <v>0.0</v>
      </c>
      <c r="R52" s="61">
        <v>2032.0</v>
      </c>
      <c r="S52" s="43">
        <v>397.0</v>
      </c>
      <c r="T52" s="43">
        <v>652.0</v>
      </c>
      <c r="U52" s="116">
        <f t="shared" ref="U52:V52" si="59">AVERAGE(Q52,S52)</f>
        <v>198.5</v>
      </c>
      <c r="V52" s="116">
        <f t="shared" si="59"/>
        <v>1342</v>
      </c>
      <c r="W52" s="43"/>
      <c r="X52" s="43"/>
      <c r="Y52" s="43"/>
      <c r="Z52" s="43"/>
      <c r="AA52" s="43"/>
    </row>
    <row r="53" ht="15.75" hidden="1" customHeight="1">
      <c r="A53" s="193" t="s">
        <v>240</v>
      </c>
      <c r="B53" s="194"/>
      <c r="C53" s="195"/>
      <c r="D53" s="195"/>
      <c r="E53" s="195"/>
      <c r="F53" s="196">
        <v>263.0</v>
      </c>
      <c r="G53" s="196">
        <v>268.0</v>
      </c>
      <c r="H53" s="205">
        <v>247.0</v>
      </c>
      <c r="I53" s="61">
        <f t="shared" si="2"/>
        <v>259.3333333</v>
      </c>
      <c r="J53" s="43"/>
      <c r="K53" s="183"/>
      <c r="L53" s="61"/>
      <c r="M53" s="61"/>
      <c r="N53" s="61"/>
      <c r="O53" s="61"/>
      <c r="P53" s="43"/>
      <c r="Q53" s="54"/>
      <c r="R53" s="54"/>
      <c r="S53" s="43">
        <v>22.0</v>
      </c>
      <c r="T53" s="43">
        <v>7.0</v>
      </c>
      <c r="U53" s="116">
        <f t="shared" ref="U53:V53" si="60">AVERAGE(Q53,S53)</f>
        <v>22</v>
      </c>
      <c r="V53" s="116">
        <f t="shared" si="60"/>
        <v>7</v>
      </c>
      <c r="W53" s="43"/>
      <c r="X53" s="43"/>
      <c r="Y53" s="43"/>
      <c r="Z53" s="43"/>
      <c r="AA53" s="43"/>
    </row>
    <row r="54" ht="15.75" hidden="1" customHeight="1">
      <c r="A54" s="53" t="s">
        <v>149</v>
      </c>
      <c r="B54" s="53"/>
      <c r="C54" s="183">
        <v>810.0</v>
      </c>
      <c r="D54" s="192">
        <v>810.0</v>
      </c>
      <c r="E54" s="61">
        <v>805.0</v>
      </c>
      <c r="F54" s="61">
        <v>805.0</v>
      </c>
      <c r="G54" s="61">
        <v>840.0</v>
      </c>
      <c r="H54" s="144">
        <v>840.0</v>
      </c>
      <c r="I54" s="61">
        <f t="shared" si="2"/>
        <v>828.3333333</v>
      </c>
      <c r="J54" s="43"/>
      <c r="K54" s="183">
        <v>7587.0</v>
      </c>
      <c r="L54" s="61">
        <v>9593.0</v>
      </c>
      <c r="M54" s="61">
        <v>6560.0</v>
      </c>
      <c r="N54" s="61"/>
      <c r="O54" s="61">
        <f t="shared" ref="O54:O55" si="62">AVERAGE(K54:M54)</f>
        <v>7913.333333</v>
      </c>
      <c r="P54" s="43"/>
      <c r="Q54" s="116">
        <v>557.0</v>
      </c>
      <c r="R54" s="116">
        <v>323.0</v>
      </c>
      <c r="S54" s="43">
        <v>498.0</v>
      </c>
      <c r="T54" s="43">
        <v>639.0</v>
      </c>
      <c r="U54" s="116">
        <f t="shared" ref="U54:V54" si="61">AVERAGE(Q54,S54)</f>
        <v>527.5</v>
      </c>
      <c r="V54" s="116">
        <f t="shared" si="61"/>
        <v>481</v>
      </c>
      <c r="W54" s="43"/>
      <c r="X54" s="43"/>
      <c r="Y54" s="43"/>
      <c r="Z54" s="43"/>
      <c r="AA54" s="43"/>
    </row>
    <row r="55" ht="15.75" customHeight="1">
      <c r="A55" s="53" t="s">
        <v>241</v>
      </c>
      <c r="B55" s="53"/>
      <c r="C55" s="183">
        <v>978.0</v>
      </c>
      <c r="D55" s="192">
        <v>939.0</v>
      </c>
      <c r="E55" s="61">
        <v>981.0</v>
      </c>
      <c r="F55" s="61">
        <v>979.0</v>
      </c>
      <c r="G55" s="61">
        <v>979.0</v>
      </c>
      <c r="H55" s="144">
        <v>971.0</v>
      </c>
      <c r="I55" s="61">
        <f t="shared" si="2"/>
        <v>976.3333333</v>
      </c>
      <c r="J55" s="43"/>
      <c r="K55" s="183">
        <v>4475.0</v>
      </c>
      <c r="L55" s="61">
        <v>4034.0</v>
      </c>
      <c r="M55" s="61">
        <v>3901.0</v>
      </c>
      <c r="N55" s="61"/>
      <c r="O55" s="61">
        <f t="shared" si="62"/>
        <v>4136.666667</v>
      </c>
      <c r="P55" s="43"/>
      <c r="Q55" s="116">
        <v>543.0</v>
      </c>
      <c r="R55" s="116">
        <v>311.0</v>
      </c>
      <c r="S55" s="43">
        <v>563.0</v>
      </c>
      <c r="T55" s="43">
        <v>317.0</v>
      </c>
      <c r="U55" s="116">
        <f t="shared" ref="U55:V55" si="63">AVERAGE(Q55,S55)</f>
        <v>553</v>
      </c>
      <c r="V55" s="116">
        <f t="shared" si="63"/>
        <v>314</v>
      </c>
      <c r="W55" s="43"/>
      <c r="X55" s="43"/>
      <c r="Y55" s="43"/>
      <c r="Z55" s="43"/>
      <c r="AA55" s="43"/>
    </row>
    <row r="56" ht="15.75" customHeight="1">
      <c r="A56" s="53"/>
      <c r="B56" s="53"/>
      <c r="C56" s="88">
        <f t="shared" ref="C56:I56" si="64">SUM(C2:C55)</f>
        <v>247380</v>
      </c>
      <c r="D56" s="88">
        <f t="shared" si="64"/>
        <v>253127</v>
      </c>
      <c r="E56" s="88">
        <f t="shared" si="64"/>
        <v>256619</v>
      </c>
      <c r="F56" s="88">
        <f t="shared" si="64"/>
        <v>262287</v>
      </c>
      <c r="G56" s="88">
        <f t="shared" si="64"/>
        <v>264064.3333</v>
      </c>
      <c r="H56" s="88">
        <f t="shared" si="64"/>
        <v>262350.3333</v>
      </c>
      <c r="I56" s="88">
        <f t="shared" si="64"/>
        <v>262900.5556</v>
      </c>
      <c r="J56" s="43"/>
      <c r="K56" s="183"/>
      <c r="L56" s="61"/>
      <c r="M56" s="61"/>
      <c r="N56" s="61"/>
      <c r="O56" s="61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ht="15.75" customHeight="1">
      <c r="A57" s="183" t="s">
        <v>249</v>
      </c>
      <c r="B57" s="53"/>
      <c r="C57" s="61">
        <f t="shared" ref="C57:H57" si="65">AVERAGE(A56:C56)</f>
        <v>247380</v>
      </c>
      <c r="D57" s="61">
        <f t="shared" si="65"/>
        <v>250253.5</v>
      </c>
      <c r="E57" s="61">
        <f t="shared" si="65"/>
        <v>252375.3333</v>
      </c>
      <c r="F57" s="61">
        <f t="shared" si="65"/>
        <v>257344.3333</v>
      </c>
      <c r="G57" s="61">
        <f t="shared" si="65"/>
        <v>260990.1111</v>
      </c>
      <c r="H57" s="61">
        <f t="shared" si="65"/>
        <v>262900.5556</v>
      </c>
      <c r="I57" s="61">
        <f>AVERAGE(F56:H56)</f>
        <v>262900.5556</v>
      </c>
      <c r="J57" s="43"/>
      <c r="K57" s="183"/>
      <c r="L57" s="61"/>
      <c r="M57" s="61"/>
      <c r="N57" s="61"/>
      <c r="O57" s="61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ht="15.75" customHeight="1">
      <c r="A58" s="53" t="s">
        <v>243</v>
      </c>
      <c r="B58" s="53"/>
      <c r="C58" s="183"/>
      <c r="D58" s="61"/>
      <c r="E58" s="61">
        <f t="shared" ref="E58:H58" si="66">SUM(E2,E4,E10,E19,E21,E33,E40,E41,E44,E49,E50,E55)</f>
        <v>80498</v>
      </c>
      <c r="F58" s="61">
        <f t="shared" si="66"/>
        <v>80763</v>
      </c>
      <c r="G58" s="61">
        <f t="shared" si="66"/>
        <v>81160</v>
      </c>
      <c r="H58" s="61">
        <f t="shared" si="66"/>
        <v>81495</v>
      </c>
      <c r="I58" s="61"/>
      <c r="J58" s="43"/>
      <c r="K58" s="183"/>
      <c r="L58" s="61"/>
      <c r="M58" s="61"/>
      <c r="N58" s="61"/>
      <c r="O58" s="61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ht="15.75" customHeight="1">
      <c r="A59" s="53"/>
      <c r="B59" s="53"/>
      <c r="C59" s="183"/>
      <c r="D59" s="61"/>
      <c r="E59" s="61"/>
      <c r="F59" s="61"/>
      <c r="G59" s="61"/>
      <c r="H59" s="61"/>
      <c r="I59" s="61"/>
      <c r="J59" s="43"/>
      <c r="K59" s="183"/>
      <c r="L59" s="61"/>
      <c r="M59" s="61"/>
      <c r="N59" s="61"/>
      <c r="O59" s="61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ht="15.75" customHeight="1">
      <c r="A60" s="53" t="s">
        <v>244</v>
      </c>
      <c r="B60" s="53"/>
      <c r="C60" s="183"/>
      <c r="D60" s="61"/>
      <c r="E60" s="61"/>
      <c r="F60" s="61"/>
      <c r="G60" s="61"/>
      <c r="H60" s="61"/>
      <c r="I60" s="61"/>
      <c r="J60" s="43"/>
      <c r="K60" s="183"/>
      <c r="L60" s="61"/>
      <c r="M60" s="61"/>
      <c r="N60" s="61"/>
      <c r="O60" s="61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ht="15.75" customHeight="1">
      <c r="A61" s="155" t="s">
        <v>245</v>
      </c>
      <c r="B61" s="53"/>
      <c r="C61" s="183"/>
      <c r="D61" s="61"/>
      <c r="E61" s="61"/>
      <c r="F61" s="61"/>
      <c r="G61" s="61"/>
      <c r="H61" s="61"/>
      <c r="I61" s="61"/>
      <c r="J61" s="43"/>
      <c r="K61" s="183"/>
      <c r="L61" s="61"/>
      <c r="M61" s="61"/>
      <c r="N61" s="61"/>
      <c r="O61" s="61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ht="15.75" customHeight="1">
      <c r="A62" s="224" t="s">
        <v>246</v>
      </c>
      <c r="B62" s="53"/>
      <c r="C62" s="183"/>
      <c r="D62" s="61"/>
      <c r="E62" s="61"/>
      <c r="F62" s="61"/>
      <c r="G62" s="61"/>
      <c r="H62" s="61"/>
      <c r="I62" s="61"/>
      <c r="J62" s="43"/>
      <c r="K62" s="183"/>
      <c r="L62" s="61"/>
      <c r="M62" s="61"/>
      <c r="N62" s="61"/>
      <c r="O62" s="61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ht="15.75" customHeight="1">
      <c r="A63" s="53"/>
      <c r="B63" s="53"/>
      <c r="C63" s="183"/>
      <c r="D63" s="61"/>
      <c r="E63" s="61"/>
      <c r="F63" s="61"/>
      <c r="G63" s="61"/>
      <c r="H63" s="61"/>
      <c r="I63" s="61"/>
      <c r="J63" s="43"/>
      <c r="K63" s="183"/>
      <c r="L63" s="61"/>
      <c r="M63" s="61"/>
      <c r="N63" s="61"/>
      <c r="O63" s="61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ht="15.75" customHeight="1">
      <c r="A64" s="225" t="s">
        <v>247</v>
      </c>
      <c r="B64" s="53"/>
      <c r="C64" s="183"/>
      <c r="D64" s="61"/>
      <c r="E64" s="61"/>
      <c r="F64" s="61"/>
      <c r="G64" s="61"/>
      <c r="H64" s="61"/>
      <c r="I64" s="61"/>
      <c r="J64" s="43"/>
      <c r="K64" s="183"/>
      <c r="L64" s="61"/>
      <c r="M64" s="61"/>
      <c r="N64" s="61"/>
      <c r="O64" s="61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ht="15.75" customHeight="1">
      <c r="A65" s="53"/>
      <c r="B65" s="53"/>
      <c r="C65" s="183"/>
      <c r="D65" s="61"/>
      <c r="E65" s="61"/>
      <c r="F65" s="61"/>
      <c r="G65" s="61"/>
      <c r="H65" s="61"/>
      <c r="I65" s="61"/>
      <c r="J65" s="43"/>
      <c r="K65" s="183"/>
      <c r="L65" s="61"/>
      <c r="M65" s="61"/>
      <c r="N65" s="61"/>
      <c r="O65" s="61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ht="15.75" customHeight="1">
      <c r="A66" s="53"/>
      <c r="B66" s="53"/>
      <c r="C66" s="183"/>
      <c r="D66" s="61"/>
      <c r="E66" s="61"/>
      <c r="F66" s="61"/>
      <c r="G66" s="61"/>
      <c r="H66" s="61"/>
      <c r="I66" s="61"/>
      <c r="J66" s="43"/>
      <c r="K66" s="183"/>
      <c r="L66" s="61"/>
      <c r="M66" s="61"/>
      <c r="N66" s="61"/>
      <c r="O66" s="61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ht="15.75" customHeight="1">
      <c r="A67" s="53"/>
      <c r="B67" s="53"/>
      <c r="C67" s="183"/>
      <c r="D67" s="61"/>
      <c r="E67" s="61"/>
      <c r="F67" s="61"/>
      <c r="G67" s="61"/>
      <c r="H67" s="61"/>
      <c r="I67" s="61"/>
      <c r="J67" s="43"/>
      <c r="K67" s="183"/>
      <c r="L67" s="61"/>
      <c r="M67" s="61"/>
      <c r="N67" s="61"/>
      <c r="O67" s="61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ht="15.75" customHeight="1">
      <c r="A68" s="53"/>
      <c r="B68" s="53"/>
      <c r="C68" s="183"/>
      <c r="D68" s="61"/>
      <c r="E68" s="61"/>
      <c r="F68" s="61"/>
      <c r="G68" s="61"/>
      <c r="H68" s="61"/>
      <c r="I68" s="61"/>
      <c r="J68" s="43"/>
      <c r="K68" s="183"/>
      <c r="L68" s="61"/>
      <c r="M68" s="61"/>
      <c r="N68" s="61"/>
      <c r="O68" s="61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ht="15.75" customHeight="1">
      <c r="A69" s="53"/>
      <c r="B69" s="53"/>
      <c r="C69" s="183"/>
      <c r="D69" s="61"/>
      <c r="E69" s="61"/>
      <c r="F69" s="61"/>
      <c r="G69" s="61"/>
      <c r="H69" s="61"/>
      <c r="I69" s="61"/>
      <c r="J69" s="43"/>
      <c r="K69" s="183"/>
      <c r="L69" s="61"/>
      <c r="M69" s="61"/>
      <c r="N69" s="61"/>
      <c r="O69" s="61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ht="15.75" customHeight="1">
      <c r="A70" s="53"/>
      <c r="B70" s="53"/>
      <c r="C70" s="183"/>
      <c r="D70" s="61"/>
      <c r="E70" s="61"/>
      <c r="F70" s="61"/>
      <c r="G70" s="61"/>
      <c r="H70" s="61"/>
      <c r="I70" s="61"/>
      <c r="J70" s="43"/>
      <c r="K70" s="183"/>
      <c r="L70" s="61"/>
      <c r="M70" s="61"/>
      <c r="N70" s="61"/>
      <c r="O70" s="61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ht="15.75" customHeight="1">
      <c r="A71" s="53"/>
      <c r="B71" s="53"/>
      <c r="C71" s="144">
        <f t="shared" ref="C71:E71" si="67">SUM(C2:C55)</f>
        <v>247380</v>
      </c>
      <c r="D71" s="144">
        <f t="shared" si="67"/>
        <v>253127</v>
      </c>
      <c r="E71" s="144">
        <f t="shared" si="67"/>
        <v>256619</v>
      </c>
      <c r="F71" s="61"/>
      <c r="G71" s="61"/>
      <c r="H71" s="61"/>
      <c r="I71" s="61"/>
      <c r="J71" s="43"/>
      <c r="K71" s="144">
        <f t="shared" ref="K71:M71" si="68">SUM(K2:K55)</f>
        <v>1306776</v>
      </c>
      <c r="L71" s="144">
        <f t="shared" si="68"/>
        <v>1242265</v>
      </c>
      <c r="M71" s="144">
        <f t="shared" si="68"/>
        <v>1234272</v>
      </c>
      <c r="N71" s="61"/>
      <c r="O71" s="61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ht="15.75" customHeight="1">
      <c r="A72" s="53"/>
      <c r="B72" s="53"/>
      <c r="C72" s="53"/>
      <c r="D72" s="43"/>
      <c r="E72" s="43"/>
      <c r="F72" s="43"/>
      <c r="G72" s="43"/>
      <c r="H72" s="43"/>
      <c r="I72" s="43"/>
      <c r="J72" s="43"/>
      <c r="K72" s="5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ht="15.75" customHeight="1">
      <c r="A73" s="53"/>
      <c r="B73" s="53"/>
      <c r="C73" s="53"/>
      <c r="D73" s="43"/>
      <c r="E73" s="43"/>
      <c r="F73" s="43"/>
      <c r="G73" s="43"/>
      <c r="H73" s="43"/>
      <c r="I73" s="43"/>
      <c r="J73" s="43"/>
      <c r="K73" s="5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ht="15.75" customHeight="1">
      <c r="A74" s="53"/>
      <c r="B74" s="53"/>
      <c r="C74" s="53"/>
      <c r="D74" s="43"/>
      <c r="E74" s="43"/>
      <c r="F74" s="43"/>
      <c r="G74" s="43"/>
      <c r="H74" s="43"/>
      <c r="I74" s="43"/>
      <c r="J74" s="43"/>
      <c r="K74" s="5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ht="15.75" customHeight="1">
      <c r="A75" s="53"/>
      <c r="B75" s="53"/>
      <c r="C75" s="53"/>
      <c r="D75" s="43"/>
      <c r="E75" s="43"/>
      <c r="F75" s="43"/>
      <c r="G75" s="43"/>
      <c r="H75" s="43"/>
      <c r="I75" s="43"/>
      <c r="J75" s="43"/>
      <c r="K75" s="5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ht="15.75" customHeight="1">
      <c r="A76" s="53"/>
      <c r="B76" s="53"/>
      <c r="C76" s="53"/>
      <c r="D76" s="43"/>
      <c r="E76" s="43"/>
      <c r="F76" s="43"/>
      <c r="G76" s="43"/>
      <c r="H76" s="43"/>
      <c r="I76" s="43"/>
      <c r="J76" s="43"/>
      <c r="K76" s="5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ht="15.75" customHeight="1">
      <c r="A77" s="53"/>
      <c r="B77" s="53"/>
      <c r="C77" s="53"/>
      <c r="D77" s="43"/>
      <c r="E77" s="43"/>
      <c r="F77" s="43"/>
      <c r="G77" s="43"/>
      <c r="H77" s="43"/>
      <c r="I77" s="43"/>
      <c r="J77" s="43"/>
      <c r="K77" s="5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ht="15.75" customHeight="1">
      <c r="A78" s="53"/>
      <c r="B78" s="53"/>
      <c r="C78" s="53"/>
      <c r="D78" s="43"/>
      <c r="E78" s="43"/>
      <c r="F78" s="43"/>
      <c r="G78" s="43"/>
      <c r="H78" s="43"/>
      <c r="I78" s="43"/>
      <c r="J78" s="43"/>
      <c r="K78" s="5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ht="15.75" customHeight="1">
      <c r="A79" s="53"/>
      <c r="B79" s="53"/>
      <c r="C79" s="53"/>
      <c r="D79" s="43"/>
      <c r="E79" s="43"/>
      <c r="F79" s="43"/>
      <c r="G79" s="43"/>
      <c r="H79" s="43"/>
      <c r="I79" s="43"/>
      <c r="J79" s="43"/>
      <c r="K79" s="5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ht="15.75" customHeight="1">
      <c r="A80" s="53"/>
      <c r="B80" s="53"/>
      <c r="C80" s="53"/>
      <c r="D80" s="43"/>
      <c r="E80" s="43"/>
      <c r="F80" s="43"/>
      <c r="G80" s="43"/>
      <c r="H80" s="43"/>
      <c r="I80" s="43"/>
      <c r="J80" s="43"/>
      <c r="K80" s="5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ht="15.75" customHeight="1">
      <c r="A81" s="53"/>
      <c r="B81" s="53"/>
      <c r="C81" s="53"/>
      <c r="D81" s="43"/>
      <c r="E81" s="43"/>
      <c r="F81" s="43"/>
      <c r="G81" s="43"/>
      <c r="H81" s="43"/>
      <c r="I81" s="43"/>
      <c r="J81" s="43"/>
      <c r="K81" s="5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ht="15.75" customHeight="1">
      <c r="A82" s="53"/>
      <c r="B82" s="53"/>
      <c r="C82" s="53"/>
      <c r="D82" s="43"/>
      <c r="E82" s="43"/>
      <c r="F82" s="43"/>
      <c r="G82" s="43"/>
      <c r="H82" s="43"/>
      <c r="I82" s="43"/>
      <c r="J82" s="43"/>
      <c r="K82" s="5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ht="15.75" customHeight="1">
      <c r="A83" s="53"/>
      <c r="B83" s="53"/>
      <c r="C83" s="53"/>
      <c r="D83" s="43"/>
      <c r="E83" s="43"/>
      <c r="F83" s="43"/>
      <c r="G83" s="43"/>
      <c r="H83" s="43"/>
      <c r="I83" s="43"/>
      <c r="J83" s="43"/>
      <c r="K83" s="5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ht="15.75" customHeight="1">
      <c r="A84" s="53"/>
      <c r="B84" s="53"/>
      <c r="C84" s="53"/>
      <c r="D84" s="43"/>
      <c r="E84" s="43"/>
      <c r="F84" s="43"/>
      <c r="G84" s="43"/>
      <c r="H84" s="43"/>
      <c r="I84" s="43"/>
      <c r="J84" s="43"/>
      <c r="K84" s="5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 ht="15.75" customHeight="1">
      <c r="A85" s="53"/>
      <c r="B85" s="53"/>
      <c r="C85" s="53"/>
      <c r="D85" s="43"/>
      <c r="E85" s="43"/>
      <c r="F85" s="43"/>
      <c r="G85" s="43"/>
      <c r="H85" s="43"/>
      <c r="I85" s="43"/>
      <c r="J85" s="43"/>
      <c r="K85" s="5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 ht="15.75" customHeight="1">
      <c r="A86" s="53"/>
      <c r="B86" s="53"/>
      <c r="C86" s="53"/>
      <c r="D86" s="43"/>
      <c r="E86" s="43"/>
      <c r="F86" s="43"/>
      <c r="G86" s="43"/>
      <c r="H86" s="43"/>
      <c r="I86" s="43"/>
      <c r="J86" s="43"/>
      <c r="K86" s="5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ht="15.75" customHeight="1">
      <c r="A87" s="53"/>
      <c r="B87" s="53"/>
      <c r="C87" s="53"/>
      <c r="D87" s="43"/>
      <c r="E87" s="43"/>
      <c r="F87" s="43"/>
      <c r="G87" s="43"/>
      <c r="H87" s="43"/>
      <c r="I87" s="43"/>
      <c r="J87" s="43"/>
      <c r="K87" s="5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 ht="15.75" customHeight="1">
      <c r="A88" s="53"/>
      <c r="B88" s="53"/>
      <c r="C88" s="53"/>
      <c r="D88" s="43"/>
      <c r="E88" s="43"/>
      <c r="F88" s="43"/>
      <c r="G88" s="43"/>
      <c r="H88" s="43"/>
      <c r="I88" s="43"/>
      <c r="J88" s="43"/>
      <c r="K88" s="5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 ht="15.75" customHeight="1">
      <c r="A89" s="53"/>
      <c r="B89" s="53"/>
      <c r="C89" s="53"/>
      <c r="D89" s="43"/>
      <c r="E89" s="43"/>
      <c r="F89" s="43"/>
      <c r="G89" s="43"/>
      <c r="H89" s="43"/>
      <c r="I89" s="43"/>
      <c r="J89" s="43"/>
      <c r="K89" s="5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 ht="15.75" customHeight="1">
      <c r="A90" s="53"/>
      <c r="B90" s="53"/>
      <c r="C90" s="53"/>
      <c r="D90" s="43"/>
      <c r="E90" s="43"/>
      <c r="F90" s="43"/>
      <c r="G90" s="43"/>
      <c r="H90" s="43"/>
      <c r="I90" s="43"/>
      <c r="J90" s="43"/>
      <c r="K90" s="5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 ht="15.75" customHeight="1">
      <c r="A91" s="53"/>
      <c r="B91" s="53"/>
      <c r="C91" s="53"/>
      <c r="D91" s="43"/>
      <c r="E91" s="43"/>
      <c r="F91" s="43"/>
      <c r="G91" s="43"/>
      <c r="H91" s="43"/>
      <c r="I91" s="43"/>
      <c r="J91" s="43"/>
      <c r="K91" s="5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ht="15.75" customHeight="1">
      <c r="A92" s="53"/>
      <c r="B92" s="53"/>
      <c r="C92" s="53"/>
      <c r="D92" s="43"/>
      <c r="E92" s="43"/>
      <c r="F92" s="43"/>
      <c r="G92" s="43"/>
      <c r="H92" s="43"/>
      <c r="I92" s="43"/>
      <c r="J92" s="43"/>
      <c r="K92" s="5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 ht="15.75" customHeight="1">
      <c r="A93" s="53"/>
      <c r="B93" s="53"/>
      <c r="C93" s="53"/>
      <c r="D93" s="43"/>
      <c r="E93" s="43"/>
      <c r="F93" s="43"/>
      <c r="G93" s="43"/>
      <c r="H93" s="43"/>
      <c r="I93" s="43"/>
      <c r="J93" s="43"/>
      <c r="K93" s="5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 ht="15.75" customHeight="1">
      <c r="A94" s="53"/>
      <c r="B94" s="53"/>
      <c r="C94" s="53"/>
      <c r="D94" s="43"/>
      <c r="E94" s="43"/>
      <c r="F94" s="43"/>
      <c r="G94" s="43"/>
      <c r="H94" s="43"/>
      <c r="I94" s="43"/>
      <c r="J94" s="43"/>
      <c r="K94" s="5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</row>
    <row r="95" ht="15.75" customHeight="1">
      <c r="A95" s="53"/>
      <c r="B95" s="53"/>
      <c r="C95" s="53"/>
      <c r="D95" s="43"/>
      <c r="E95" s="43"/>
      <c r="F95" s="43"/>
      <c r="G95" s="43"/>
      <c r="H95" s="43"/>
      <c r="I95" s="43"/>
      <c r="J95" s="43"/>
      <c r="K95" s="5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</row>
    <row r="96" ht="15.75" customHeight="1">
      <c r="A96" s="53"/>
      <c r="B96" s="53"/>
      <c r="C96" s="53"/>
      <c r="D96" s="43"/>
      <c r="E96" s="43"/>
      <c r="F96" s="43"/>
      <c r="G96" s="43"/>
      <c r="H96" s="43"/>
      <c r="I96" s="43"/>
      <c r="J96" s="43"/>
      <c r="K96" s="5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</row>
    <row r="97" ht="15.75" customHeight="1">
      <c r="A97" s="53"/>
      <c r="B97" s="53"/>
      <c r="C97" s="53"/>
      <c r="D97" s="43"/>
      <c r="E97" s="43"/>
      <c r="F97" s="43"/>
      <c r="G97" s="43"/>
      <c r="H97" s="43"/>
      <c r="I97" s="43"/>
      <c r="J97" s="43"/>
      <c r="K97" s="5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</row>
    <row r="98" ht="15.75" customHeight="1">
      <c r="A98" s="53"/>
      <c r="B98" s="53"/>
      <c r="C98" s="53"/>
      <c r="D98" s="43"/>
      <c r="E98" s="43"/>
      <c r="F98" s="43"/>
      <c r="G98" s="43"/>
      <c r="H98" s="43"/>
      <c r="I98" s="43"/>
      <c r="J98" s="43"/>
      <c r="K98" s="5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</row>
    <row r="99" ht="15.75" customHeight="1">
      <c r="A99" s="53"/>
      <c r="B99" s="53"/>
      <c r="C99" s="53"/>
      <c r="D99" s="43"/>
      <c r="E99" s="43"/>
      <c r="F99" s="43"/>
      <c r="G99" s="43"/>
      <c r="H99" s="43"/>
      <c r="I99" s="43"/>
      <c r="J99" s="43"/>
      <c r="K99" s="5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</row>
    <row r="100" ht="15.75" customHeight="1">
      <c r="A100" s="53"/>
      <c r="B100" s="53"/>
      <c r="C100" s="53"/>
      <c r="D100" s="43"/>
      <c r="E100" s="43"/>
      <c r="F100" s="43"/>
      <c r="G100" s="43"/>
      <c r="H100" s="43"/>
      <c r="I100" s="43"/>
      <c r="J100" s="43"/>
      <c r="K100" s="5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</row>
    <row r="101" ht="15.75" customHeight="1">
      <c r="A101" s="53"/>
      <c r="B101" s="53"/>
      <c r="C101" s="53"/>
      <c r="D101" s="43"/>
      <c r="E101" s="43"/>
      <c r="F101" s="43"/>
      <c r="G101" s="43"/>
      <c r="H101" s="43"/>
      <c r="I101" s="43"/>
      <c r="J101" s="43"/>
      <c r="K101" s="5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</row>
    <row r="102" ht="15.75" customHeight="1">
      <c r="A102" s="53"/>
      <c r="B102" s="53"/>
      <c r="C102" s="53"/>
      <c r="D102" s="43"/>
      <c r="E102" s="43"/>
      <c r="F102" s="43"/>
      <c r="G102" s="43"/>
      <c r="H102" s="43"/>
      <c r="I102" s="43"/>
      <c r="J102" s="43"/>
      <c r="K102" s="5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</row>
    <row r="103" ht="15.75" customHeight="1">
      <c r="A103" s="53"/>
      <c r="B103" s="53"/>
      <c r="C103" s="53"/>
      <c r="D103" s="43"/>
      <c r="E103" s="43"/>
      <c r="F103" s="43"/>
      <c r="G103" s="43"/>
      <c r="H103" s="43"/>
      <c r="I103" s="43"/>
      <c r="J103" s="43"/>
      <c r="K103" s="5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</row>
    <row r="104" ht="15.75" customHeight="1">
      <c r="A104" s="53"/>
      <c r="B104" s="53"/>
      <c r="C104" s="53"/>
      <c r="D104" s="43"/>
      <c r="E104" s="43"/>
      <c r="F104" s="43"/>
      <c r="G104" s="43"/>
      <c r="H104" s="43"/>
      <c r="I104" s="43"/>
      <c r="J104" s="43"/>
      <c r="K104" s="5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</row>
    <row r="105" ht="15.75" customHeight="1">
      <c r="A105" s="53"/>
      <c r="B105" s="53"/>
      <c r="C105" s="53"/>
      <c r="D105" s="43"/>
      <c r="E105" s="43"/>
      <c r="F105" s="43"/>
      <c r="G105" s="43"/>
      <c r="H105" s="43"/>
      <c r="I105" s="43"/>
      <c r="J105" s="43"/>
      <c r="K105" s="5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</row>
    <row r="106" ht="15.75" customHeight="1">
      <c r="A106" s="53"/>
      <c r="B106" s="53"/>
      <c r="C106" s="53"/>
      <c r="D106" s="43"/>
      <c r="E106" s="43"/>
      <c r="F106" s="43"/>
      <c r="G106" s="43"/>
      <c r="H106" s="43"/>
      <c r="I106" s="43"/>
      <c r="J106" s="43"/>
      <c r="K106" s="5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</row>
    <row r="107" ht="15.75" customHeight="1">
      <c r="A107" s="53"/>
      <c r="B107" s="53"/>
      <c r="C107" s="53"/>
      <c r="D107" s="43"/>
      <c r="E107" s="43"/>
      <c r="F107" s="43"/>
      <c r="G107" s="43"/>
      <c r="H107" s="43"/>
      <c r="I107" s="43"/>
      <c r="J107" s="43"/>
      <c r="K107" s="5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</row>
    <row r="108" ht="15.75" customHeight="1">
      <c r="A108" s="53"/>
      <c r="B108" s="53"/>
      <c r="C108" s="53"/>
      <c r="D108" s="43"/>
      <c r="E108" s="43"/>
      <c r="F108" s="43"/>
      <c r="G108" s="43"/>
      <c r="H108" s="43"/>
      <c r="I108" s="43"/>
      <c r="J108" s="43"/>
      <c r="K108" s="5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 ht="15.75" customHeight="1">
      <c r="A109" s="53"/>
      <c r="B109" s="53"/>
      <c r="C109" s="53"/>
      <c r="D109" s="43"/>
      <c r="E109" s="43"/>
      <c r="F109" s="43"/>
      <c r="G109" s="43"/>
      <c r="H109" s="43"/>
      <c r="I109" s="43"/>
      <c r="J109" s="43"/>
      <c r="K109" s="5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</row>
    <row r="110" ht="15.75" customHeight="1">
      <c r="A110" s="53"/>
      <c r="B110" s="53"/>
      <c r="C110" s="53"/>
      <c r="D110" s="43"/>
      <c r="E110" s="43"/>
      <c r="F110" s="43"/>
      <c r="G110" s="43"/>
      <c r="H110" s="43"/>
      <c r="I110" s="43"/>
      <c r="J110" s="43"/>
      <c r="K110" s="5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</row>
    <row r="111" ht="15.75" customHeight="1">
      <c r="A111" s="53"/>
      <c r="B111" s="53"/>
      <c r="C111" s="53"/>
      <c r="D111" s="43"/>
      <c r="E111" s="43"/>
      <c r="F111" s="43"/>
      <c r="G111" s="43"/>
      <c r="H111" s="43"/>
      <c r="I111" s="43"/>
      <c r="J111" s="43"/>
      <c r="K111" s="5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 ht="15.75" customHeight="1">
      <c r="A112" s="53"/>
      <c r="B112" s="53"/>
      <c r="C112" s="53"/>
      <c r="D112" s="43"/>
      <c r="E112" s="43"/>
      <c r="F112" s="43"/>
      <c r="G112" s="43"/>
      <c r="H112" s="43"/>
      <c r="I112" s="43"/>
      <c r="J112" s="43"/>
      <c r="K112" s="5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</row>
    <row r="113" ht="15.75" customHeight="1">
      <c r="A113" s="53"/>
      <c r="B113" s="53"/>
      <c r="C113" s="53"/>
      <c r="D113" s="43"/>
      <c r="E113" s="43"/>
      <c r="F113" s="43"/>
      <c r="G113" s="43"/>
      <c r="H113" s="43"/>
      <c r="I113" s="43"/>
      <c r="J113" s="43"/>
      <c r="K113" s="5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</row>
    <row r="114" ht="15.75" customHeight="1">
      <c r="A114" s="53"/>
      <c r="B114" s="53"/>
      <c r="C114" s="53"/>
      <c r="D114" s="43"/>
      <c r="E114" s="43"/>
      <c r="F114" s="43"/>
      <c r="G114" s="43"/>
      <c r="H114" s="43"/>
      <c r="I114" s="43"/>
      <c r="J114" s="43"/>
      <c r="K114" s="5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</row>
    <row r="115" ht="15.75" customHeight="1">
      <c r="A115" s="53"/>
      <c r="B115" s="53"/>
      <c r="C115" s="53"/>
      <c r="D115" s="43"/>
      <c r="E115" s="43"/>
      <c r="F115" s="43"/>
      <c r="G115" s="43"/>
      <c r="H115" s="43"/>
      <c r="I115" s="43"/>
      <c r="J115" s="43"/>
      <c r="K115" s="5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</row>
    <row r="116" ht="15.75" customHeight="1">
      <c r="A116" s="53"/>
      <c r="B116" s="53"/>
      <c r="C116" s="53"/>
      <c r="D116" s="43"/>
      <c r="E116" s="43"/>
      <c r="F116" s="43"/>
      <c r="G116" s="43"/>
      <c r="H116" s="43"/>
      <c r="I116" s="43"/>
      <c r="J116" s="43"/>
      <c r="K116" s="5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</row>
    <row r="117" ht="15.75" customHeight="1">
      <c r="A117" s="53"/>
      <c r="B117" s="53"/>
      <c r="C117" s="53"/>
      <c r="D117" s="43"/>
      <c r="E117" s="43"/>
      <c r="F117" s="43"/>
      <c r="G117" s="43"/>
      <c r="H117" s="43"/>
      <c r="I117" s="43"/>
      <c r="J117" s="43"/>
      <c r="K117" s="5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</row>
    <row r="118" ht="15.75" customHeight="1">
      <c r="A118" s="53"/>
      <c r="B118" s="53"/>
      <c r="C118" s="53"/>
      <c r="D118" s="43"/>
      <c r="E118" s="43"/>
      <c r="F118" s="43"/>
      <c r="G118" s="43"/>
      <c r="H118" s="43"/>
      <c r="I118" s="43"/>
      <c r="J118" s="43"/>
      <c r="K118" s="5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</row>
    <row r="119" ht="15.75" customHeight="1">
      <c r="A119" s="53"/>
      <c r="B119" s="53"/>
      <c r="C119" s="53"/>
      <c r="D119" s="43"/>
      <c r="E119" s="43"/>
      <c r="F119" s="43"/>
      <c r="G119" s="43"/>
      <c r="H119" s="43"/>
      <c r="I119" s="43"/>
      <c r="J119" s="43"/>
      <c r="K119" s="5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</row>
    <row r="120" ht="15.75" customHeight="1">
      <c r="A120" s="53"/>
      <c r="B120" s="53"/>
      <c r="C120" s="53"/>
      <c r="D120" s="43"/>
      <c r="E120" s="43"/>
      <c r="F120" s="43"/>
      <c r="G120" s="43"/>
      <c r="H120" s="43"/>
      <c r="I120" s="43"/>
      <c r="J120" s="43"/>
      <c r="K120" s="5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</row>
    <row r="121" ht="15.75" customHeight="1">
      <c r="A121" s="53"/>
      <c r="B121" s="53"/>
      <c r="C121" s="53"/>
      <c r="D121" s="43"/>
      <c r="E121" s="43"/>
      <c r="F121" s="43"/>
      <c r="G121" s="43"/>
      <c r="H121" s="43"/>
      <c r="I121" s="43"/>
      <c r="J121" s="43"/>
      <c r="K121" s="5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</row>
    <row r="122" ht="15.75" customHeight="1">
      <c r="A122" s="53"/>
      <c r="B122" s="53"/>
      <c r="C122" s="53"/>
      <c r="D122" s="43"/>
      <c r="E122" s="43"/>
      <c r="F122" s="43"/>
      <c r="G122" s="43"/>
      <c r="H122" s="43"/>
      <c r="I122" s="43"/>
      <c r="J122" s="43"/>
      <c r="K122" s="5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</row>
    <row r="123" ht="15.75" customHeight="1">
      <c r="A123" s="53"/>
      <c r="B123" s="53"/>
      <c r="C123" s="53"/>
      <c r="D123" s="43"/>
      <c r="E123" s="43"/>
      <c r="F123" s="43"/>
      <c r="G123" s="43"/>
      <c r="H123" s="43"/>
      <c r="I123" s="43"/>
      <c r="J123" s="43"/>
      <c r="K123" s="5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</row>
    <row r="124" ht="15.75" customHeight="1">
      <c r="A124" s="53"/>
      <c r="B124" s="53"/>
      <c r="C124" s="53"/>
      <c r="D124" s="43"/>
      <c r="E124" s="43"/>
      <c r="F124" s="43"/>
      <c r="G124" s="43"/>
      <c r="H124" s="43"/>
      <c r="I124" s="43"/>
      <c r="J124" s="43"/>
      <c r="K124" s="5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</row>
    <row r="125" ht="15.75" customHeight="1">
      <c r="A125" s="53"/>
      <c r="B125" s="53"/>
      <c r="C125" s="53"/>
      <c r="D125" s="43"/>
      <c r="E125" s="43"/>
      <c r="F125" s="43"/>
      <c r="G125" s="43"/>
      <c r="H125" s="43"/>
      <c r="I125" s="43"/>
      <c r="J125" s="43"/>
      <c r="K125" s="5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</row>
    <row r="126" ht="15.75" customHeight="1">
      <c r="A126" s="53"/>
      <c r="B126" s="53"/>
      <c r="C126" s="53"/>
      <c r="D126" s="43"/>
      <c r="E126" s="43"/>
      <c r="F126" s="43"/>
      <c r="G126" s="43"/>
      <c r="H126" s="43"/>
      <c r="I126" s="43"/>
      <c r="J126" s="43"/>
      <c r="K126" s="5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</row>
    <row r="127" ht="15.75" customHeight="1">
      <c r="A127" s="53"/>
      <c r="B127" s="53"/>
      <c r="C127" s="53"/>
      <c r="D127" s="43"/>
      <c r="E127" s="43"/>
      <c r="F127" s="43"/>
      <c r="G127" s="43"/>
      <c r="H127" s="43"/>
      <c r="I127" s="43"/>
      <c r="J127" s="43"/>
      <c r="K127" s="5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</row>
    <row r="128" ht="15.75" customHeight="1">
      <c r="A128" s="53"/>
      <c r="B128" s="53"/>
      <c r="C128" s="53"/>
      <c r="D128" s="43"/>
      <c r="E128" s="43"/>
      <c r="F128" s="43"/>
      <c r="G128" s="43"/>
      <c r="H128" s="43"/>
      <c r="I128" s="43"/>
      <c r="J128" s="43"/>
      <c r="K128" s="5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</row>
    <row r="129" ht="15.75" customHeight="1">
      <c r="A129" s="53"/>
      <c r="B129" s="53"/>
      <c r="C129" s="53"/>
      <c r="D129" s="43"/>
      <c r="E129" s="43"/>
      <c r="F129" s="43"/>
      <c r="G129" s="43"/>
      <c r="H129" s="43"/>
      <c r="I129" s="43"/>
      <c r="J129" s="43"/>
      <c r="K129" s="5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</row>
    <row r="130" ht="15.75" customHeight="1">
      <c r="A130" s="53"/>
      <c r="B130" s="53"/>
      <c r="C130" s="53"/>
      <c r="D130" s="43"/>
      <c r="E130" s="43"/>
      <c r="F130" s="43"/>
      <c r="G130" s="43"/>
      <c r="H130" s="43"/>
      <c r="I130" s="43"/>
      <c r="J130" s="43"/>
      <c r="K130" s="5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</row>
    <row r="131" ht="15.75" customHeight="1">
      <c r="A131" s="53"/>
      <c r="B131" s="53"/>
      <c r="C131" s="53"/>
      <c r="D131" s="43"/>
      <c r="E131" s="43"/>
      <c r="F131" s="43"/>
      <c r="G131" s="43"/>
      <c r="H131" s="43"/>
      <c r="I131" s="43"/>
      <c r="J131" s="43"/>
      <c r="K131" s="5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</row>
    <row r="132" ht="15.75" customHeight="1">
      <c r="A132" s="53"/>
      <c r="B132" s="53"/>
      <c r="C132" s="53"/>
      <c r="D132" s="43"/>
      <c r="E132" s="43"/>
      <c r="F132" s="43"/>
      <c r="G132" s="43"/>
      <c r="H132" s="43"/>
      <c r="I132" s="43"/>
      <c r="J132" s="43"/>
      <c r="K132" s="5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</row>
    <row r="133" ht="15.75" customHeight="1">
      <c r="A133" s="53"/>
      <c r="B133" s="53"/>
      <c r="C133" s="53"/>
      <c r="D133" s="43"/>
      <c r="E133" s="43"/>
      <c r="F133" s="43"/>
      <c r="G133" s="43"/>
      <c r="H133" s="43"/>
      <c r="I133" s="43"/>
      <c r="J133" s="43"/>
      <c r="K133" s="5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</row>
    <row r="134" ht="15.75" customHeight="1">
      <c r="A134" s="53"/>
      <c r="B134" s="53"/>
      <c r="C134" s="53"/>
      <c r="D134" s="43"/>
      <c r="E134" s="43"/>
      <c r="F134" s="43"/>
      <c r="G134" s="43"/>
      <c r="H134" s="43"/>
      <c r="I134" s="43"/>
      <c r="J134" s="43"/>
      <c r="K134" s="5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</row>
    <row r="135" ht="15.75" customHeight="1">
      <c r="A135" s="53"/>
      <c r="B135" s="53"/>
      <c r="C135" s="53"/>
      <c r="D135" s="43"/>
      <c r="E135" s="43"/>
      <c r="F135" s="43"/>
      <c r="G135" s="43"/>
      <c r="H135" s="43"/>
      <c r="I135" s="43"/>
      <c r="J135" s="43"/>
      <c r="K135" s="5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</row>
    <row r="136" ht="15.75" customHeight="1">
      <c r="A136" s="53"/>
      <c r="B136" s="53"/>
      <c r="C136" s="53"/>
      <c r="D136" s="43"/>
      <c r="E136" s="43"/>
      <c r="F136" s="43"/>
      <c r="G136" s="43"/>
      <c r="H136" s="43"/>
      <c r="I136" s="43"/>
      <c r="J136" s="43"/>
      <c r="K136" s="5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</row>
    <row r="137" ht="15.75" customHeight="1">
      <c r="A137" s="53"/>
      <c r="B137" s="53"/>
      <c r="C137" s="53"/>
      <c r="D137" s="43"/>
      <c r="E137" s="43"/>
      <c r="F137" s="43"/>
      <c r="G137" s="43"/>
      <c r="H137" s="43"/>
      <c r="I137" s="43"/>
      <c r="J137" s="43"/>
      <c r="K137" s="5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</row>
    <row r="138" ht="15.75" customHeight="1">
      <c r="A138" s="53"/>
      <c r="B138" s="53"/>
      <c r="C138" s="53"/>
      <c r="D138" s="43"/>
      <c r="E138" s="43"/>
      <c r="F138" s="43"/>
      <c r="G138" s="43"/>
      <c r="H138" s="43"/>
      <c r="I138" s="43"/>
      <c r="J138" s="43"/>
      <c r="K138" s="5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</row>
    <row r="139" ht="15.75" customHeight="1">
      <c r="A139" s="53"/>
      <c r="B139" s="53"/>
      <c r="C139" s="53"/>
      <c r="D139" s="43"/>
      <c r="E139" s="43"/>
      <c r="F139" s="43"/>
      <c r="G139" s="43"/>
      <c r="H139" s="43"/>
      <c r="I139" s="43"/>
      <c r="J139" s="43"/>
      <c r="K139" s="5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</row>
    <row r="140" ht="15.75" customHeight="1">
      <c r="A140" s="53"/>
      <c r="B140" s="53"/>
      <c r="C140" s="53"/>
      <c r="D140" s="43"/>
      <c r="E140" s="43"/>
      <c r="F140" s="43"/>
      <c r="G140" s="43"/>
      <c r="H140" s="43"/>
      <c r="I140" s="43"/>
      <c r="J140" s="43"/>
      <c r="K140" s="5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</row>
    <row r="141" ht="15.75" customHeight="1">
      <c r="A141" s="53"/>
      <c r="B141" s="53"/>
      <c r="C141" s="53"/>
      <c r="D141" s="43"/>
      <c r="E141" s="43"/>
      <c r="F141" s="43"/>
      <c r="G141" s="43"/>
      <c r="H141" s="43"/>
      <c r="I141" s="43"/>
      <c r="J141" s="43"/>
      <c r="K141" s="5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</row>
    <row r="142" ht="15.75" customHeight="1">
      <c r="A142" s="53"/>
      <c r="B142" s="53"/>
      <c r="C142" s="53"/>
      <c r="D142" s="43"/>
      <c r="E142" s="43"/>
      <c r="F142" s="43"/>
      <c r="G142" s="43"/>
      <c r="H142" s="43"/>
      <c r="I142" s="43"/>
      <c r="J142" s="43"/>
      <c r="K142" s="5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</row>
    <row r="143" ht="15.75" customHeight="1">
      <c r="A143" s="53"/>
      <c r="B143" s="53"/>
      <c r="C143" s="53"/>
      <c r="D143" s="43"/>
      <c r="E143" s="43"/>
      <c r="F143" s="43"/>
      <c r="G143" s="43"/>
      <c r="H143" s="43"/>
      <c r="I143" s="43"/>
      <c r="J143" s="43"/>
      <c r="K143" s="5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</row>
    <row r="144" ht="15.75" customHeight="1">
      <c r="A144" s="53"/>
      <c r="B144" s="53"/>
      <c r="C144" s="53"/>
      <c r="D144" s="43"/>
      <c r="E144" s="43"/>
      <c r="F144" s="43"/>
      <c r="G144" s="43"/>
      <c r="H144" s="43"/>
      <c r="I144" s="43"/>
      <c r="J144" s="43"/>
      <c r="K144" s="5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</row>
    <row r="145" ht="15.75" customHeight="1">
      <c r="A145" s="53"/>
      <c r="B145" s="53"/>
      <c r="C145" s="53"/>
      <c r="D145" s="43"/>
      <c r="E145" s="43"/>
      <c r="F145" s="43"/>
      <c r="G145" s="43"/>
      <c r="H145" s="43"/>
      <c r="I145" s="43"/>
      <c r="J145" s="43"/>
      <c r="K145" s="5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</row>
    <row r="146" ht="15.75" customHeight="1">
      <c r="A146" s="53"/>
      <c r="B146" s="53"/>
      <c r="C146" s="53"/>
      <c r="D146" s="43"/>
      <c r="E146" s="43"/>
      <c r="F146" s="43"/>
      <c r="G146" s="43"/>
      <c r="H146" s="43"/>
      <c r="I146" s="43"/>
      <c r="J146" s="43"/>
      <c r="K146" s="5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</row>
    <row r="147" ht="15.75" customHeight="1">
      <c r="A147" s="53"/>
      <c r="B147" s="53"/>
      <c r="C147" s="53"/>
      <c r="D147" s="43"/>
      <c r="E147" s="43"/>
      <c r="F147" s="43"/>
      <c r="G147" s="43"/>
      <c r="H147" s="43"/>
      <c r="I147" s="43"/>
      <c r="J147" s="43"/>
      <c r="K147" s="5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</row>
    <row r="148" ht="15.75" customHeight="1">
      <c r="A148" s="53"/>
      <c r="B148" s="53"/>
      <c r="C148" s="53"/>
      <c r="D148" s="43"/>
      <c r="E148" s="43"/>
      <c r="F148" s="43"/>
      <c r="G148" s="43"/>
      <c r="H148" s="43"/>
      <c r="I148" s="43"/>
      <c r="J148" s="43"/>
      <c r="K148" s="5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</row>
    <row r="149" ht="15.75" customHeight="1">
      <c r="A149" s="53"/>
      <c r="B149" s="53"/>
      <c r="C149" s="53"/>
      <c r="D149" s="43"/>
      <c r="E149" s="43"/>
      <c r="F149" s="43"/>
      <c r="G149" s="43"/>
      <c r="H149" s="43"/>
      <c r="I149" s="43"/>
      <c r="J149" s="43"/>
      <c r="K149" s="5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</row>
    <row r="150" ht="15.75" customHeight="1">
      <c r="A150" s="53"/>
      <c r="B150" s="53"/>
      <c r="C150" s="53"/>
      <c r="D150" s="43"/>
      <c r="E150" s="43"/>
      <c r="F150" s="43"/>
      <c r="G150" s="43"/>
      <c r="H150" s="43"/>
      <c r="I150" s="43"/>
      <c r="J150" s="43"/>
      <c r="K150" s="5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</row>
    <row r="151" ht="15.75" customHeight="1">
      <c r="A151" s="53"/>
      <c r="B151" s="53"/>
      <c r="C151" s="53"/>
      <c r="D151" s="43"/>
      <c r="E151" s="43"/>
      <c r="F151" s="43"/>
      <c r="G151" s="43"/>
      <c r="H151" s="43"/>
      <c r="I151" s="43"/>
      <c r="J151" s="43"/>
      <c r="K151" s="5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</row>
    <row r="152" ht="15.75" customHeight="1">
      <c r="A152" s="53"/>
      <c r="B152" s="53"/>
      <c r="C152" s="53"/>
      <c r="D152" s="43"/>
      <c r="E152" s="43"/>
      <c r="F152" s="43"/>
      <c r="G152" s="43"/>
      <c r="H152" s="43"/>
      <c r="I152" s="43"/>
      <c r="J152" s="43"/>
      <c r="K152" s="5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</row>
    <row r="153" ht="15.75" customHeight="1">
      <c r="A153" s="53"/>
      <c r="B153" s="53"/>
      <c r="C153" s="53"/>
      <c r="D153" s="43"/>
      <c r="E153" s="43"/>
      <c r="F153" s="43"/>
      <c r="G153" s="43"/>
      <c r="H153" s="43"/>
      <c r="I153" s="43"/>
      <c r="J153" s="43"/>
      <c r="K153" s="5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</row>
    <row r="154" ht="15.75" customHeight="1">
      <c r="A154" s="53"/>
      <c r="B154" s="53"/>
      <c r="C154" s="53"/>
      <c r="D154" s="43"/>
      <c r="E154" s="43"/>
      <c r="F154" s="43"/>
      <c r="G154" s="43"/>
      <c r="H154" s="43"/>
      <c r="I154" s="43"/>
      <c r="J154" s="43"/>
      <c r="K154" s="5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</row>
    <row r="155" ht="15.75" customHeight="1">
      <c r="A155" s="53"/>
      <c r="B155" s="53"/>
      <c r="C155" s="53"/>
      <c r="D155" s="43"/>
      <c r="E155" s="43"/>
      <c r="F155" s="43"/>
      <c r="G155" s="43"/>
      <c r="H155" s="43"/>
      <c r="I155" s="43"/>
      <c r="J155" s="43"/>
      <c r="K155" s="5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</row>
    <row r="156" ht="15.75" customHeight="1">
      <c r="A156" s="53"/>
      <c r="B156" s="53"/>
      <c r="C156" s="53"/>
      <c r="D156" s="43"/>
      <c r="E156" s="43"/>
      <c r="F156" s="43"/>
      <c r="G156" s="43"/>
      <c r="H156" s="43"/>
      <c r="I156" s="43"/>
      <c r="J156" s="43"/>
      <c r="K156" s="5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</row>
    <row r="157" ht="15.75" customHeight="1">
      <c r="A157" s="53"/>
      <c r="B157" s="53"/>
      <c r="C157" s="53"/>
      <c r="D157" s="43"/>
      <c r="E157" s="43"/>
      <c r="F157" s="43"/>
      <c r="G157" s="43"/>
      <c r="H157" s="43"/>
      <c r="I157" s="43"/>
      <c r="J157" s="43"/>
      <c r="K157" s="5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</row>
    <row r="158" ht="15.75" customHeight="1">
      <c r="A158" s="53"/>
      <c r="B158" s="53"/>
      <c r="C158" s="53"/>
      <c r="D158" s="43"/>
      <c r="E158" s="43"/>
      <c r="F158" s="43"/>
      <c r="G158" s="43"/>
      <c r="H158" s="43"/>
      <c r="I158" s="43"/>
      <c r="J158" s="43"/>
      <c r="K158" s="5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</row>
    <row r="159" ht="15.75" customHeight="1">
      <c r="A159" s="53"/>
      <c r="B159" s="53"/>
      <c r="C159" s="53"/>
      <c r="D159" s="43"/>
      <c r="E159" s="43"/>
      <c r="F159" s="43"/>
      <c r="G159" s="43"/>
      <c r="H159" s="43"/>
      <c r="I159" s="43"/>
      <c r="J159" s="43"/>
      <c r="K159" s="5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</row>
    <row r="160" ht="15.75" customHeight="1">
      <c r="A160" s="53"/>
      <c r="B160" s="53"/>
      <c r="C160" s="53"/>
      <c r="D160" s="43"/>
      <c r="E160" s="43"/>
      <c r="F160" s="43"/>
      <c r="G160" s="43"/>
      <c r="H160" s="43"/>
      <c r="I160" s="43"/>
      <c r="J160" s="43"/>
      <c r="K160" s="5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</row>
    <row r="161" ht="15.75" customHeight="1">
      <c r="A161" s="53"/>
      <c r="B161" s="53"/>
      <c r="C161" s="53"/>
      <c r="D161" s="43"/>
      <c r="E161" s="43"/>
      <c r="F161" s="43"/>
      <c r="G161" s="43"/>
      <c r="H161" s="43"/>
      <c r="I161" s="43"/>
      <c r="J161" s="43"/>
      <c r="K161" s="5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</row>
    <row r="162" ht="15.75" customHeight="1">
      <c r="A162" s="53"/>
      <c r="B162" s="53"/>
      <c r="C162" s="53"/>
      <c r="D162" s="43"/>
      <c r="E162" s="43"/>
      <c r="F162" s="43"/>
      <c r="G162" s="43"/>
      <c r="H162" s="43"/>
      <c r="I162" s="43"/>
      <c r="J162" s="43"/>
      <c r="K162" s="5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</row>
    <row r="163" ht="15.75" customHeight="1">
      <c r="A163" s="53"/>
      <c r="B163" s="53"/>
      <c r="C163" s="53"/>
      <c r="D163" s="43"/>
      <c r="E163" s="43"/>
      <c r="F163" s="43"/>
      <c r="G163" s="43"/>
      <c r="H163" s="43"/>
      <c r="I163" s="43"/>
      <c r="J163" s="43"/>
      <c r="K163" s="5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</row>
    <row r="164" ht="15.75" customHeight="1">
      <c r="A164" s="53"/>
      <c r="B164" s="53"/>
      <c r="C164" s="53"/>
      <c r="D164" s="43"/>
      <c r="E164" s="43"/>
      <c r="F164" s="43"/>
      <c r="G164" s="43"/>
      <c r="H164" s="43"/>
      <c r="I164" s="43"/>
      <c r="J164" s="43"/>
      <c r="K164" s="5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</row>
    <row r="165" ht="15.75" customHeight="1">
      <c r="A165" s="53"/>
      <c r="B165" s="53"/>
      <c r="C165" s="53"/>
      <c r="D165" s="43"/>
      <c r="E165" s="43"/>
      <c r="F165" s="43"/>
      <c r="G165" s="43"/>
      <c r="H165" s="43"/>
      <c r="I165" s="43"/>
      <c r="J165" s="43"/>
      <c r="K165" s="5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</row>
    <row r="166" ht="15.75" customHeight="1">
      <c r="A166" s="53"/>
      <c r="B166" s="53"/>
      <c r="C166" s="53"/>
      <c r="D166" s="43"/>
      <c r="E166" s="43"/>
      <c r="F166" s="43"/>
      <c r="G166" s="43"/>
      <c r="H166" s="43"/>
      <c r="I166" s="43"/>
      <c r="J166" s="43"/>
      <c r="K166" s="5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</row>
    <row r="167" ht="15.75" customHeight="1">
      <c r="A167" s="53"/>
      <c r="B167" s="53"/>
      <c r="C167" s="53"/>
      <c r="D167" s="43"/>
      <c r="E167" s="43"/>
      <c r="F167" s="43"/>
      <c r="G167" s="43"/>
      <c r="H167" s="43"/>
      <c r="I167" s="43"/>
      <c r="J167" s="43"/>
      <c r="K167" s="5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</row>
    <row r="168" ht="15.75" customHeight="1">
      <c r="A168" s="53"/>
      <c r="B168" s="53"/>
      <c r="C168" s="53"/>
      <c r="D168" s="43"/>
      <c r="E168" s="43"/>
      <c r="F168" s="43"/>
      <c r="G168" s="43"/>
      <c r="H168" s="43"/>
      <c r="I168" s="43"/>
      <c r="J168" s="43"/>
      <c r="K168" s="5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</row>
    <row r="169" ht="15.75" customHeight="1">
      <c r="A169" s="53"/>
      <c r="B169" s="53"/>
      <c r="C169" s="53"/>
      <c r="D169" s="43"/>
      <c r="E169" s="43"/>
      <c r="F169" s="43"/>
      <c r="G169" s="43"/>
      <c r="H169" s="43"/>
      <c r="I169" s="43"/>
      <c r="J169" s="43"/>
      <c r="K169" s="5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</row>
    <row r="170" ht="15.75" customHeight="1">
      <c r="A170" s="53"/>
      <c r="B170" s="53"/>
      <c r="C170" s="53"/>
      <c r="D170" s="43"/>
      <c r="E170" s="43"/>
      <c r="F170" s="43"/>
      <c r="G170" s="43"/>
      <c r="H170" s="43"/>
      <c r="I170" s="43"/>
      <c r="J170" s="43"/>
      <c r="K170" s="5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</row>
    <row r="171" ht="15.75" customHeight="1">
      <c r="A171" s="53"/>
      <c r="B171" s="53"/>
      <c r="C171" s="53"/>
      <c r="D171" s="43"/>
      <c r="E171" s="43"/>
      <c r="F171" s="43"/>
      <c r="G171" s="43"/>
      <c r="H171" s="43"/>
      <c r="I171" s="43"/>
      <c r="J171" s="43"/>
      <c r="K171" s="5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</row>
    <row r="172" ht="15.75" customHeight="1">
      <c r="A172" s="53"/>
      <c r="B172" s="53"/>
      <c r="C172" s="53"/>
      <c r="D172" s="43"/>
      <c r="E172" s="43"/>
      <c r="F172" s="43"/>
      <c r="G172" s="43"/>
      <c r="H172" s="43"/>
      <c r="I172" s="43"/>
      <c r="J172" s="43"/>
      <c r="K172" s="5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</row>
    <row r="173" ht="15.75" customHeight="1">
      <c r="A173" s="53"/>
      <c r="B173" s="53"/>
      <c r="C173" s="53"/>
      <c r="D173" s="43"/>
      <c r="E173" s="43"/>
      <c r="F173" s="43"/>
      <c r="G173" s="43"/>
      <c r="H173" s="43"/>
      <c r="I173" s="43"/>
      <c r="J173" s="43"/>
      <c r="K173" s="5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</row>
    <row r="174" ht="15.75" customHeight="1">
      <c r="A174" s="53"/>
      <c r="B174" s="53"/>
      <c r="C174" s="53"/>
      <c r="D174" s="43"/>
      <c r="E174" s="43"/>
      <c r="F174" s="43"/>
      <c r="G174" s="43"/>
      <c r="H174" s="43"/>
      <c r="I174" s="43"/>
      <c r="J174" s="43"/>
      <c r="K174" s="5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</row>
    <row r="175" ht="15.75" customHeight="1">
      <c r="A175" s="53"/>
      <c r="B175" s="53"/>
      <c r="C175" s="53"/>
      <c r="D175" s="43"/>
      <c r="E175" s="43"/>
      <c r="F175" s="43"/>
      <c r="G175" s="43"/>
      <c r="H175" s="43"/>
      <c r="I175" s="43"/>
      <c r="J175" s="43"/>
      <c r="K175" s="5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</row>
    <row r="176" ht="15.75" customHeight="1">
      <c r="A176" s="53"/>
      <c r="B176" s="53"/>
      <c r="C176" s="53"/>
      <c r="D176" s="43"/>
      <c r="E176" s="43"/>
      <c r="F176" s="43"/>
      <c r="G176" s="43"/>
      <c r="H176" s="43"/>
      <c r="I176" s="43"/>
      <c r="J176" s="43"/>
      <c r="K176" s="5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</row>
    <row r="177" ht="15.75" customHeight="1">
      <c r="A177" s="53"/>
      <c r="B177" s="53"/>
      <c r="C177" s="53"/>
      <c r="D177" s="43"/>
      <c r="E177" s="43"/>
      <c r="F177" s="43"/>
      <c r="G177" s="43"/>
      <c r="H177" s="43"/>
      <c r="I177" s="43"/>
      <c r="J177" s="43"/>
      <c r="K177" s="5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</row>
    <row r="178" ht="15.75" customHeight="1">
      <c r="A178" s="53"/>
      <c r="B178" s="53"/>
      <c r="C178" s="53"/>
      <c r="D178" s="43"/>
      <c r="E178" s="43"/>
      <c r="F178" s="43"/>
      <c r="G178" s="43"/>
      <c r="H178" s="43"/>
      <c r="I178" s="43"/>
      <c r="J178" s="43"/>
      <c r="K178" s="5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</row>
    <row r="179" ht="15.75" customHeight="1">
      <c r="A179" s="53"/>
      <c r="B179" s="53"/>
      <c r="C179" s="53"/>
      <c r="D179" s="43"/>
      <c r="E179" s="43"/>
      <c r="F179" s="43"/>
      <c r="G179" s="43"/>
      <c r="H179" s="43"/>
      <c r="I179" s="43"/>
      <c r="J179" s="43"/>
      <c r="K179" s="5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</row>
    <row r="180" ht="15.75" customHeight="1">
      <c r="A180" s="53"/>
      <c r="B180" s="53"/>
      <c r="C180" s="53"/>
      <c r="D180" s="43"/>
      <c r="E180" s="43"/>
      <c r="F180" s="43"/>
      <c r="G180" s="43"/>
      <c r="H180" s="43"/>
      <c r="I180" s="43"/>
      <c r="J180" s="43"/>
      <c r="K180" s="5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</row>
    <row r="181" ht="15.75" customHeight="1">
      <c r="A181" s="53"/>
      <c r="B181" s="53"/>
      <c r="C181" s="53"/>
      <c r="D181" s="43"/>
      <c r="E181" s="43"/>
      <c r="F181" s="43"/>
      <c r="G181" s="43"/>
      <c r="H181" s="43"/>
      <c r="I181" s="43"/>
      <c r="J181" s="43"/>
      <c r="K181" s="5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</row>
    <row r="182" ht="15.75" customHeight="1">
      <c r="A182" s="53"/>
      <c r="B182" s="53"/>
      <c r="C182" s="53"/>
      <c r="D182" s="43"/>
      <c r="E182" s="43"/>
      <c r="F182" s="43"/>
      <c r="G182" s="43"/>
      <c r="H182" s="43"/>
      <c r="I182" s="43"/>
      <c r="J182" s="43"/>
      <c r="K182" s="5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</row>
    <row r="183" ht="15.75" customHeight="1">
      <c r="A183" s="53"/>
      <c r="B183" s="53"/>
      <c r="C183" s="53"/>
      <c r="D183" s="43"/>
      <c r="E183" s="43"/>
      <c r="F183" s="43"/>
      <c r="G183" s="43"/>
      <c r="H183" s="43"/>
      <c r="I183" s="43"/>
      <c r="J183" s="43"/>
      <c r="K183" s="5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</row>
    <row r="184" ht="15.75" customHeight="1">
      <c r="A184" s="53"/>
      <c r="B184" s="53"/>
      <c r="C184" s="53"/>
      <c r="D184" s="43"/>
      <c r="E184" s="43"/>
      <c r="F184" s="43"/>
      <c r="G184" s="43"/>
      <c r="H184" s="43"/>
      <c r="I184" s="43"/>
      <c r="J184" s="43"/>
      <c r="K184" s="5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</row>
    <row r="185" ht="15.75" customHeight="1">
      <c r="A185" s="53"/>
      <c r="B185" s="53"/>
      <c r="C185" s="53"/>
      <c r="D185" s="43"/>
      <c r="E185" s="43"/>
      <c r="F185" s="43"/>
      <c r="G185" s="43"/>
      <c r="H185" s="43"/>
      <c r="I185" s="43"/>
      <c r="J185" s="43"/>
      <c r="K185" s="5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</row>
    <row r="186" ht="15.75" customHeight="1">
      <c r="A186" s="53"/>
      <c r="B186" s="53"/>
      <c r="C186" s="53"/>
      <c r="D186" s="43"/>
      <c r="E186" s="43"/>
      <c r="F186" s="43"/>
      <c r="G186" s="43"/>
      <c r="H186" s="43"/>
      <c r="I186" s="43"/>
      <c r="J186" s="43"/>
      <c r="K186" s="5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</row>
    <row r="187" ht="15.75" customHeight="1">
      <c r="A187" s="53"/>
      <c r="B187" s="53"/>
      <c r="C187" s="53"/>
      <c r="D187" s="43"/>
      <c r="E187" s="43"/>
      <c r="F187" s="43"/>
      <c r="G187" s="43"/>
      <c r="H187" s="43"/>
      <c r="I187" s="43"/>
      <c r="J187" s="43"/>
      <c r="K187" s="5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</row>
    <row r="188" ht="15.75" customHeight="1">
      <c r="A188" s="53"/>
      <c r="B188" s="53"/>
      <c r="C188" s="53"/>
      <c r="D188" s="43"/>
      <c r="E188" s="43"/>
      <c r="F188" s="43"/>
      <c r="G188" s="43"/>
      <c r="H188" s="43"/>
      <c r="I188" s="43"/>
      <c r="J188" s="43"/>
      <c r="K188" s="5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</row>
    <row r="189" ht="15.75" customHeight="1">
      <c r="A189" s="53"/>
      <c r="B189" s="53"/>
      <c r="C189" s="53"/>
      <c r="D189" s="43"/>
      <c r="E189" s="43"/>
      <c r="F189" s="43"/>
      <c r="G189" s="43"/>
      <c r="H189" s="43"/>
      <c r="I189" s="43"/>
      <c r="J189" s="43"/>
      <c r="K189" s="5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</row>
    <row r="190" ht="15.75" customHeight="1">
      <c r="A190" s="53"/>
      <c r="B190" s="53"/>
      <c r="C190" s="53"/>
      <c r="D190" s="43"/>
      <c r="E190" s="43"/>
      <c r="F190" s="43"/>
      <c r="G190" s="43"/>
      <c r="H190" s="43"/>
      <c r="I190" s="43"/>
      <c r="J190" s="43"/>
      <c r="K190" s="5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</row>
    <row r="191" ht="15.75" customHeight="1">
      <c r="A191" s="53"/>
      <c r="B191" s="53"/>
      <c r="C191" s="53"/>
      <c r="D191" s="43"/>
      <c r="E191" s="43"/>
      <c r="F191" s="43"/>
      <c r="G191" s="43"/>
      <c r="H191" s="43"/>
      <c r="I191" s="43"/>
      <c r="J191" s="43"/>
      <c r="K191" s="5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</row>
    <row r="192" ht="15.75" customHeight="1">
      <c r="A192" s="53"/>
      <c r="B192" s="53"/>
      <c r="C192" s="53"/>
      <c r="D192" s="43"/>
      <c r="E192" s="43"/>
      <c r="F192" s="43"/>
      <c r="G192" s="43"/>
      <c r="H192" s="43"/>
      <c r="I192" s="43"/>
      <c r="J192" s="43"/>
      <c r="K192" s="5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</row>
    <row r="193" ht="15.75" customHeight="1">
      <c r="A193" s="53"/>
      <c r="B193" s="53"/>
      <c r="C193" s="53"/>
      <c r="D193" s="43"/>
      <c r="E193" s="43"/>
      <c r="F193" s="43"/>
      <c r="G193" s="43"/>
      <c r="H193" s="43"/>
      <c r="I193" s="43"/>
      <c r="J193" s="43"/>
      <c r="K193" s="5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</row>
    <row r="194" ht="15.75" customHeight="1">
      <c r="A194" s="53"/>
      <c r="B194" s="53"/>
      <c r="C194" s="53"/>
      <c r="D194" s="43"/>
      <c r="E194" s="43"/>
      <c r="F194" s="43"/>
      <c r="G194" s="43"/>
      <c r="H194" s="43"/>
      <c r="I194" s="43"/>
      <c r="J194" s="43"/>
      <c r="K194" s="5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</row>
    <row r="195" ht="15.75" customHeight="1">
      <c r="A195" s="53"/>
      <c r="B195" s="53"/>
      <c r="C195" s="53"/>
      <c r="D195" s="43"/>
      <c r="E195" s="43"/>
      <c r="F195" s="43"/>
      <c r="G195" s="43"/>
      <c r="H195" s="43"/>
      <c r="I195" s="43"/>
      <c r="J195" s="43"/>
      <c r="K195" s="5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</row>
    <row r="196" ht="15.75" customHeight="1">
      <c r="A196" s="53"/>
      <c r="B196" s="53"/>
      <c r="C196" s="53"/>
      <c r="D196" s="43"/>
      <c r="E196" s="43"/>
      <c r="F196" s="43"/>
      <c r="G196" s="43"/>
      <c r="H196" s="43"/>
      <c r="I196" s="43"/>
      <c r="J196" s="43"/>
      <c r="K196" s="5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</row>
    <row r="197" ht="15.75" customHeight="1">
      <c r="A197" s="53"/>
      <c r="B197" s="53"/>
      <c r="C197" s="53"/>
      <c r="D197" s="43"/>
      <c r="E197" s="43"/>
      <c r="F197" s="43"/>
      <c r="G197" s="43"/>
      <c r="H197" s="43"/>
      <c r="I197" s="43"/>
      <c r="J197" s="43"/>
      <c r="K197" s="5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 ht="15.75" customHeight="1">
      <c r="A198" s="53"/>
      <c r="B198" s="53"/>
      <c r="C198" s="53"/>
      <c r="D198" s="43"/>
      <c r="E198" s="43"/>
      <c r="F198" s="43"/>
      <c r="G198" s="43"/>
      <c r="H198" s="43"/>
      <c r="I198" s="43"/>
      <c r="J198" s="43"/>
      <c r="K198" s="5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</row>
    <row r="199" ht="15.75" customHeight="1">
      <c r="A199" s="53"/>
      <c r="B199" s="53"/>
      <c r="C199" s="53"/>
      <c r="D199" s="43"/>
      <c r="E199" s="43"/>
      <c r="F199" s="43"/>
      <c r="G199" s="43"/>
      <c r="H199" s="43"/>
      <c r="I199" s="43"/>
      <c r="J199" s="43"/>
      <c r="K199" s="5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 ht="15.75" customHeight="1">
      <c r="A200" s="53"/>
      <c r="B200" s="53"/>
      <c r="C200" s="53"/>
      <c r="D200" s="43"/>
      <c r="E200" s="43"/>
      <c r="F200" s="43"/>
      <c r="G200" s="43"/>
      <c r="H200" s="43"/>
      <c r="I200" s="43"/>
      <c r="J200" s="43"/>
      <c r="K200" s="5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</row>
    <row r="201" ht="15.75" customHeight="1">
      <c r="A201" s="53"/>
      <c r="B201" s="53"/>
      <c r="C201" s="53"/>
      <c r="D201" s="43"/>
      <c r="E201" s="43"/>
      <c r="F201" s="43"/>
      <c r="G201" s="43"/>
      <c r="H201" s="43"/>
      <c r="I201" s="43"/>
      <c r="J201" s="43"/>
      <c r="K201" s="5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</row>
    <row r="202" ht="15.75" customHeight="1">
      <c r="A202" s="53"/>
      <c r="B202" s="53"/>
      <c r="C202" s="53"/>
      <c r="D202" s="43"/>
      <c r="E202" s="43"/>
      <c r="F202" s="43"/>
      <c r="G202" s="43"/>
      <c r="H202" s="43"/>
      <c r="I202" s="43"/>
      <c r="J202" s="43"/>
      <c r="K202" s="5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</row>
    <row r="203" ht="15.75" customHeight="1">
      <c r="A203" s="53"/>
      <c r="B203" s="53"/>
      <c r="C203" s="53"/>
      <c r="D203" s="43"/>
      <c r="E203" s="43"/>
      <c r="F203" s="43"/>
      <c r="G203" s="43"/>
      <c r="H203" s="43"/>
      <c r="I203" s="43"/>
      <c r="J203" s="43"/>
      <c r="K203" s="5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</row>
    <row r="204" ht="15.75" customHeight="1">
      <c r="A204" s="53"/>
      <c r="B204" s="53"/>
      <c r="C204" s="53"/>
      <c r="D204" s="43"/>
      <c r="E204" s="43"/>
      <c r="F204" s="43"/>
      <c r="G204" s="43"/>
      <c r="H204" s="43"/>
      <c r="I204" s="43"/>
      <c r="J204" s="43"/>
      <c r="K204" s="5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</row>
    <row r="205" ht="15.75" customHeight="1">
      <c r="A205" s="53"/>
      <c r="B205" s="53"/>
      <c r="C205" s="53"/>
      <c r="D205" s="43"/>
      <c r="E205" s="43"/>
      <c r="F205" s="43"/>
      <c r="G205" s="43"/>
      <c r="H205" s="43"/>
      <c r="I205" s="43"/>
      <c r="J205" s="43"/>
      <c r="K205" s="5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</row>
    <row r="206" ht="15.75" customHeight="1">
      <c r="A206" s="53"/>
      <c r="B206" s="53"/>
      <c r="C206" s="53"/>
      <c r="D206" s="43"/>
      <c r="E206" s="43"/>
      <c r="F206" s="43"/>
      <c r="G206" s="43"/>
      <c r="H206" s="43"/>
      <c r="I206" s="43"/>
      <c r="J206" s="43"/>
      <c r="K206" s="5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</row>
    <row r="207" ht="15.75" customHeight="1">
      <c r="A207" s="53"/>
      <c r="B207" s="53"/>
      <c r="C207" s="53"/>
      <c r="D207" s="43"/>
      <c r="E207" s="43"/>
      <c r="F207" s="43"/>
      <c r="G207" s="43"/>
      <c r="H207" s="43"/>
      <c r="I207" s="43"/>
      <c r="J207" s="43"/>
      <c r="K207" s="5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</row>
    <row r="208" ht="15.75" customHeight="1">
      <c r="A208" s="53"/>
      <c r="B208" s="53"/>
      <c r="C208" s="53"/>
      <c r="D208" s="43"/>
      <c r="E208" s="43"/>
      <c r="F208" s="43"/>
      <c r="G208" s="43"/>
      <c r="H208" s="43"/>
      <c r="I208" s="43"/>
      <c r="J208" s="43"/>
      <c r="K208" s="5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</row>
    <row r="209" ht="15.75" customHeight="1">
      <c r="A209" s="53"/>
      <c r="B209" s="53"/>
      <c r="C209" s="53"/>
      <c r="D209" s="43"/>
      <c r="E209" s="43"/>
      <c r="F209" s="43"/>
      <c r="G209" s="43"/>
      <c r="H209" s="43"/>
      <c r="I209" s="43"/>
      <c r="J209" s="43"/>
      <c r="K209" s="5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</row>
    <row r="210" ht="15.75" customHeight="1">
      <c r="A210" s="53"/>
      <c r="B210" s="53"/>
      <c r="C210" s="53"/>
      <c r="D210" s="43"/>
      <c r="E210" s="43"/>
      <c r="F210" s="43"/>
      <c r="G210" s="43"/>
      <c r="H210" s="43"/>
      <c r="I210" s="43"/>
      <c r="J210" s="43"/>
      <c r="K210" s="5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</row>
    <row r="211" ht="15.75" customHeight="1">
      <c r="A211" s="53"/>
      <c r="B211" s="53"/>
      <c r="C211" s="53"/>
      <c r="D211" s="43"/>
      <c r="E211" s="43"/>
      <c r="F211" s="43"/>
      <c r="G211" s="43"/>
      <c r="H211" s="43"/>
      <c r="I211" s="43"/>
      <c r="J211" s="43"/>
      <c r="K211" s="5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</row>
    <row r="212" ht="15.75" customHeight="1">
      <c r="A212" s="53"/>
      <c r="B212" s="53"/>
      <c r="C212" s="53"/>
      <c r="D212" s="43"/>
      <c r="E212" s="43"/>
      <c r="F212" s="43"/>
      <c r="G212" s="43"/>
      <c r="H212" s="43"/>
      <c r="I212" s="43"/>
      <c r="J212" s="43"/>
      <c r="K212" s="5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</row>
    <row r="213" ht="15.75" customHeight="1">
      <c r="A213" s="53"/>
      <c r="B213" s="53"/>
      <c r="C213" s="53"/>
      <c r="D213" s="43"/>
      <c r="E213" s="43"/>
      <c r="F213" s="43"/>
      <c r="G213" s="43"/>
      <c r="H213" s="43"/>
      <c r="I213" s="43"/>
      <c r="J213" s="43"/>
      <c r="K213" s="5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</row>
    <row r="214" ht="15.75" customHeight="1">
      <c r="A214" s="53"/>
      <c r="B214" s="53"/>
      <c r="C214" s="53"/>
      <c r="D214" s="43"/>
      <c r="E214" s="43"/>
      <c r="F214" s="43"/>
      <c r="G214" s="43"/>
      <c r="H214" s="43"/>
      <c r="I214" s="43"/>
      <c r="J214" s="43"/>
      <c r="K214" s="5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</row>
    <row r="215" ht="15.75" customHeight="1">
      <c r="A215" s="53"/>
      <c r="B215" s="53"/>
      <c r="C215" s="53"/>
      <c r="D215" s="43"/>
      <c r="E215" s="43"/>
      <c r="F215" s="43"/>
      <c r="G215" s="43"/>
      <c r="H215" s="43"/>
      <c r="I215" s="43"/>
      <c r="J215" s="43"/>
      <c r="K215" s="5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</row>
    <row r="216" ht="15.75" customHeight="1">
      <c r="A216" s="53"/>
      <c r="B216" s="53"/>
      <c r="C216" s="53"/>
      <c r="D216" s="43"/>
      <c r="E216" s="43"/>
      <c r="F216" s="43"/>
      <c r="G216" s="43"/>
      <c r="H216" s="43"/>
      <c r="I216" s="43"/>
      <c r="J216" s="43"/>
      <c r="K216" s="5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</row>
    <row r="217" ht="15.75" customHeight="1">
      <c r="A217" s="53"/>
      <c r="B217" s="53"/>
      <c r="C217" s="53"/>
      <c r="D217" s="43"/>
      <c r="E217" s="43"/>
      <c r="F217" s="43"/>
      <c r="G217" s="43"/>
      <c r="H217" s="43"/>
      <c r="I217" s="43"/>
      <c r="J217" s="43"/>
      <c r="K217" s="5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</row>
    <row r="218" ht="15.75" customHeight="1">
      <c r="A218" s="53"/>
      <c r="B218" s="53"/>
      <c r="C218" s="53"/>
      <c r="D218" s="43"/>
      <c r="E218" s="43"/>
      <c r="F218" s="43"/>
      <c r="G218" s="43"/>
      <c r="H218" s="43"/>
      <c r="I218" s="43"/>
      <c r="J218" s="43"/>
      <c r="K218" s="5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</row>
    <row r="219" ht="15.75" customHeight="1">
      <c r="A219" s="53"/>
      <c r="B219" s="53"/>
      <c r="C219" s="53"/>
      <c r="D219" s="43"/>
      <c r="E219" s="43"/>
      <c r="F219" s="43"/>
      <c r="G219" s="43"/>
      <c r="H219" s="43"/>
      <c r="I219" s="43"/>
      <c r="J219" s="43"/>
      <c r="K219" s="5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</row>
    <row r="220" ht="15.75" customHeight="1">
      <c r="A220" s="53"/>
      <c r="B220" s="53"/>
      <c r="C220" s="53"/>
      <c r="D220" s="43"/>
      <c r="E220" s="43"/>
      <c r="F220" s="43"/>
      <c r="G220" s="43"/>
      <c r="H220" s="43"/>
      <c r="I220" s="43"/>
      <c r="J220" s="43"/>
      <c r="K220" s="5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</row>
    <row r="221" ht="15.75" customHeight="1">
      <c r="A221" s="53"/>
      <c r="B221" s="53"/>
      <c r="C221" s="53"/>
      <c r="D221" s="43"/>
      <c r="E221" s="43"/>
      <c r="F221" s="43"/>
      <c r="G221" s="43"/>
      <c r="H221" s="43"/>
      <c r="I221" s="43"/>
      <c r="J221" s="43"/>
      <c r="K221" s="5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</row>
    <row r="222" ht="15.75" customHeight="1">
      <c r="A222" s="53"/>
      <c r="B222" s="53"/>
      <c r="C222" s="53"/>
      <c r="D222" s="43"/>
      <c r="E222" s="43"/>
      <c r="F222" s="43"/>
      <c r="G222" s="43"/>
      <c r="H222" s="43"/>
      <c r="I222" s="43"/>
      <c r="J222" s="43"/>
      <c r="K222" s="5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</row>
    <row r="223" ht="15.75" customHeight="1">
      <c r="A223" s="53"/>
      <c r="B223" s="53"/>
      <c r="C223" s="53"/>
      <c r="D223" s="43"/>
      <c r="E223" s="43"/>
      <c r="F223" s="43"/>
      <c r="G223" s="43"/>
      <c r="H223" s="43"/>
      <c r="I223" s="43"/>
      <c r="J223" s="43"/>
      <c r="K223" s="5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</row>
    <row r="224" ht="15.75" customHeight="1">
      <c r="A224" s="53"/>
      <c r="B224" s="53"/>
      <c r="C224" s="53"/>
      <c r="D224" s="43"/>
      <c r="E224" s="43"/>
      <c r="F224" s="43"/>
      <c r="G224" s="43"/>
      <c r="H224" s="43"/>
      <c r="I224" s="43"/>
      <c r="J224" s="43"/>
      <c r="K224" s="5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</row>
    <row r="225" ht="15.75" customHeight="1">
      <c r="A225" s="53"/>
      <c r="B225" s="53"/>
      <c r="C225" s="53"/>
      <c r="D225" s="43"/>
      <c r="E225" s="43"/>
      <c r="F225" s="43"/>
      <c r="G225" s="43"/>
      <c r="H225" s="43"/>
      <c r="I225" s="43"/>
      <c r="J225" s="43"/>
      <c r="K225" s="5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</row>
    <row r="226" ht="15.75" customHeight="1">
      <c r="A226" s="53"/>
      <c r="B226" s="53"/>
      <c r="C226" s="53"/>
      <c r="D226" s="43"/>
      <c r="E226" s="43"/>
      <c r="F226" s="43"/>
      <c r="G226" s="43"/>
      <c r="H226" s="43"/>
      <c r="I226" s="43"/>
      <c r="J226" s="43"/>
      <c r="K226" s="5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</row>
    <row r="227" ht="15.75" customHeight="1">
      <c r="A227" s="53"/>
      <c r="B227" s="53"/>
      <c r="C227" s="53"/>
      <c r="D227" s="43"/>
      <c r="E227" s="43"/>
      <c r="F227" s="43"/>
      <c r="G227" s="43"/>
      <c r="H227" s="43"/>
      <c r="I227" s="43"/>
      <c r="J227" s="43"/>
      <c r="K227" s="5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</row>
    <row r="228" ht="15.75" customHeight="1">
      <c r="A228" s="53"/>
      <c r="B228" s="53"/>
      <c r="C228" s="53"/>
      <c r="D228" s="43"/>
      <c r="E228" s="43"/>
      <c r="F228" s="43"/>
      <c r="G228" s="43"/>
      <c r="H228" s="43"/>
      <c r="I228" s="43"/>
      <c r="J228" s="43"/>
      <c r="K228" s="5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</row>
    <row r="229" ht="15.75" customHeight="1">
      <c r="A229" s="53"/>
      <c r="B229" s="53"/>
      <c r="C229" s="53"/>
      <c r="D229" s="43"/>
      <c r="E229" s="43"/>
      <c r="F229" s="43"/>
      <c r="G229" s="43"/>
      <c r="H229" s="43"/>
      <c r="I229" s="43"/>
      <c r="J229" s="43"/>
      <c r="K229" s="5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</row>
    <row r="230" ht="15.75" customHeight="1">
      <c r="A230" s="53"/>
      <c r="B230" s="53"/>
      <c r="C230" s="53"/>
      <c r="D230" s="43"/>
      <c r="E230" s="43"/>
      <c r="F230" s="43"/>
      <c r="G230" s="43"/>
      <c r="H230" s="43"/>
      <c r="I230" s="43"/>
      <c r="J230" s="43"/>
      <c r="K230" s="5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</row>
    <row r="231" ht="15.75" customHeight="1">
      <c r="A231" s="53"/>
      <c r="B231" s="53"/>
      <c r="C231" s="53"/>
      <c r="D231" s="43"/>
      <c r="E231" s="43"/>
      <c r="F231" s="43"/>
      <c r="G231" s="43"/>
      <c r="H231" s="43"/>
      <c r="I231" s="43"/>
      <c r="J231" s="43"/>
      <c r="K231" s="5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</row>
    <row r="232" ht="15.75" customHeight="1">
      <c r="A232" s="53"/>
      <c r="B232" s="53"/>
      <c r="C232" s="53"/>
      <c r="D232" s="43"/>
      <c r="E232" s="43"/>
      <c r="F232" s="43"/>
      <c r="G232" s="43"/>
      <c r="H232" s="43"/>
      <c r="I232" s="43"/>
      <c r="J232" s="43"/>
      <c r="K232" s="5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</row>
    <row r="233" ht="15.75" customHeight="1">
      <c r="A233" s="53"/>
      <c r="B233" s="53"/>
      <c r="C233" s="53"/>
      <c r="D233" s="43"/>
      <c r="E233" s="43"/>
      <c r="F233" s="43"/>
      <c r="G233" s="43"/>
      <c r="H233" s="43"/>
      <c r="I233" s="43"/>
      <c r="J233" s="43"/>
      <c r="K233" s="5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</row>
    <row r="234" ht="15.75" customHeight="1">
      <c r="A234" s="53"/>
      <c r="B234" s="53"/>
      <c r="C234" s="53"/>
      <c r="D234" s="43"/>
      <c r="E234" s="43"/>
      <c r="F234" s="43"/>
      <c r="G234" s="43"/>
      <c r="H234" s="43"/>
      <c r="I234" s="43"/>
      <c r="J234" s="43"/>
      <c r="K234" s="5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</row>
    <row r="235" ht="15.75" customHeight="1">
      <c r="A235" s="53"/>
      <c r="B235" s="53"/>
      <c r="C235" s="53"/>
      <c r="D235" s="43"/>
      <c r="E235" s="43"/>
      <c r="F235" s="43"/>
      <c r="G235" s="43"/>
      <c r="H235" s="43"/>
      <c r="I235" s="43"/>
      <c r="J235" s="43"/>
      <c r="K235" s="5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</row>
    <row r="236" ht="15.75" customHeight="1">
      <c r="A236" s="53"/>
      <c r="B236" s="53"/>
      <c r="C236" s="53"/>
      <c r="D236" s="43"/>
      <c r="E236" s="43"/>
      <c r="F236" s="43"/>
      <c r="G236" s="43"/>
      <c r="H236" s="43"/>
      <c r="I236" s="43"/>
      <c r="J236" s="43"/>
      <c r="K236" s="5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</row>
    <row r="237" ht="15.75" customHeight="1">
      <c r="A237" s="53"/>
      <c r="B237" s="53"/>
      <c r="C237" s="53"/>
      <c r="D237" s="43"/>
      <c r="E237" s="43"/>
      <c r="F237" s="43"/>
      <c r="G237" s="43"/>
      <c r="H237" s="43"/>
      <c r="I237" s="43"/>
      <c r="J237" s="43"/>
      <c r="K237" s="5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</row>
    <row r="238" ht="15.75" customHeight="1">
      <c r="A238" s="53"/>
      <c r="B238" s="53"/>
      <c r="C238" s="53"/>
      <c r="D238" s="43"/>
      <c r="E238" s="43"/>
      <c r="F238" s="43"/>
      <c r="G238" s="43"/>
      <c r="H238" s="43"/>
      <c r="I238" s="43"/>
      <c r="J238" s="43"/>
      <c r="K238" s="5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</row>
    <row r="239" ht="15.75" customHeight="1">
      <c r="A239" s="53"/>
      <c r="B239" s="53"/>
      <c r="C239" s="53"/>
      <c r="D239" s="43"/>
      <c r="E239" s="43"/>
      <c r="F239" s="43"/>
      <c r="G239" s="43"/>
      <c r="H239" s="43"/>
      <c r="I239" s="43"/>
      <c r="J239" s="43"/>
      <c r="K239" s="5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</row>
    <row r="240" ht="15.75" customHeight="1">
      <c r="A240" s="53"/>
      <c r="B240" s="53"/>
      <c r="C240" s="53"/>
      <c r="D240" s="43"/>
      <c r="E240" s="43"/>
      <c r="F240" s="43"/>
      <c r="G240" s="43"/>
      <c r="H240" s="43"/>
      <c r="I240" s="43"/>
      <c r="J240" s="43"/>
      <c r="K240" s="5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</row>
    <row r="241" ht="15.75" customHeight="1">
      <c r="A241" s="53"/>
      <c r="B241" s="53"/>
      <c r="C241" s="53"/>
      <c r="D241" s="43"/>
      <c r="E241" s="43"/>
      <c r="F241" s="43"/>
      <c r="G241" s="43"/>
      <c r="H241" s="43"/>
      <c r="I241" s="43"/>
      <c r="J241" s="43"/>
      <c r="K241" s="5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</row>
    <row r="242" ht="15.75" customHeight="1">
      <c r="A242" s="53"/>
      <c r="B242" s="53"/>
      <c r="C242" s="53"/>
      <c r="D242" s="43"/>
      <c r="E242" s="43"/>
      <c r="F242" s="43"/>
      <c r="G242" s="43"/>
      <c r="H242" s="43"/>
      <c r="I242" s="43"/>
      <c r="J242" s="43"/>
      <c r="K242" s="5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</row>
    <row r="243" ht="15.75" customHeight="1">
      <c r="A243" s="53"/>
      <c r="B243" s="53"/>
      <c r="C243" s="53"/>
      <c r="D243" s="43"/>
      <c r="E243" s="43"/>
      <c r="F243" s="43"/>
      <c r="G243" s="43"/>
      <c r="H243" s="43"/>
      <c r="I243" s="43"/>
      <c r="J243" s="43"/>
      <c r="K243" s="5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</row>
    <row r="244" ht="15.75" customHeight="1">
      <c r="A244" s="53"/>
      <c r="B244" s="53"/>
      <c r="C244" s="53"/>
      <c r="D244" s="43"/>
      <c r="E244" s="43"/>
      <c r="F244" s="43"/>
      <c r="G244" s="43"/>
      <c r="H244" s="43"/>
      <c r="I244" s="43"/>
      <c r="J244" s="43"/>
      <c r="K244" s="5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</row>
    <row r="245" ht="15.75" customHeight="1">
      <c r="A245" s="53"/>
      <c r="B245" s="53"/>
      <c r="C245" s="53"/>
      <c r="D245" s="43"/>
      <c r="E245" s="43"/>
      <c r="F245" s="43"/>
      <c r="G245" s="43"/>
      <c r="H245" s="43"/>
      <c r="I245" s="43"/>
      <c r="J245" s="43"/>
      <c r="K245" s="5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</row>
    <row r="246" ht="15.75" customHeight="1">
      <c r="A246" s="53"/>
      <c r="B246" s="53"/>
      <c r="C246" s="53"/>
      <c r="D246" s="43"/>
      <c r="E246" s="43"/>
      <c r="F246" s="43"/>
      <c r="G246" s="43"/>
      <c r="H246" s="43"/>
      <c r="I246" s="43"/>
      <c r="J246" s="43"/>
      <c r="K246" s="5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</row>
    <row r="247" ht="15.75" customHeight="1">
      <c r="A247" s="53"/>
      <c r="B247" s="53"/>
      <c r="C247" s="53"/>
      <c r="D247" s="43"/>
      <c r="E247" s="43"/>
      <c r="F247" s="43"/>
      <c r="G247" s="43"/>
      <c r="H247" s="43"/>
      <c r="I247" s="43"/>
      <c r="J247" s="43"/>
      <c r="K247" s="5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</row>
    <row r="248" ht="15.75" customHeight="1">
      <c r="A248" s="53"/>
      <c r="B248" s="53"/>
      <c r="C248" s="53"/>
      <c r="D248" s="43"/>
      <c r="E248" s="43"/>
      <c r="F248" s="43"/>
      <c r="G248" s="43"/>
      <c r="H248" s="43"/>
      <c r="I248" s="43"/>
      <c r="J248" s="43"/>
      <c r="K248" s="5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</row>
    <row r="249" ht="15.75" customHeight="1">
      <c r="A249" s="53"/>
      <c r="B249" s="53"/>
      <c r="C249" s="53"/>
      <c r="D249" s="43"/>
      <c r="E249" s="43"/>
      <c r="F249" s="43"/>
      <c r="G249" s="43"/>
      <c r="H249" s="43"/>
      <c r="I249" s="43"/>
      <c r="J249" s="43"/>
      <c r="K249" s="5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</row>
    <row r="250" ht="15.75" customHeight="1">
      <c r="A250" s="53"/>
      <c r="B250" s="53"/>
      <c r="C250" s="53"/>
      <c r="D250" s="43"/>
      <c r="E250" s="43"/>
      <c r="F250" s="43"/>
      <c r="G250" s="43"/>
      <c r="H250" s="43"/>
      <c r="I250" s="43"/>
      <c r="J250" s="43"/>
      <c r="K250" s="5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</row>
    <row r="251" ht="15.75" customHeight="1">
      <c r="A251" s="53"/>
      <c r="B251" s="53"/>
      <c r="C251" s="53"/>
      <c r="D251" s="43"/>
      <c r="E251" s="43"/>
      <c r="F251" s="43"/>
      <c r="G251" s="43"/>
      <c r="H251" s="43"/>
      <c r="I251" s="43"/>
      <c r="J251" s="43"/>
      <c r="K251" s="5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</row>
    <row r="252" ht="15.75" customHeight="1">
      <c r="A252" s="53"/>
      <c r="B252" s="53"/>
      <c r="C252" s="53"/>
      <c r="D252" s="43"/>
      <c r="E252" s="43"/>
      <c r="F252" s="43"/>
      <c r="G252" s="43"/>
      <c r="H252" s="43"/>
      <c r="I252" s="43"/>
      <c r="J252" s="43"/>
      <c r="K252" s="5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</row>
    <row r="253" ht="15.75" customHeight="1">
      <c r="A253" s="53"/>
      <c r="B253" s="53"/>
      <c r="C253" s="53"/>
      <c r="D253" s="43"/>
      <c r="E253" s="43"/>
      <c r="F253" s="43"/>
      <c r="G253" s="43"/>
      <c r="H253" s="43"/>
      <c r="I253" s="43"/>
      <c r="J253" s="43"/>
      <c r="K253" s="5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</row>
    <row r="254" ht="15.75" customHeight="1">
      <c r="A254" s="53"/>
      <c r="B254" s="53"/>
      <c r="C254" s="53"/>
      <c r="D254" s="43"/>
      <c r="E254" s="43"/>
      <c r="F254" s="43"/>
      <c r="G254" s="43"/>
      <c r="H254" s="43"/>
      <c r="I254" s="43"/>
      <c r="J254" s="43"/>
      <c r="K254" s="5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</row>
    <row r="255" ht="15.75" customHeight="1">
      <c r="A255" s="53"/>
      <c r="B255" s="53"/>
      <c r="C255" s="53"/>
      <c r="D255" s="43"/>
      <c r="E255" s="43"/>
      <c r="F255" s="43"/>
      <c r="G255" s="43"/>
      <c r="H255" s="43"/>
      <c r="I255" s="43"/>
      <c r="J255" s="43"/>
      <c r="K255" s="5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</row>
    <row r="256" ht="15.75" customHeight="1">
      <c r="A256" s="53"/>
      <c r="B256" s="53"/>
      <c r="C256" s="53"/>
      <c r="D256" s="43"/>
      <c r="E256" s="43"/>
      <c r="F256" s="43"/>
      <c r="G256" s="43"/>
      <c r="H256" s="43"/>
      <c r="I256" s="43"/>
      <c r="J256" s="43"/>
      <c r="K256" s="5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</row>
    <row r="257" ht="15.75" customHeight="1">
      <c r="A257" s="53"/>
      <c r="B257" s="53"/>
      <c r="C257" s="53"/>
      <c r="D257" s="43"/>
      <c r="E257" s="43"/>
      <c r="F257" s="43"/>
      <c r="G257" s="43"/>
      <c r="H257" s="43"/>
      <c r="I257" s="43"/>
      <c r="J257" s="43"/>
      <c r="K257" s="5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</row>
    <row r="258" ht="15.75" customHeight="1">
      <c r="A258" s="53"/>
      <c r="B258" s="53"/>
      <c r="C258" s="53"/>
      <c r="D258" s="43"/>
      <c r="E258" s="43"/>
      <c r="F258" s="43"/>
      <c r="G258" s="43"/>
      <c r="H258" s="43"/>
      <c r="I258" s="43"/>
      <c r="J258" s="43"/>
      <c r="K258" s="5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</row>
    <row r="259" ht="15.75" customHeight="1">
      <c r="A259" s="53"/>
      <c r="B259" s="53"/>
      <c r="C259" s="53"/>
      <c r="D259" s="43"/>
      <c r="E259" s="43"/>
      <c r="F259" s="43"/>
      <c r="G259" s="43"/>
      <c r="H259" s="43"/>
      <c r="I259" s="43"/>
      <c r="J259" s="43"/>
      <c r="K259" s="5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</row>
    <row r="260" ht="15.75" customHeight="1">
      <c r="A260" s="53"/>
      <c r="B260" s="53"/>
      <c r="C260" s="53"/>
      <c r="D260" s="43"/>
      <c r="E260" s="43"/>
      <c r="F260" s="43"/>
      <c r="G260" s="43"/>
      <c r="H260" s="43"/>
      <c r="I260" s="43"/>
      <c r="J260" s="43"/>
      <c r="K260" s="5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</row>
    <row r="261" ht="15.75" customHeight="1">
      <c r="A261" s="53"/>
      <c r="B261" s="53"/>
      <c r="C261" s="53"/>
      <c r="D261" s="43"/>
      <c r="E261" s="43"/>
      <c r="F261" s="43"/>
      <c r="G261" s="43"/>
      <c r="H261" s="43"/>
      <c r="I261" s="43"/>
      <c r="J261" s="43"/>
      <c r="K261" s="5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</row>
    <row r="262" ht="15.75" customHeight="1">
      <c r="A262" s="53"/>
      <c r="B262" s="53"/>
      <c r="C262" s="53"/>
      <c r="D262" s="43"/>
      <c r="E262" s="43"/>
      <c r="F262" s="43"/>
      <c r="G262" s="43"/>
      <c r="H262" s="43"/>
      <c r="I262" s="43"/>
      <c r="J262" s="43"/>
      <c r="K262" s="5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</row>
    <row r="263" ht="15.75" customHeight="1">
      <c r="A263" s="53"/>
      <c r="B263" s="53"/>
      <c r="C263" s="53"/>
      <c r="D263" s="43"/>
      <c r="E263" s="43"/>
      <c r="F263" s="43"/>
      <c r="G263" s="43"/>
      <c r="H263" s="43"/>
      <c r="I263" s="43"/>
      <c r="J263" s="43"/>
      <c r="K263" s="5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</row>
    <row r="264" ht="15.75" customHeight="1">
      <c r="A264" s="53"/>
      <c r="B264" s="53"/>
      <c r="C264" s="53"/>
      <c r="D264" s="43"/>
      <c r="E264" s="43"/>
      <c r="F264" s="43"/>
      <c r="G264" s="43"/>
      <c r="H264" s="43"/>
      <c r="I264" s="43"/>
      <c r="J264" s="43"/>
      <c r="K264" s="5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</row>
    <row r="265" ht="15.75" customHeight="1">
      <c r="A265" s="53"/>
      <c r="B265" s="53"/>
      <c r="C265" s="53"/>
      <c r="D265" s="43"/>
      <c r="E265" s="43"/>
      <c r="F265" s="43"/>
      <c r="G265" s="43"/>
      <c r="H265" s="43"/>
      <c r="I265" s="43"/>
      <c r="J265" s="43"/>
      <c r="K265" s="5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</row>
    <row r="266" ht="15.75" customHeight="1">
      <c r="A266" s="53"/>
      <c r="B266" s="53"/>
      <c r="C266" s="53"/>
      <c r="D266" s="43"/>
      <c r="E266" s="43"/>
      <c r="F266" s="43"/>
      <c r="G266" s="43"/>
      <c r="H266" s="43"/>
      <c r="I266" s="43"/>
      <c r="J266" s="43"/>
      <c r="K266" s="5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</row>
    <row r="267" ht="15.75" customHeight="1">
      <c r="A267" s="53"/>
      <c r="B267" s="53"/>
      <c r="C267" s="53"/>
      <c r="D267" s="43"/>
      <c r="E267" s="43"/>
      <c r="F267" s="43"/>
      <c r="G267" s="43"/>
      <c r="H267" s="43"/>
      <c r="I267" s="43"/>
      <c r="J267" s="43"/>
      <c r="K267" s="5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</row>
    <row r="268" ht="15.75" customHeight="1">
      <c r="A268" s="53"/>
      <c r="B268" s="53"/>
      <c r="C268" s="53"/>
      <c r="D268" s="43"/>
      <c r="E268" s="43"/>
      <c r="F268" s="43"/>
      <c r="G268" s="43"/>
      <c r="H268" s="43"/>
      <c r="I268" s="43"/>
      <c r="J268" s="43"/>
      <c r="K268" s="5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</row>
    <row r="269" ht="15.75" customHeight="1">
      <c r="A269" s="53"/>
      <c r="B269" s="53"/>
      <c r="C269" s="53"/>
      <c r="D269" s="43"/>
      <c r="E269" s="43"/>
      <c r="F269" s="43"/>
      <c r="G269" s="43"/>
      <c r="H269" s="43"/>
      <c r="I269" s="43"/>
      <c r="J269" s="43"/>
      <c r="K269" s="5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</row>
    <row r="270" ht="15.75" customHeight="1">
      <c r="A270" s="53"/>
      <c r="B270" s="53"/>
      <c r="C270" s="53"/>
      <c r="D270" s="43"/>
      <c r="E270" s="43"/>
      <c r="F270" s="43"/>
      <c r="G270" s="43"/>
      <c r="H270" s="43"/>
      <c r="I270" s="43"/>
      <c r="J270" s="43"/>
      <c r="K270" s="5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</row>
    <row r="271" ht="15.75" customHeight="1">
      <c r="A271" s="53"/>
      <c r="B271" s="53"/>
      <c r="C271" s="53"/>
      <c r="D271" s="43"/>
      <c r="E271" s="43"/>
      <c r="F271" s="43"/>
      <c r="G271" s="43"/>
      <c r="H271" s="43"/>
      <c r="I271" s="43"/>
      <c r="J271" s="43"/>
      <c r="K271" s="5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</row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62"/>
    <hyperlink r:id="rId2" ref="A64"/>
  </hyperlinks>
  <printOptions/>
  <pageMargins bottom="0.75" footer="0.0" header="0.0" left="0.7" right="0.7" top="0.75"/>
  <pageSetup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2.0" topLeftCell="B13" activePane="bottomRight" state="frozen"/>
      <selection activeCell="B1" sqref="B1" pane="topRight"/>
      <selection activeCell="A13" sqref="A13" pane="bottomLeft"/>
      <selection activeCell="B13" sqref="B13" pane="bottomRight"/>
    </sheetView>
  </sheetViews>
  <sheetFormatPr customHeight="1" defaultColWidth="14.43" defaultRowHeight="15.0"/>
  <cols>
    <col customWidth="1" min="1" max="1" width="41.0"/>
    <col customWidth="1" min="2" max="2" width="30.43"/>
    <col customWidth="1" min="3" max="3" width="40.0"/>
    <col customWidth="1" min="4" max="4" width="1.43"/>
    <col customWidth="1" min="5" max="5" width="12.57"/>
    <col customWidth="1" min="6" max="6" width="9.14"/>
    <col customWidth="1" min="7" max="7" width="1.86"/>
    <col customWidth="1" min="8" max="10" width="12.14"/>
    <col customWidth="1" min="11" max="11" width="14.29"/>
    <col customWidth="1" min="12" max="12" width="8.57"/>
    <col customWidth="1" min="13" max="13" width="3.29"/>
    <col customWidth="1" min="14" max="14" width="20.0"/>
    <col customWidth="1" min="15" max="15" width="2.71"/>
    <col customWidth="1" min="16" max="16" width="20.0"/>
    <col customWidth="1" min="17" max="17" width="2.71"/>
    <col customWidth="1" min="18" max="18" width="20.0"/>
    <col customWidth="1" min="19" max="19" width="9.29"/>
    <col customWidth="1" min="20" max="20" width="4.86"/>
    <col customWidth="1" min="21" max="22" width="20.0"/>
    <col customWidth="1" min="23" max="23" width="6.71"/>
    <col customWidth="1" min="24" max="24" width="3.0"/>
    <col customWidth="1" hidden="1" min="25" max="25" width="10.71"/>
    <col customWidth="1" hidden="1" min="26" max="26" width="8.43"/>
    <col customWidth="1" hidden="1" min="27" max="27" width="8.57"/>
    <col customWidth="1" hidden="1" min="28" max="28" width="1.71"/>
    <col customWidth="1" hidden="1" min="29" max="29" width="10.0"/>
    <col customWidth="1" hidden="1" min="30" max="30" width="7.71"/>
    <col customWidth="1" hidden="1" min="31" max="31" width="8.57"/>
    <col customWidth="1" hidden="1" min="32" max="32" width="10.57"/>
    <col customWidth="1" hidden="1" min="33" max="33" width="2.43"/>
    <col customWidth="1" hidden="1" min="34" max="34" width="10.0"/>
    <col customWidth="1" hidden="1" min="35" max="35" width="8.29"/>
    <col customWidth="1" hidden="1" min="36" max="36" width="2.0"/>
    <col customWidth="1" hidden="1" min="37" max="37" width="12.43"/>
    <col customWidth="1" hidden="1" min="38" max="38" width="8.71"/>
    <col customWidth="1" hidden="1" min="39" max="39" width="1.86"/>
    <col customWidth="1" hidden="1" min="40" max="40" width="12.29"/>
    <col customWidth="1" hidden="1" min="41" max="41" width="8.29"/>
    <col customWidth="1" hidden="1" min="42" max="42" width="2.0"/>
    <col customWidth="1" hidden="1" min="43" max="43" width="11.0"/>
    <col customWidth="1" hidden="1" min="44" max="44" width="8.0"/>
    <col customWidth="1" hidden="1" min="45" max="45" width="1.86"/>
    <col customWidth="1" hidden="1" min="46" max="46" width="11.57"/>
    <col customWidth="1" hidden="1" min="47" max="47" width="8.71"/>
    <col customWidth="1" min="48" max="48" width="0.14"/>
    <col customWidth="1" hidden="1" min="49" max="49" width="22.43"/>
    <col customWidth="1" hidden="1" min="50" max="50" width="9.57"/>
    <col customWidth="1" hidden="1" min="51" max="51" width="3.0"/>
    <col customWidth="1" hidden="1" min="52" max="52" width="22.43"/>
    <col customWidth="1" hidden="1" min="53" max="53" width="10.0"/>
    <col customWidth="1" hidden="1" min="54" max="54" width="1.86"/>
    <col customWidth="1" hidden="1" min="55" max="55" width="24.57"/>
    <col customWidth="1" hidden="1" min="56" max="56" width="9.57"/>
    <col customWidth="1" hidden="1" min="57" max="57" width="1.86"/>
    <col customWidth="1" hidden="1" min="58" max="58" width="22.43"/>
    <col customWidth="1" hidden="1" min="59" max="59" width="10.0"/>
    <col customWidth="1" hidden="1" min="60" max="60" width="2.29"/>
    <col customWidth="1" hidden="1" min="61" max="61" width="22.43"/>
    <col customWidth="1" hidden="1" min="62" max="62" width="9.57"/>
    <col customWidth="1" hidden="1" min="63" max="63" width="22.43"/>
    <col customWidth="1" hidden="1" min="64" max="64" width="9.14"/>
    <col customWidth="1" hidden="1" min="65" max="65" width="2.86"/>
    <col customWidth="1" hidden="1" min="66" max="66" width="22.43"/>
    <col customWidth="1" hidden="1" min="67" max="67" width="9.14"/>
    <col customWidth="1" hidden="1" min="68" max="68" width="3.71"/>
    <col customWidth="1" hidden="1" min="69" max="69" width="2.57"/>
    <col customWidth="1" hidden="1" min="70" max="70" width="15.71"/>
    <col customWidth="1" hidden="1" min="71" max="71" width="9.14"/>
    <col customWidth="1" hidden="1" min="72" max="72" width="2.43"/>
    <col customWidth="1" hidden="1" min="73" max="73" width="15.71"/>
    <col customWidth="1" hidden="1" min="74" max="74" width="9.14"/>
    <col customWidth="1" hidden="1" min="75" max="75" width="3.57"/>
    <col customWidth="1" hidden="1" min="76" max="76" width="15.71"/>
    <col customWidth="1" hidden="1" min="77" max="77" width="9.14"/>
    <col customWidth="1" hidden="1" min="78" max="78" width="3.86"/>
    <col customWidth="1" hidden="1" min="79" max="79" width="15.71"/>
    <col customWidth="1" hidden="1" min="80" max="80" width="9.14"/>
    <col customWidth="1" hidden="1" min="81" max="81" width="2.71"/>
    <col customWidth="1" hidden="1" min="82" max="82" width="15.71"/>
    <col customWidth="1" hidden="1" min="83" max="83" width="9.14"/>
    <col customWidth="1" hidden="1" min="84" max="84" width="3.71"/>
    <col customWidth="1" hidden="1" min="85" max="85" width="15.71"/>
    <col customWidth="1" hidden="1" min="86" max="86" width="9.14"/>
    <col customWidth="1" hidden="1" min="87" max="87" width="2.43"/>
    <col customWidth="1" hidden="1" min="88" max="88" width="15.71"/>
    <col customWidth="1" hidden="1" min="89" max="89" width="9.14"/>
  </cols>
  <sheetData>
    <row r="1" ht="29.25" customHeight="1">
      <c r="A1" s="1"/>
      <c r="B1" s="1"/>
      <c r="C1" s="2"/>
      <c r="D1" s="2"/>
      <c r="E1" s="3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 t="s">
        <v>250</v>
      </c>
      <c r="V1" s="1"/>
      <c r="W1" s="1"/>
      <c r="X1" s="1"/>
      <c r="Y1" s="1" t="s">
        <v>251</v>
      </c>
      <c r="Z1" s="1"/>
      <c r="AA1" s="1"/>
      <c r="AB1" s="1"/>
      <c r="AC1" s="1" t="s">
        <v>252</v>
      </c>
      <c r="AD1" s="1"/>
      <c r="AE1" s="1"/>
      <c r="AF1" s="1"/>
      <c r="AG1" s="1"/>
      <c r="AH1" s="1" t="s">
        <v>253</v>
      </c>
      <c r="AI1" s="1"/>
      <c r="AJ1" s="1"/>
      <c r="AK1" s="1" t="s">
        <v>254</v>
      </c>
      <c r="AL1" s="1"/>
      <c r="AM1" s="1"/>
      <c r="AN1" s="1" t="s">
        <v>255</v>
      </c>
      <c r="AO1" s="1"/>
      <c r="AP1" s="1"/>
      <c r="AQ1" s="1" t="s">
        <v>256</v>
      </c>
      <c r="AR1" s="1"/>
      <c r="AS1" s="1"/>
      <c r="AT1" s="1" t="s">
        <v>257</v>
      </c>
      <c r="AU1" s="1"/>
      <c r="AV1" s="1"/>
      <c r="AW1" s="229" t="s">
        <v>258</v>
      </c>
      <c r="AX1" s="1"/>
      <c r="AY1" s="1"/>
      <c r="AZ1" s="1" t="s">
        <v>259</v>
      </c>
      <c r="BA1" s="1"/>
      <c r="BB1" s="1"/>
      <c r="BC1" s="1" t="s">
        <v>260</v>
      </c>
      <c r="BD1" s="1"/>
      <c r="BE1" s="1"/>
      <c r="BF1" s="1" t="s">
        <v>261</v>
      </c>
      <c r="BG1" s="1"/>
      <c r="BH1" s="1"/>
      <c r="BI1" s="1" t="s">
        <v>262</v>
      </c>
      <c r="BJ1" s="1"/>
      <c r="BK1" s="1" t="s">
        <v>263</v>
      </c>
      <c r="BL1" s="1"/>
      <c r="BM1" s="1"/>
      <c r="BN1" s="1" t="s">
        <v>264</v>
      </c>
      <c r="BO1" s="1"/>
      <c r="BP1" s="1"/>
      <c r="BQ1" s="1"/>
      <c r="BR1" s="229" t="s">
        <v>265</v>
      </c>
      <c r="BS1" s="1"/>
      <c r="BT1" s="1"/>
      <c r="BU1" s="1" t="s">
        <v>266</v>
      </c>
      <c r="BV1" s="1"/>
      <c r="BW1" s="1"/>
      <c r="BX1" s="1" t="s">
        <v>267</v>
      </c>
      <c r="BY1" s="1"/>
      <c r="BZ1" s="1"/>
      <c r="CA1" s="1" t="s">
        <v>268</v>
      </c>
      <c r="CB1" s="1"/>
      <c r="CC1" s="1"/>
      <c r="CD1" s="1" t="s">
        <v>269</v>
      </c>
      <c r="CE1" s="1"/>
      <c r="CF1" s="1"/>
      <c r="CG1" s="1" t="s">
        <v>270</v>
      </c>
      <c r="CH1" s="1"/>
      <c r="CI1" s="1"/>
      <c r="CJ1" s="1" t="s">
        <v>271</v>
      </c>
      <c r="CK1" s="1"/>
    </row>
    <row r="2" ht="90.0" customHeight="1">
      <c r="A2" s="9" t="s">
        <v>0</v>
      </c>
      <c r="B2" s="9" t="s">
        <v>1</v>
      </c>
      <c r="C2" s="10" t="s">
        <v>2</v>
      </c>
      <c r="D2" s="10"/>
      <c r="E2" s="3" t="s">
        <v>4</v>
      </c>
      <c r="F2" s="2" t="s">
        <v>6</v>
      </c>
      <c r="G2" s="10"/>
      <c r="H2" s="12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/>
      <c r="N2" s="13" t="s">
        <v>13</v>
      </c>
      <c r="O2" s="14"/>
      <c r="P2" s="13" t="s">
        <v>14</v>
      </c>
      <c r="Q2" s="14"/>
      <c r="R2" s="13" t="s">
        <v>15</v>
      </c>
      <c r="S2" s="15" t="s">
        <v>16</v>
      </c>
      <c r="T2" s="230"/>
      <c r="U2" s="231" t="s">
        <v>272</v>
      </c>
      <c r="V2" s="19" t="s">
        <v>18</v>
      </c>
      <c r="W2" s="19"/>
      <c r="X2" s="14"/>
      <c r="Y2" s="232" t="s">
        <v>273</v>
      </c>
      <c r="Z2" s="37" t="s">
        <v>7</v>
      </c>
      <c r="AA2" s="233" t="s">
        <v>16</v>
      </c>
      <c r="AB2" s="14"/>
      <c r="AC2" s="234" t="s">
        <v>274</v>
      </c>
      <c r="AD2" s="37" t="s">
        <v>7</v>
      </c>
      <c r="AE2" s="233" t="s">
        <v>275</v>
      </c>
      <c r="AF2" s="233" t="s">
        <v>276</v>
      </c>
      <c r="AG2" s="37"/>
      <c r="AH2" s="235" t="s">
        <v>277</v>
      </c>
      <c r="AI2" s="37" t="s">
        <v>7</v>
      </c>
      <c r="AJ2" s="43"/>
      <c r="AK2" s="232" t="s">
        <v>278</v>
      </c>
      <c r="AL2" s="37" t="s">
        <v>7</v>
      </c>
      <c r="AM2" s="43"/>
      <c r="AN2" s="232" t="s">
        <v>279</v>
      </c>
      <c r="AO2" s="37" t="s">
        <v>7</v>
      </c>
      <c r="AP2" s="43"/>
      <c r="AQ2" s="232" t="s">
        <v>280</v>
      </c>
      <c r="AR2" s="37" t="s">
        <v>7</v>
      </c>
      <c r="AS2" s="43"/>
      <c r="AT2" s="232" t="s">
        <v>281</v>
      </c>
      <c r="AU2" s="37" t="s">
        <v>7</v>
      </c>
      <c r="AV2" s="43"/>
      <c r="AW2" s="236" t="s">
        <v>282</v>
      </c>
      <c r="AX2" s="37" t="s">
        <v>7</v>
      </c>
      <c r="AY2" s="37"/>
      <c r="AZ2" s="234" t="s">
        <v>282</v>
      </c>
      <c r="BA2" s="37" t="s">
        <v>7</v>
      </c>
      <c r="BB2" s="37"/>
      <c r="BC2" s="234" t="s">
        <v>282</v>
      </c>
      <c r="BD2" s="37" t="s">
        <v>7</v>
      </c>
      <c r="BE2" s="37"/>
      <c r="BF2" s="234" t="s">
        <v>282</v>
      </c>
      <c r="BG2" s="37" t="s">
        <v>7</v>
      </c>
      <c r="BH2" s="37"/>
      <c r="BI2" s="234" t="s">
        <v>282</v>
      </c>
      <c r="BJ2" s="37" t="s">
        <v>7</v>
      </c>
      <c r="BK2" s="234" t="s">
        <v>282</v>
      </c>
      <c r="BL2" s="37" t="s">
        <v>7</v>
      </c>
      <c r="BM2" s="37"/>
      <c r="BN2" s="236" t="s">
        <v>282</v>
      </c>
      <c r="BO2" s="37" t="s">
        <v>7</v>
      </c>
      <c r="BP2" s="37"/>
      <c r="BQ2" s="43"/>
      <c r="BR2" s="232" t="s">
        <v>283</v>
      </c>
      <c r="BS2" s="37" t="s">
        <v>7</v>
      </c>
      <c r="BT2" s="43"/>
      <c r="BU2" s="237" t="s">
        <v>283</v>
      </c>
      <c r="BV2" s="37" t="s">
        <v>7</v>
      </c>
      <c r="BW2" s="43"/>
      <c r="BX2" s="237" t="s">
        <v>283</v>
      </c>
      <c r="BY2" s="37" t="s">
        <v>7</v>
      </c>
      <c r="BZ2" s="43"/>
      <c r="CA2" s="237" t="s">
        <v>283</v>
      </c>
      <c r="CB2" s="37" t="s">
        <v>7</v>
      </c>
      <c r="CC2" s="43"/>
      <c r="CD2" s="237" t="s">
        <v>283</v>
      </c>
      <c r="CE2" s="37" t="s">
        <v>7</v>
      </c>
      <c r="CF2" s="43"/>
      <c r="CG2" s="237" t="s">
        <v>283</v>
      </c>
      <c r="CH2" s="37" t="s">
        <v>7</v>
      </c>
      <c r="CI2" s="43"/>
      <c r="CJ2" s="232" t="s">
        <v>283</v>
      </c>
      <c r="CK2" s="37" t="s">
        <v>7</v>
      </c>
    </row>
    <row r="3">
      <c r="A3" s="23" t="s">
        <v>22</v>
      </c>
      <c r="B3" s="23"/>
      <c r="C3" s="24"/>
      <c r="D3" s="24"/>
      <c r="E3" s="25"/>
      <c r="F3" s="26"/>
      <c r="G3" s="24"/>
      <c r="H3" s="23"/>
      <c r="I3" s="23"/>
      <c r="J3" s="23"/>
      <c r="K3" s="27"/>
      <c r="L3" s="26"/>
      <c r="M3" s="26"/>
      <c r="N3" s="28">
        <v>0.03</v>
      </c>
      <c r="O3" s="29"/>
      <c r="P3" s="28">
        <v>0.065</v>
      </c>
      <c r="Q3" s="29"/>
      <c r="R3" s="28">
        <v>0.025</v>
      </c>
      <c r="S3" s="30"/>
      <c r="T3" s="238"/>
      <c r="U3" s="4">
        <v>0.03</v>
      </c>
      <c r="V3" s="4"/>
      <c r="W3" s="4"/>
      <c r="X3" s="33"/>
      <c r="Y3" s="26"/>
      <c r="Z3" s="26"/>
      <c r="AA3" s="26"/>
      <c r="AB3" s="33"/>
      <c r="AC3" s="26"/>
      <c r="AD3" s="26"/>
      <c r="AE3" s="26"/>
      <c r="AF3" s="26"/>
      <c r="AG3" s="26"/>
      <c r="AH3" s="239">
        <v>0.1655</v>
      </c>
      <c r="AI3" s="26"/>
      <c r="AJ3" s="33"/>
      <c r="AK3" s="240" t="str">
        <f>#REF!</f>
        <v>#REF!</v>
      </c>
      <c r="AL3" s="26"/>
      <c r="AM3" s="33"/>
      <c r="AN3" s="240" t="str">
        <f>#REF!</f>
        <v>#REF!</v>
      </c>
      <c r="AO3" s="26"/>
      <c r="AP3" s="33"/>
      <c r="AQ3" s="240" t="str">
        <f>#REF!</f>
        <v>#REF!</v>
      </c>
      <c r="AR3" s="26"/>
      <c r="AS3" s="33"/>
      <c r="AT3" s="240" t="str">
        <f>#REF!</f>
        <v>#REF!</v>
      </c>
      <c r="AU3" s="26"/>
      <c r="AV3" s="33"/>
      <c r="AW3" s="240" t="str">
        <f>#REF!</f>
        <v>#REF!</v>
      </c>
      <c r="AX3" s="26"/>
      <c r="AY3" s="26"/>
      <c r="AZ3" s="240">
        <v>855.5047693670837</v>
      </c>
      <c r="BA3" s="26"/>
      <c r="BB3" s="26"/>
      <c r="BC3" s="240">
        <v>513.3028616202502</v>
      </c>
      <c r="BD3" s="26"/>
      <c r="BE3" s="26"/>
      <c r="BF3" s="240">
        <v>855.5047693670837</v>
      </c>
      <c r="BG3" s="26"/>
      <c r="BH3" s="26"/>
      <c r="BI3" s="240">
        <v>855.5047693670837</v>
      </c>
      <c r="BJ3" s="26"/>
      <c r="BK3" s="240">
        <v>1707.187779474908</v>
      </c>
      <c r="BL3" s="26"/>
      <c r="BM3" s="26"/>
      <c r="BN3" s="240">
        <v>1714.8312979934267</v>
      </c>
      <c r="BO3" s="26"/>
      <c r="BP3" s="26"/>
      <c r="BQ3" s="33"/>
      <c r="BR3" s="240" t="str">
        <f>#REF!</f>
        <v>#REF!</v>
      </c>
      <c r="BS3" s="26"/>
      <c r="BT3" s="33"/>
      <c r="BU3" s="240">
        <v>855.5047693670837</v>
      </c>
      <c r="BV3" s="26"/>
      <c r="BW3" s="33"/>
      <c r="BX3" s="240">
        <v>513.3028616202502</v>
      </c>
      <c r="BY3" s="26"/>
      <c r="BZ3" s="33"/>
      <c r="CA3" s="240">
        <v>855.5047693670837</v>
      </c>
      <c r="CB3" s="26"/>
      <c r="CC3" s="33"/>
      <c r="CD3" s="240">
        <v>855.5047693670837</v>
      </c>
      <c r="CE3" s="26"/>
      <c r="CF3" s="33"/>
      <c r="CG3" s="240">
        <v>1707.187779474908</v>
      </c>
      <c r="CH3" s="26"/>
      <c r="CI3" s="33"/>
      <c r="CJ3" s="240">
        <v>1714.8312979934267</v>
      </c>
      <c r="CK3" s="26"/>
    </row>
    <row r="4" hidden="1">
      <c r="A4" s="34" t="s">
        <v>25</v>
      </c>
      <c r="B4" s="34"/>
      <c r="C4" s="35"/>
      <c r="D4" s="35"/>
      <c r="E4" s="36"/>
      <c r="F4" s="37"/>
      <c r="G4" s="35"/>
      <c r="H4" s="34"/>
      <c r="I4" s="34"/>
      <c r="J4" s="34"/>
      <c r="K4" s="3"/>
      <c r="L4" s="37"/>
      <c r="M4" s="37"/>
      <c r="N4" s="38"/>
      <c r="O4" s="39"/>
      <c r="P4" s="38"/>
      <c r="Q4" s="39"/>
      <c r="R4" s="38"/>
      <c r="S4" s="40"/>
      <c r="T4" s="241"/>
      <c r="U4" s="41"/>
      <c r="V4" s="41"/>
      <c r="W4" s="41"/>
      <c r="X4" s="43"/>
      <c r="Y4" s="242">
        <v>1.0</v>
      </c>
      <c r="Z4" s="37"/>
      <c r="AA4" s="37"/>
      <c r="AB4" s="43"/>
      <c r="AC4" s="243">
        <v>0.0</v>
      </c>
      <c r="AD4" s="37"/>
      <c r="AE4" s="37"/>
      <c r="AF4" s="37"/>
      <c r="AG4" s="37"/>
      <c r="AH4" s="243">
        <v>0.0</v>
      </c>
      <c r="AI4" s="37"/>
      <c r="AJ4" s="43"/>
      <c r="AK4" s="243">
        <v>0.0</v>
      </c>
      <c r="AL4" s="37"/>
      <c r="AM4" s="43"/>
      <c r="AN4" s="243">
        <v>0.0</v>
      </c>
      <c r="AO4" s="37"/>
      <c r="AP4" s="43"/>
      <c r="AQ4" s="243">
        <v>0.0</v>
      </c>
      <c r="AR4" s="37"/>
      <c r="AS4" s="43"/>
      <c r="AT4" s="243">
        <v>0.0</v>
      </c>
      <c r="AU4" s="37"/>
      <c r="AV4" s="43"/>
      <c r="AW4" s="243">
        <v>0.0</v>
      </c>
      <c r="AX4" s="37"/>
      <c r="AY4" s="37"/>
      <c r="AZ4" s="243">
        <v>0.0</v>
      </c>
      <c r="BA4" s="37"/>
      <c r="BB4" s="37"/>
      <c r="BC4" s="243">
        <v>0.0</v>
      </c>
      <c r="BD4" s="37"/>
      <c r="BE4" s="37"/>
      <c r="BF4" s="243">
        <v>0.0</v>
      </c>
      <c r="BG4" s="37"/>
      <c r="BH4" s="37"/>
      <c r="BI4" s="243">
        <v>0.0</v>
      </c>
      <c r="BJ4" s="37"/>
      <c r="BK4" s="243">
        <v>0.0</v>
      </c>
      <c r="BL4" s="37"/>
      <c r="BM4" s="37"/>
      <c r="BN4" s="243">
        <v>0.0</v>
      </c>
      <c r="BO4" s="37"/>
      <c r="BP4" s="37"/>
      <c r="BQ4" s="43"/>
      <c r="BR4" s="244">
        <v>0.3</v>
      </c>
      <c r="BS4" s="37"/>
      <c r="BT4" s="43"/>
      <c r="BU4" s="244">
        <v>0.3</v>
      </c>
      <c r="BV4" s="37"/>
      <c r="BW4" s="43"/>
      <c r="BX4" s="244">
        <v>0.35</v>
      </c>
      <c r="BY4" s="37"/>
      <c r="BZ4" s="43"/>
      <c r="CA4" s="244">
        <v>0.35</v>
      </c>
      <c r="CB4" s="37"/>
      <c r="CC4" s="43"/>
      <c r="CD4" s="244">
        <v>0.25</v>
      </c>
      <c r="CE4" s="37"/>
      <c r="CF4" s="43"/>
      <c r="CG4" s="244">
        <v>0.5</v>
      </c>
      <c r="CH4" s="37"/>
      <c r="CI4" s="43"/>
      <c r="CJ4" s="244">
        <v>0.5</v>
      </c>
      <c r="CK4" s="37"/>
    </row>
    <row r="5" hidden="1">
      <c r="A5" s="34" t="s">
        <v>26</v>
      </c>
      <c r="B5" s="34"/>
      <c r="C5" s="35"/>
      <c r="D5" s="35"/>
      <c r="E5" s="36"/>
      <c r="F5" s="37"/>
      <c r="G5" s="35"/>
      <c r="H5" s="34"/>
      <c r="I5" s="34"/>
      <c r="J5" s="34"/>
      <c r="K5" s="3"/>
      <c r="L5" s="37"/>
      <c r="M5" s="37"/>
      <c r="N5" s="38"/>
      <c r="O5" s="39"/>
      <c r="P5" s="38"/>
      <c r="Q5" s="39"/>
      <c r="R5" s="38"/>
      <c r="S5" s="40"/>
      <c r="T5" s="241"/>
      <c r="U5" s="43"/>
      <c r="V5" s="43"/>
      <c r="W5" s="43"/>
      <c r="X5" s="43"/>
      <c r="Y5" s="243">
        <v>0.0</v>
      </c>
      <c r="Z5" s="37"/>
      <c r="AA5" s="37"/>
      <c r="AB5" s="43"/>
      <c r="AC5" s="245">
        <v>1.0</v>
      </c>
      <c r="AD5" s="37"/>
      <c r="AE5" s="37"/>
      <c r="AF5" s="37"/>
      <c r="AG5" s="37"/>
      <c r="AH5" s="243">
        <v>0.0</v>
      </c>
      <c r="AI5" s="37"/>
      <c r="AJ5" s="111"/>
      <c r="AK5" s="243">
        <v>0.85</v>
      </c>
      <c r="AL5" s="37"/>
      <c r="AM5" s="111"/>
      <c r="AN5" s="244">
        <v>0.85</v>
      </c>
      <c r="AO5" s="37"/>
      <c r="AP5" s="111"/>
      <c r="AQ5" s="244">
        <v>0.0</v>
      </c>
      <c r="AR5" s="37"/>
      <c r="AS5" s="111"/>
      <c r="AT5" s="244">
        <v>0.85</v>
      </c>
      <c r="AU5" s="37"/>
      <c r="AV5" s="43"/>
      <c r="AW5" s="244">
        <v>0.3</v>
      </c>
      <c r="AX5" s="37"/>
      <c r="AY5" s="37"/>
      <c r="AZ5" s="244">
        <v>0.3</v>
      </c>
      <c r="BA5" s="37"/>
      <c r="BB5" s="37"/>
      <c r="BC5" s="244">
        <v>0.35</v>
      </c>
      <c r="BD5" s="37"/>
      <c r="BE5" s="37"/>
      <c r="BF5" s="244">
        <v>0.35</v>
      </c>
      <c r="BG5" s="37"/>
      <c r="BH5" s="37"/>
      <c r="BI5" s="244">
        <v>0.25</v>
      </c>
      <c r="BJ5" s="37"/>
      <c r="BK5" s="244">
        <v>0.5</v>
      </c>
      <c r="BL5" s="37"/>
      <c r="BM5" s="37"/>
      <c r="BN5" s="244">
        <v>0.5</v>
      </c>
      <c r="BO5" s="37"/>
      <c r="BP5" s="37"/>
      <c r="BQ5" s="43"/>
      <c r="BR5" s="244">
        <v>0.0</v>
      </c>
      <c r="BS5" s="37"/>
      <c r="BT5" s="43"/>
      <c r="BU5" s="244">
        <v>0.0</v>
      </c>
      <c r="BV5" s="37"/>
      <c r="BW5" s="43"/>
      <c r="BX5" s="244">
        <v>0.0</v>
      </c>
      <c r="BY5" s="37"/>
      <c r="BZ5" s="43"/>
      <c r="CA5" s="244">
        <v>0.0</v>
      </c>
      <c r="CB5" s="37"/>
      <c r="CC5" s="43"/>
      <c r="CD5" s="244">
        <v>0.0</v>
      </c>
      <c r="CE5" s="37"/>
      <c r="CF5" s="43"/>
      <c r="CG5" s="244">
        <v>0.0</v>
      </c>
      <c r="CH5" s="37"/>
      <c r="CI5" s="43"/>
      <c r="CJ5" s="244">
        <v>0.0</v>
      </c>
      <c r="CK5" s="37"/>
    </row>
    <row r="6" hidden="1">
      <c r="A6" s="34" t="s">
        <v>27</v>
      </c>
      <c r="B6" s="34"/>
      <c r="C6" s="35"/>
      <c r="D6" s="35"/>
      <c r="E6" s="36"/>
      <c r="F6" s="37"/>
      <c r="G6" s="35"/>
      <c r="H6" s="34"/>
      <c r="I6" s="34"/>
      <c r="J6" s="34"/>
      <c r="K6" s="3"/>
      <c r="L6" s="37"/>
      <c r="M6" s="37"/>
      <c r="N6" s="38"/>
      <c r="O6" s="39"/>
      <c r="P6" s="38"/>
      <c r="Q6" s="39"/>
      <c r="R6" s="38"/>
      <c r="S6" s="40"/>
      <c r="T6" s="241"/>
      <c r="U6" s="43"/>
      <c r="V6" s="43"/>
      <c r="W6" s="43"/>
      <c r="X6" s="43"/>
      <c r="Y6" s="243">
        <v>0.0</v>
      </c>
      <c r="Z6" s="37"/>
      <c r="AA6" s="37"/>
      <c r="AB6" s="43"/>
      <c r="AC6" s="243">
        <v>0.0</v>
      </c>
      <c r="AD6" s="37"/>
      <c r="AE6" s="37"/>
      <c r="AF6" s="37"/>
      <c r="AG6" s="37"/>
      <c r="AH6" s="245">
        <v>1.0</v>
      </c>
      <c r="AI6" s="37"/>
      <c r="AJ6" s="111"/>
      <c r="AK6" s="242">
        <v>0.0</v>
      </c>
      <c r="AL6" s="37"/>
      <c r="AM6" s="111"/>
      <c r="AN6" s="244">
        <v>0.0</v>
      </c>
      <c r="AO6" s="37"/>
      <c r="AP6" s="111"/>
      <c r="AQ6" s="244">
        <v>0.85</v>
      </c>
      <c r="AR6" s="37"/>
      <c r="AS6" s="111"/>
      <c r="AT6" s="111">
        <v>0.0</v>
      </c>
      <c r="AU6" s="37"/>
      <c r="AV6" s="43"/>
      <c r="AW6" s="244">
        <v>0.2</v>
      </c>
      <c r="AX6" s="37"/>
      <c r="AY6" s="37"/>
      <c r="AZ6" s="244">
        <v>0.15</v>
      </c>
      <c r="BA6" s="37"/>
      <c r="BB6" s="37"/>
      <c r="BC6" s="244">
        <v>0.25</v>
      </c>
      <c r="BD6" s="37"/>
      <c r="BE6" s="37"/>
      <c r="BF6" s="244">
        <v>0.25</v>
      </c>
      <c r="BG6" s="37"/>
      <c r="BH6" s="37"/>
      <c r="BI6" s="244">
        <v>0.25</v>
      </c>
      <c r="BJ6" s="37"/>
      <c r="BK6" s="244">
        <v>0.0</v>
      </c>
      <c r="BL6" s="37"/>
      <c r="BM6" s="37"/>
      <c r="BN6" s="244">
        <v>0.0</v>
      </c>
      <c r="BO6" s="37"/>
      <c r="BP6" s="37"/>
      <c r="BQ6" s="43"/>
      <c r="BR6" s="244">
        <v>0.2</v>
      </c>
      <c r="BS6" s="37"/>
      <c r="BT6" s="43"/>
      <c r="BU6" s="244">
        <v>0.15</v>
      </c>
      <c r="BV6" s="37"/>
      <c r="BW6" s="43"/>
      <c r="BX6" s="244">
        <v>0.25</v>
      </c>
      <c r="BY6" s="37"/>
      <c r="BZ6" s="43"/>
      <c r="CA6" s="244">
        <v>0.25</v>
      </c>
      <c r="CB6" s="37"/>
      <c r="CC6" s="43"/>
      <c r="CD6" s="244">
        <v>0.25</v>
      </c>
      <c r="CE6" s="37"/>
      <c r="CF6" s="43"/>
      <c r="CG6" s="244">
        <v>0.0</v>
      </c>
      <c r="CH6" s="37"/>
      <c r="CI6" s="43"/>
      <c r="CJ6" s="244">
        <v>0.0</v>
      </c>
      <c r="CK6" s="37"/>
    </row>
    <row r="7" hidden="1">
      <c r="A7" s="34" t="s">
        <v>28</v>
      </c>
      <c r="B7" s="34"/>
      <c r="C7" s="35"/>
      <c r="D7" s="35"/>
      <c r="E7" s="36"/>
      <c r="F7" s="37"/>
      <c r="G7" s="35"/>
      <c r="H7" s="34"/>
      <c r="I7" s="34"/>
      <c r="J7" s="34"/>
      <c r="K7" s="3"/>
      <c r="L7" s="37"/>
      <c r="M7" s="37"/>
      <c r="N7" s="38"/>
      <c r="O7" s="39"/>
      <c r="P7" s="38"/>
      <c r="Q7" s="39"/>
      <c r="R7" s="38"/>
      <c r="S7" s="40"/>
      <c r="T7" s="241"/>
      <c r="U7" s="44">
        <f>U22</f>
        <v>411.9039291</v>
      </c>
      <c r="V7" s="44"/>
      <c r="W7" s="44"/>
      <c r="X7" s="43"/>
      <c r="Y7" s="243">
        <v>0.0</v>
      </c>
      <c r="Z7" s="37"/>
      <c r="AA7" s="37"/>
      <c r="AB7" s="43"/>
      <c r="AC7" s="243">
        <v>0.0</v>
      </c>
      <c r="AD7" s="37"/>
      <c r="AE7" s="37"/>
      <c r="AF7" s="37"/>
      <c r="AG7" s="37"/>
      <c r="AH7" s="243">
        <v>0.0</v>
      </c>
      <c r="AI7" s="37"/>
      <c r="AJ7" s="111"/>
      <c r="AK7" s="243">
        <v>0.15</v>
      </c>
      <c r="AL7" s="37"/>
      <c r="AM7" s="111"/>
      <c r="AN7" s="244">
        <v>0.15</v>
      </c>
      <c r="AO7" s="37"/>
      <c r="AP7" s="111"/>
      <c r="AQ7" s="244">
        <v>0.15</v>
      </c>
      <c r="AR7" s="37"/>
      <c r="AS7" s="111"/>
      <c r="AT7" s="244">
        <v>0.15</v>
      </c>
      <c r="AU7" s="37"/>
      <c r="AV7" s="43"/>
      <c r="AW7" s="244">
        <v>0.2</v>
      </c>
      <c r="AX7" s="37"/>
      <c r="AY7" s="37"/>
      <c r="AZ7" s="244">
        <v>0.25</v>
      </c>
      <c r="BA7" s="37"/>
      <c r="BB7" s="37"/>
      <c r="BC7" s="244">
        <v>0.15</v>
      </c>
      <c r="BD7" s="37"/>
      <c r="BE7" s="37"/>
      <c r="BF7" s="244">
        <v>0.25</v>
      </c>
      <c r="BG7" s="37"/>
      <c r="BH7" s="37"/>
      <c r="BI7" s="244">
        <v>0.25</v>
      </c>
      <c r="BJ7" s="37"/>
      <c r="BK7" s="244">
        <v>0.5</v>
      </c>
      <c r="BL7" s="37"/>
      <c r="BM7" s="37"/>
      <c r="BN7" s="244">
        <v>0.5</v>
      </c>
      <c r="BO7" s="37"/>
      <c r="BP7" s="37"/>
      <c r="BQ7" s="43"/>
      <c r="BR7" s="244">
        <v>0.2</v>
      </c>
      <c r="BS7" s="37"/>
      <c r="BT7" s="43"/>
      <c r="BU7" s="244">
        <v>0.25</v>
      </c>
      <c r="BV7" s="37"/>
      <c r="BW7" s="43"/>
      <c r="BX7" s="244">
        <v>0.15</v>
      </c>
      <c r="BY7" s="37"/>
      <c r="BZ7" s="43"/>
      <c r="CA7" s="244">
        <v>0.25</v>
      </c>
      <c r="CB7" s="37"/>
      <c r="CC7" s="43"/>
      <c r="CD7" s="244">
        <v>0.25</v>
      </c>
      <c r="CE7" s="37"/>
      <c r="CF7" s="43"/>
      <c r="CG7" s="244">
        <v>0.5</v>
      </c>
      <c r="CH7" s="37"/>
      <c r="CI7" s="43"/>
      <c r="CJ7" s="244">
        <v>0.5</v>
      </c>
      <c r="CK7" s="37"/>
    </row>
    <row r="8" hidden="1">
      <c r="A8" s="34" t="s">
        <v>29</v>
      </c>
      <c r="B8" s="34"/>
      <c r="C8" s="35"/>
      <c r="D8" s="35"/>
      <c r="E8" s="36"/>
      <c r="F8" s="37"/>
      <c r="G8" s="35"/>
      <c r="H8" s="34"/>
      <c r="I8" s="34"/>
      <c r="J8" s="34"/>
      <c r="K8" s="3"/>
      <c r="L8" s="37"/>
      <c r="M8" s="37"/>
      <c r="N8" s="38"/>
      <c r="O8" s="39"/>
      <c r="P8" s="38"/>
      <c r="Q8" s="39"/>
      <c r="R8" s="38"/>
      <c r="S8" s="40"/>
      <c r="T8" s="241"/>
      <c r="U8" s="43"/>
      <c r="V8" s="43"/>
      <c r="W8" s="43"/>
      <c r="X8" s="43"/>
      <c r="Y8" s="243">
        <v>0.0</v>
      </c>
      <c r="Z8" s="37"/>
      <c r="AA8" s="37"/>
      <c r="AB8" s="43"/>
      <c r="AC8" s="243">
        <v>0.0</v>
      </c>
      <c r="AD8" s="37"/>
      <c r="AE8" s="37"/>
      <c r="AF8" s="37"/>
      <c r="AG8" s="37"/>
      <c r="AH8" s="243">
        <v>0.0</v>
      </c>
      <c r="AI8" s="37"/>
      <c r="AJ8" s="111"/>
      <c r="AK8" s="243">
        <v>0.0</v>
      </c>
      <c r="AL8" s="37"/>
      <c r="AM8" s="111"/>
      <c r="AN8" s="244">
        <v>0.0</v>
      </c>
      <c r="AO8" s="37"/>
      <c r="AP8" s="111"/>
      <c r="AQ8" s="244">
        <v>0.0</v>
      </c>
      <c r="AR8" s="37"/>
      <c r="AS8" s="111"/>
      <c r="AT8" s="244">
        <v>0.0</v>
      </c>
      <c r="AU8" s="37"/>
      <c r="AV8" s="43"/>
      <c r="AW8" s="244">
        <v>0.3</v>
      </c>
      <c r="AX8" s="37"/>
      <c r="AY8" s="37"/>
      <c r="AZ8" s="244">
        <v>0.3</v>
      </c>
      <c r="BA8" s="37"/>
      <c r="BB8" s="37"/>
      <c r="BC8" s="244">
        <v>0.25</v>
      </c>
      <c r="BD8" s="37"/>
      <c r="BE8" s="37"/>
      <c r="BF8" s="244">
        <v>0.15</v>
      </c>
      <c r="BG8" s="37"/>
      <c r="BH8" s="37"/>
      <c r="BI8" s="244">
        <v>0.25</v>
      </c>
      <c r="BJ8" s="37"/>
      <c r="BK8" s="244">
        <v>0.0</v>
      </c>
      <c r="BL8" s="37"/>
      <c r="BM8" s="37"/>
      <c r="BN8" s="244">
        <v>0.0</v>
      </c>
      <c r="BO8" s="37"/>
      <c r="BP8" s="37"/>
      <c r="BQ8" s="43"/>
      <c r="BR8" s="244">
        <v>0.3</v>
      </c>
      <c r="BS8" s="37"/>
      <c r="BT8" s="43"/>
      <c r="BU8" s="244">
        <v>0.3</v>
      </c>
      <c r="BV8" s="37"/>
      <c r="BW8" s="43"/>
      <c r="BX8" s="244">
        <v>0.25</v>
      </c>
      <c r="BY8" s="37"/>
      <c r="BZ8" s="43"/>
      <c r="CA8" s="244">
        <v>0.15</v>
      </c>
      <c r="CB8" s="37"/>
      <c r="CC8" s="43"/>
      <c r="CD8" s="244">
        <v>0.25</v>
      </c>
      <c r="CE8" s="37"/>
      <c r="CF8" s="43"/>
      <c r="CG8" s="244">
        <v>0.0</v>
      </c>
      <c r="CH8" s="37"/>
      <c r="CI8" s="43"/>
      <c r="CJ8" s="244">
        <v>0.0</v>
      </c>
      <c r="CK8" s="37"/>
    </row>
    <row r="9" hidden="1">
      <c r="A9" s="34"/>
      <c r="B9" s="34"/>
      <c r="C9" s="35"/>
      <c r="D9" s="35"/>
      <c r="E9" s="36"/>
      <c r="F9" s="37"/>
      <c r="G9" s="35"/>
      <c r="H9" s="34"/>
      <c r="I9" s="34"/>
      <c r="J9" s="34"/>
      <c r="K9" s="3"/>
      <c r="L9" s="37"/>
      <c r="M9" s="37"/>
      <c r="N9" s="38"/>
      <c r="O9" s="39"/>
      <c r="P9" s="38"/>
      <c r="Q9" s="39"/>
      <c r="R9" s="38"/>
      <c r="S9" s="40"/>
      <c r="T9" s="241"/>
      <c r="U9" s="43"/>
      <c r="V9" s="43"/>
      <c r="W9" s="43"/>
      <c r="X9" s="43"/>
      <c r="Y9" s="246">
        <f>SUM(Y4:Y8)</f>
        <v>1</v>
      </c>
      <c r="Z9" s="37"/>
      <c r="AA9" s="37"/>
      <c r="AB9" s="43"/>
      <c r="AC9" s="246">
        <f>SUM(AC4:AC8)</f>
        <v>1</v>
      </c>
      <c r="AD9" s="37"/>
      <c r="AE9" s="37"/>
      <c r="AF9" s="37"/>
      <c r="AG9" s="37"/>
      <c r="AH9" s="246">
        <f>SUM(AH4:AH8)</f>
        <v>1</v>
      </c>
      <c r="AI9" s="37"/>
      <c r="AJ9" s="111"/>
      <c r="AK9" s="246">
        <f>SUM(AK4:AK8)</f>
        <v>1</v>
      </c>
      <c r="AL9" s="37"/>
      <c r="AM9" s="111"/>
      <c r="AN9" s="246">
        <f>SUM(AN4:AN8)</f>
        <v>1</v>
      </c>
      <c r="AO9" s="37"/>
      <c r="AP9" s="111"/>
      <c r="AQ9" s="246">
        <f>SUM(AQ4:AQ8)</f>
        <v>1</v>
      </c>
      <c r="AR9" s="37"/>
      <c r="AS9" s="111"/>
      <c r="AT9" s="246">
        <f>SUM(AT4:AT8)</f>
        <v>1</v>
      </c>
      <c r="AU9" s="37"/>
      <c r="AV9" s="43"/>
      <c r="AW9" s="246">
        <f>SUM(AW4:AW8)</f>
        <v>1</v>
      </c>
      <c r="AX9" s="37"/>
      <c r="AY9" s="37"/>
      <c r="AZ9" s="246">
        <v>1.0</v>
      </c>
      <c r="BA9" s="37"/>
      <c r="BB9" s="37"/>
      <c r="BC9" s="246">
        <f>SUM(BC4:BC8)</f>
        <v>1</v>
      </c>
      <c r="BD9" s="37"/>
      <c r="BE9" s="37"/>
      <c r="BF9" s="246">
        <v>1.0</v>
      </c>
      <c r="BG9" s="37"/>
      <c r="BH9" s="37"/>
      <c r="BI9" s="246">
        <v>1.0</v>
      </c>
      <c r="BJ9" s="37"/>
      <c r="BK9" s="246">
        <v>1.0</v>
      </c>
      <c r="BL9" s="37"/>
      <c r="BM9" s="37"/>
      <c r="BN9" s="246">
        <v>1.0</v>
      </c>
      <c r="BO9" s="37"/>
      <c r="BP9" s="37"/>
      <c r="BQ9" s="43"/>
      <c r="BR9" s="246">
        <f>SUM(BR4:BR8)</f>
        <v>1</v>
      </c>
      <c r="BS9" s="37"/>
      <c r="BT9" s="43"/>
      <c r="BU9" s="246">
        <v>1.0</v>
      </c>
      <c r="BV9" s="37"/>
      <c r="BW9" s="43"/>
      <c r="BX9" s="246">
        <v>1.0</v>
      </c>
      <c r="BY9" s="37"/>
      <c r="BZ9" s="43"/>
      <c r="CA9" s="246">
        <v>1.0</v>
      </c>
      <c r="CB9" s="37"/>
      <c r="CC9" s="43"/>
      <c r="CD9" s="246">
        <v>1.0</v>
      </c>
      <c r="CE9" s="37"/>
      <c r="CF9" s="43"/>
      <c r="CG9" s="246">
        <v>1.0</v>
      </c>
      <c r="CH9" s="37"/>
      <c r="CI9" s="43"/>
      <c r="CJ9" s="246">
        <v>1.0</v>
      </c>
      <c r="CK9" s="37"/>
    </row>
    <row r="10" ht="10.5" hidden="1" customHeight="1">
      <c r="A10" s="34"/>
      <c r="B10" s="34"/>
      <c r="C10" s="35"/>
      <c r="D10" s="35"/>
      <c r="E10" s="36"/>
      <c r="F10" s="37"/>
      <c r="G10" s="35"/>
      <c r="H10" s="34"/>
      <c r="I10" s="34"/>
      <c r="J10" s="34"/>
      <c r="K10" s="3"/>
      <c r="L10" s="37"/>
      <c r="M10" s="37"/>
      <c r="N10" s="38"/>
      <c r="O10" s="39"/>
      <c r="P10" s="38"/>
      <c r="Q10" s="39"/>
      <c r="R10" s="38"/>
      <c r="S10" s="40"/>
      <c r="T10" s="241"/>
      <c r="U10" s="43"/>
      <c r="V10" s="43"/>
      <c r="W10" s="43"/>
      <c r="X10" s="43"/>
      <c r="Y10" s="243"/>
      <c r="Z10" s="37"/>
      <c r="AA10" s="37"/>
      <c r="AB10" s="43"/>
      <c r="AC10" s="243"/>
      <c r="AD10" s="37"/>
      <c r="AE10" s="37"/>
      <c r="AF10" s="37"/>
      <c r="AG10" s="37"/>
      <c r="AH10" s="243"/>
      <c r="AI10" s="37"/>
      <c r="AJ10" s="111"/>
      <c r="AK10" s="243"/>
      <c r="AL10" s="37"/>
      <c r="AM10" s="111"/>
      <c r="AN10" s="244"/>
      <c r="AO10" s="37"/>
      <c r="AP10" s="111"/>
      <c r="AQ10" s="244"/>
      <c r="AR10" s="37"/>
      <c r="AS10" s="111"/>
      <c r="AT10" s="244"/>
      <c r="AU10" s="37"/>
      <c r="AV10" s="43"/>
      <c r="AW10" s="244"/>
      <c r="AX10" s="37"/>
      <c r="AY10" s="37"/>
      <c r="AZ10" s="244"/>
      <c r="BA10" s="37"/>
      <c r="BB10" s="37"/>
      <c r="BC10" s="244"/>
      <c r="BD10" s="37"/>
      <c r="BE10" s="37"/>
      <c r="BF10" s="244"/>
      <c r="BG10" s="37"/>
      <c r="BH10" s="37"/>
      <c r="BI10" s="244"/>
      <c r="BJ10" s="37"/>
      <c r="BK10" s="244"/>
      <c r="BL10" s="37"/>
      <c r="BM10" s="37"/>
      <c r="BN10" s="244"/>
      <c r="BO10" s="37"/>
      <c r="BP10" s="37"/>
      <c r="BQ10" s="43"/>
      <c r="BR10" s="244"/>
      <c r="BS10" s="37"/>
      <c r="BT10" s="43"/>
      <c r="BU10" s="244"/>
      <c r="BV10" s="37"/>
      <c r="BW10" s="43"/>
      <c r="BX10" s="244"/>
      <c r="BY10" s="37"/>
      <c r="BZ10" s="43"/>
      <c r="CA10" s="244"/>
      <c r="CB10" s="37"/>
      <c r="CC10" s="43"/>
      <c r="CD10" s="244"/>
      <c r="CE10" s="37"/>
      <c r="CF10" s="43"/>
      <c r="CG10" s="244"/>
      <c r="CH10" s="37"/>
      <c r="CI10" s="43"/>
      <c r="CJ10" s="244"/>
      <c r="CK10" s="37"/>
    </row>
    <row r="11" hidden="1">
      <c r="A11" s="34" t="s">
        <v>30</v>
      </c>
      <c r="B11" s="34"/>
      <c r="C11" s="35"/>
      <c r="D11" s="35"/>
      <c r="E11" s="36"/>
      <c r="F11" s="37"/>
      <c r="G11" s="35"/>
      <c r="H11" s="43"/>
      <c r="I11" s="43"/>
      <c r="J11" s="43"/>
      <c r="K11" s="3"/>
      <c r="L11" s="37"/>
      <c r="M11" s="37"/>
      <c r="N11" s="38"/>
      <c r="O11" s="39"/>
      <c r="P11" s="40"/>
      <c r="Q11" s="39"/>
      <c r="R11" s="40"/>
      <c r="S11" s="40"/>
      <c r="T11" s="241"/>
      <c r="U11" s="43"/>
      <c r="V11" s="43"/>
      <c r="W11" s="43"/>
      <c r="X11" s="43"/>
      <c r="Y11" s="243">
        <v>0.0</v>
      </c>
      <c r="Z11" s="37"/>
      <c r="AA11" s="43"/>
      <c r="AB11" s="43"/>
      <c r="AC11" s="243">
        <v>0.0</v>
      </c>
      <c r="AD11" s="37"/>
      <c r="AE11" s="243"/>
      <c r="AF11" s="37"/>
      <c r="AG11" s="37"/>
      <c r="AH11" s="243">
        <v>0.0</v>
      </c>
      <c r="AI11" s="37"/>
      <c r="AJ11" s="111"/>
      <c r="AK11" s="243">
        <v>0.0</v>
      </c>
      <c r="AL11" s="37"/>
      <c r="AM11" s="111"/>
      <c r="AN11" s="244">
        <v>1.0</v>
      </c>
      <c r="AO11" s="37"/>
      <c r="AP11" s="111"/>
      <c r="AQ11" s="244">
        <v>1.0</v>
      </c>
      <c r="AR11" s="37"/>
      <c r="AS11" s="111"/>
      <c r="AT11" s="244">
        <v>1.0</v>
      </c>
      <c r="AU11" s="37"/>
      <c r="AV11" s="43"/>
      <c r="AW11" s="244">
        <v>1.0</v>
      </c>
      <c r="AX11" s="37"/>
      <c r="AY11" s="37"/>
      <c r="AZ11" s="244">
        <v>1.0</v>
      </c>
      <c r="BA11" s="37"/>
      <c r="BB11" s="37"/>
      <c r="BC11" s="244">
        <v>1.0</v>
      </c>
      <c r="BD11" s="37"/>
      <c r="BE11" s="37"/>
      <c r="BF11" s="244">
        <v>1.0</v>
      </c>
      <c r="BG11" s="37"/>
      <c r="BH11" s="37"/>
      <c r="BI11" s="244">
        <v>1.0</v>
      </c>
      <c r="BJ11" s="37"/>
      <c r="BK11" s="244">
        <v>1.0</v>
      </c>
      <c r="BL11" s="37"/>
      <c r="BM11" s="37"/>
      <c r="BN11" s="244">
        <v>1.0</v>
      </c>
      <c r="BO11" s="37"/>
      <c r="BP11" s="37"/>
      <c r="BQ11" s="43"/>
      <c r="BR11" s="244">
        <v>1.0</v>
      </c>
      <c r="BS11" s="37"/>
      <c r="BT11" s="43"/>
      <c r="BU11" s="244">
        <v>1.0</v>
      </c>
      <c r="BV11" s="37"/>
      <c r="BW11" s="43"/>
      <c r="BX11" s="244">
        <v>1.0</v>
      </c>
      <c r="BY11" s="37"/>
      <c r="BZ11" s="43"/>
      <c r="CA11" s="244">
        <v>1.0</v>
      </c>
      <c r="CB11" s="37"/>
      <c r="CC11" s="43"/>
      <c r="CD11" s="244">
        <v>1.0</v>
      </c>
      <c r="CE11" s="37"/>
      <c r="CF11" s="43"/>
      <c r="CG11" s="244">
        <v>1.0</v>
      </c>
      <c r="CH11" s="37"/>
      <c r="CI11" s="43"/>
      <c r="CJ11" s="244">
        <v>1.0</v>
      </c>
      <c r="CK11" s="37"/>
    </row>
    <row r="12" hidden="1">
      <c r="A12" s="34" t="s">
        <v>31</v>
      </c>
      <c r="B12" s="34"/>
      <c r="C12" s="35"/>
      <c r="D12" s="35"/>
      <c r="E12" s="36"/>
      <c r="F12" s="37"/>
      <c r="G12" s="35"/>
      <c r="H12" s="43"/>
      <c r="I12" s="43"/>
      <c r="J12" s="43"/>
      <c r="K12" s="3"/>
      <c r="L12" s="37"/>
      <c r="M12" s="37"/>
      <c r="N12" s="38"/>
      <c r="O12" s="39"/>
      <c r="P12" s="40"/>
      <c r="Q12" s="39"/>
      <c r="R12" s="40"/>
      <c r="S12" s="40"/>
      <c r="T12" s="241"/>
      <c r="U12" s="43"/>
      <c r="V12" s="43"/>
      <c r="W12" s="43"/>
      <c r="X12" s="43"/>
      <c r="Y12" s="247">
        <v>0.0</v>
      </c>
      <c r="Z12" s="37"/>
      <c r="AA12" s="43"/>
      <c r="AB12" s="43"/>
      <c r="AC12" s="247">
        <v>0.0</v>
      </c>
      <c r="AD12" s="37"/>
      <c r="AE12" s="247"/>
      <c r="AF12" s="37"/>
      <c r="AG12" s="37"/>
      <c r="AH12" s="247">
        <v>0.0</v>
      </c>
      <c r="AI12" s="37"/>
      <c r="AJ12" s="111"/>
      <c r="AK12" s="247">
        <v>0.0</v>
      </c>
      <c r="AL12" s="37"/>
      <c r="AM12" s="111"/>
      <c r="AN12" s="248">
        <v>0.25</v>
      </c>
      <c r="AO12" s="37"/>
      <c r="AP12" s="111"/>
      <c r="AQ12" s="248">
        <v>0.25</v>
      </c>
      <c r="AR12" s="37"/>
      <c r="AS12" s="111"/>
      <c r="AT12" s="248">
        <v>0.25</v>
      </c>
      <c r="AU12" s="37"/>
      <c r="AV12" s="43"/>
      <c r="AW12" s="248">
        <v>0.25</v>
      </c>
      <c r="AX12" s="37"/>
      <c r="AY12" s="37"/>
      <c r="AZ12" s="248">
        <v>0.25</v>
      </c>
      <c r="BA12" s="37"/>
      <c r="BB12" s="37"/>
      <c r="BC12" s="248">
        <v>0.25</v>
      </c>
      <c r="BD12" s="37"/>
      <c r="BE12" s="37"/>
      <c r="BF12" s="248">
        <v>0.25</v>
      </c>
      <c r="BG12" s="37"/>
      <c r="BH12" s="37"/>
      <c r="BI12" s="248">
        <v>0.25</v>
      </c>
      <c r="BJ12" s="37"/>
      <c r="BK12" s="248">
        <v>0.0</v>
      </c>
      <c r="BL12" s="37"/>
      <c r="BM12" s="37"/>
      <c r="BN12" s="248">
        <v>0.5</v>
      </c>
      <c r="BO12" s="37"/>
      <c r="BP12" s="37"/>
      <c r="BQ12" s="43"/>
      <c r="BR12" s="248">
        <v>0.25</v>
      </c>
      <c r="BS12" s="37"/>
      <c r="BT12" s="43"/>
      <c r="BU12" s="248">
        <v>0.25</v>
      </c>
      <c r="BV12" s="37"/>
      <c r="BW12" s="43"/>
      <c r="BX12" s="248">
        <v>0.25</v>
      </c>
      <c r="BY12" s="37"/>
      <c r="BZ12" s="43"/>
      <c r="CA12" s="248">
        <v>0.25</v>
      </c>
      <c r="CB12" s="37"/>
      <c r="CC12" s="43"/>
      <c r="CD12" s="248">
        <v>0.25</v>
      </c>
      <c r="CE12" s="37"/>
      <c r="CF12" s="43"/>
      <c r="CG12" s="248">
        <v>0.0</v>
      </c>
      <c r="CH12" s="37"/>
      <c r="CI12" s="43"/>
      <c r="CJ12" s="248">
        <v>0.5</v>
      </c>
      <c r="CK12" s="37"/>
    </row>
    <row r="13">
      <c r="A13" s="47" t="s">
        <v>32</v>
      </c>
      <c r="B13" s="48" t="s">
        <v>33</v>
      </c>
      <c r="C13" s="49" t="s">
        <v>34</v>
      </c>
      <c r="D13" s="50"/>
      <c r="E13" s="51">
        <f>'Avg master'!J2</f>
        <v>534</v>
      </c>
      <c r="F13" s="55">
        <f t="shared" ref="F13:F66" si="1">+(E13/$E$69)</f>
        <v>0.002041932264</v>
      </c>
      <c r="G13" s="50"/>
      <c r="H13" s="53">
        <v>302.0</v>
      </c>
      <c r="I13" s="53">
        <v>256.0</v>
      </c>
      <c r="J13" s="53">
        <v>201.0</v>
      </c>
      <c r="K13" s="54">
        <f t="shared" ref="K13:K66" si="2">AVERAGE(H13:J13)</f>
        <v>253</v>
      </c>
      <c r="L13" s="55">
        <f t="shared" ref="L13:L66" si="3">+(K13/$K$69)</f>
        <v>0.002172774195</v>
      </c>
      <c r="M13" s="37"/>
      <c r="N13" s="56">
        <v>1227.121812</v>
      </c>
      <c r="O13" s="43"/>
      <c r="P13" s="57">
        <v>1306.88472978</v>
      </c>
      <c r="Q13" s="43"/>
      <c r="R13" s="57">
        <v>1333.0224243756002</v>
      </c>
      <c r="S13" s="58">
        <f t="shared" ref="S13:S66" si="4">SUM(R13/$E13)</f>
        <v>2.496296675</v>
      </c>
      <c r="T13" s="241"/>
      <c r="U13" s="57">
        <f t="shared" ref="U13:U66" si="5">SUM(R13*(1+$U$3))</f>
        <v>1373.013097</v>
      </c>
      <c r="V13" s="57">
        <f t="shared" ref="V13:V66" si="6">SUM(U13-R13)</f>
        <v>39.99067273</v>
      </c>
      <c r="W13" s="62">
        <f t="shared" ref="W13:W66" si="7">SUM(U13-R13)/R13</f>
        <v>0.03</v>
      </c>
      <c r="X13" s="43"/>
      <c r="Y13" s="88" t="str">
        <f t="shared" ref="Y13:Y66" si="8">#REF!</f>
        <v>#REF!</v>
      </c>
      <c r="Z13" s="249" t="str">
        <f t="shared" ref="Z13:Z66" si="9">SUM(Y13-$U13)</f>
        <v>#REF!</v>
      </c>
      <c r="AA13" s="58" t="str">
        <f t="shared" ref="AA13:AA66" si="10">SUM(Y13/$E13)</f>
        <v>#REF!</v>
      </c>
      <c r="AB13" s="43"/>
      <c r="AC13" s="250">
        <v>476.6551205019915</v>
      </c>
      <c r="AD13" s="249">
        <f t="shared" ref="AD13:AD66" si="11">SUM(AC13-$U13)</f>
        <v>-896.3579766</v>
      </c>
      <c r="AE13" s="58">
        <f t="shared" ref="AE13:AE66" si="12">SUM(AC13/$E13)</f>
        <v>0.8926125852</v>
      </c>
      <c r="AF13" s="58">
        <f t="shared" ref="AF13:AF66" si="13">SUM(AC13/$K13)</f>
        <v>1.884012334</v>
      </c>
      <c r="AG13" s="251"/>
      <c r="AH13" s="250" t="str">
        <f>SUM(#REF!*'FY21-22 fees'!$AH$3)</f>
        <v>#REF!</v>
      </c>
      <c r="AI13" s="249" t="str">
        <f t="shared" ref="AI13:AI66" si="14">SUM(AH13-$U13)</f>
        <v>#REF!</v>
      </c>
      <c r="AJ13" s="43"/>
      <c r="AK13" s="88" t="str">
        <f t="shared" ref="AK13:AK66" si="15">#REF!</f>
        <v>#REF!</v>
      </c>
      <c r="AL13" s="249" t="str">
        <f t="shared" ref="AL13:AL66" si="16">SUM(AK13-$U13)</f>
        <v>#REF!</v>
      </c>
      <c r="AM13" s="43"/>
      <c r="AN13" s="88" t="str">
        <f t="shared" ref="AN13:AN66" si="17">#REF!</f>
        <v>#REF!</v>
      </c>
      <c r="AO13" s="249" t="str">
        <f t="shared" ref="AO13:AO66" si="18">SUM(AN13-$U13)</f>
        <v>#REF!</v>
      </c>
      <c r="AP13" s="43"/>
      <c r="AQ13" s="88" t="str">
        <f t="shared" ref="AQ13:AQ66" si="19">#REF!</f>
        <v>#REF!</v>
      </c>
      <c r="AR13" s="249" t="str">
        <f t="shared" ref="AR13:AR66" si="20">SUM(AQ13-$U13)</f>
        <v>#REF!</v>
      </c>
      <c r="AS13" s="43"/>
      <c r="AT13" s="88" t="str">
        <f t="shared" ref="AT13:AT66" si="21">#REF!</f>
        <v>#REF!</v>
      </c>
      <c r="AU13" s="249" t="str">
        <f t="shared" ref="AU13:AU66" si="22">SUM(AT13-$U13)</f>
        <v>#REF!</v>
      </c>
      <c r="AV13" s="43"/>
      <c r="AW13" s="88" t="str">
        <f t="shared" ref="AW13:AW66" si="23">#REF!</f>
        <v>#REF!</v>
      </c>
      <c r="AX13" s="249" t="str">
        <f t="shared" ref="AX13:AX66" si="24">SUM(AW13-$U13)</f>
        <v>#REF!</v>
      </c>
      <c r="AY13" s="249"/>
      <c r="AZ13" s="88">
        <v>1101.9297590515546</v>
      </c>
      <c r="BA13" s="249">
        <v>-231.09266532404558</v>
      </c>
      <c r="BB13" s="249"/>
      <c r="BC13" s="249">
        <v>830.0855440995646</v>
      </c>
      <c r="BD13" s="249">
        <v>-502.9368802760356</v>
      </c>
      <c r="BE13" s="249"/>
      <c r="BF13" s="88">
        <v>1159.6739276339179</v>
      </c>
      <c r="BG13" s="249">
        <v>-173.3484967416823</v>
      </c>
      <c r="BH13" s="249"/>
      <c r="BI13" s="88">
        <v>1135.7935599654918</v>
      </c>
      <c r="BJ13" s="249">
        <v>-197.22886441010837</v>
      </c>
      <c r="BK13" s="88">
        <v>1953.6853105683838</v>
      </c>
      <c r="BL13" s="249">
        <v>620.6628861927836</v>
      </c>
      <c r="BM13" s="249"/>
      <c r="BN13" s="88">
        <v>1856.225641635747</v>
      </c>
      <c r="BO13" s="249">
        <v>523.2032172601469</v>
      </c>
      <c r="BP13" s="249"/>
      <c r="BQ13" s="43"/>
      <c r="BR13" s="88" t="str">
        <f t="shared" ref="BR13:BR66" si="25">#REF!</f>
        <v>#REF!</v>
      </c>
      <c r="BS13" s="249" t="str">
        <f t="shared" ref="BS13:BS66" si="26">SUM(BR13-$U13)</f>
        <v>#REF!</v>
      </c>
      <c r="BT13" s="43"/>
      <c r="BU13" s="88">
        <v>1090.3663480057187</v>
      </c>
      <c r="BV13" s="249">
        <v>-242.65607636988148</v>
      </c>
      <c r="BW13" s="43"/>
      <c r="BX13" s="88">
        <v>816.5948978794227</v>
      </c>
      <c r="BY13" s="249">
        <v>-516.4275264961775</v>
      </c>
      <c r="BZ13" s="43"/>
      <c r="CA13" s="88">
        <v>1146.183281413776</v>
      </c>
      <c r="CB13" s="249">
        <v>-186.8391429618241</v>
      </c>
      <c r="CC13" s="43"/>
      <c r="CD13" s="88">
        <v>1126.1573840939618</v>
      </c>
      <c r="CE13" s="249">
        <v>-206.86504028163836</v>
      </c>
      <c r="CF13" s="43"/>
      <c r="CG13" s="88">
        <v>1934.4554912038702</v>
      </c>
      <c r="CH13" s="249">
        <v>601.4330668282701</v>
      </c>
      <c r="CI13" s="43"/>
      <c r="CJ13" s="88">
        <v>1836.9107575141409</v>
      </c>
      <c r="CK13" s="249">
        <v>503.8883331385407</v>
      </c>
    </row>
    <row r="14">
      <c r="A14" s="64" t="s">
        <v>35</v>
      </c>
      <c r="B14" s="48" t="s">
        <v>36</v>
      </c>
      <c r="C14" s="49" t="s">
        <v>34</v>
      </c>
      <c r="D14" s="50"/>
      <c r="E14" s="51">
        <f>'Avg master'!J3</f>
        <v>626.6666667</v>
      </c>
      <c r="F14" s="55">
        <f t="shared" si="1"/>
        <v>0.002396275067</v>
      </c>
      <c r="G14" s="50"/>
      <c r="H14" s="53">
        <v>414.0</v>
      </c>
      <c r="I14" s="53">
        <v>335.0</v>
      </c>
      <c r="J14" s="53">
        <v>161.0</v>
      </c>
      <c r="K14" s="54">
        <f t="shared" si="2"/>
        <v>303.3333333</v>
      </c>
      <c r="L14" s="55">
        <f t="shared" si="3"/>
        <v>0.00260503889</v>
      </c>
      <c r="M14" s="37"/>
      <c r="N14" s="56"/>
      <c r="O14" s="43"/>
      <c r="P14" s="65">
        <v>1306.7549999999999</v>
      </c>
      <c r="Q14" s="43"/>
      <c r="R14" s="65">
        <v>1332.8900999999998</v>
      </c>
      <c r="S14" s="58">
        <f t="shared" si="4"/>
        <v>2.126952287</v>
      </c>
      <c r="T14" s="241"/>
      <c r="U14" s="57">
        <f t="shared" si="5"/>
        <v>1372.876803</v>
      </c>
      <c r="V14" s="57">
        <f t="shared" si="6"/>
        <v>39.986703</v>
      </c>
      <c r="W14" s="62">
        <f t="shared" si="7"/>
        <v>0.03</v>
      </c>
      <c r="X14" s="43"/>
      <c r="Y14" s="88" t="str">
        <f t="shared" si="8"/>
        <v>#REF!</v>
      </c>
      <c r="Z14" s="249" t="str">
        <f t="shared" si="9"/>
        <v>#REF!</v>
      </c>
      <c r="AA14" s="58" t="str">
        <f t="shared" si="10"/>
        <v>#REF!</v>
      </c>
      <c r="AB14" s="43"/>
      <c r="AC14" s="250">
        <v>571.4837413133231</v>
      </c>
      <c r="AD14" s="249">
        <f t="shared" si="11"/>
        <v>-801.3930617</v>
      </c>
      <c r="AE14" s="58">
        <f t="shared" si="12"/>
        <v>0.9119421404</v>
      </c>
      <c r="AF14" s="58">
        <f t="shared" si="13"/>
        <v>1.884012334</v>
      </c>
      <c r="AG14" s="251"/>
      <c r="AH14" s="250" t="str">
        <f>SUM(#REF!*'FY21-22 fees'!$AH$3)</f>
        <v>#REF!</v>
      </c>
      <c r="AI14" s="249" t="str">
        <f t="shared" si="14"/>
        <v>#REF!</v>
      </c>
      <c r="AJ14" s="43"/>
      <c r="AK14" s="88" t="str">
        <f t="shared" si="15"/>
        <v>#REF!</v>
      </c>
      <c r="AL14" s="249" t="str">
        <f t="shared" si="16"/>
        <v>#REF!</v>
      </c>
      <c r="AM14" s="43"/>
      <c r="AN14" s="88" t="str">
        <f t="shared" si="17"/>
        <v>#REF!</v>
      </c>
      <c r="AO14" s="249" t="str">
        <f t="shared" si="18"/>
        <v>#REF!</v>
      </c>
      <c r="AP14" s="43"/>
      <c r="AQ14" s="88" t="str">
        <f t="shared" si="19"/>
        <v>#REF!</v>
      </c>
      <c r="AR14" s="249" t="str">
        <f t="shared" si="20"/>
        <v>#REF!</v>
      </c>
      <c r="AS14" s="43"/>
      <c r="AT14" s="88" t="str">
        <f t="shared" si="21"/>
        <v>#REF!</v>
      </c>
      <c r="AU14" s="249" t="str">
        <f t="shared" si="22"/>
        <v>#REF!</v>
      </c>
      <c r="AV14" s="43"/>
      <c r="AW14" s="88" t="str">
        <f t="shared" si="23"/>
        <v>#REF!</v>
      </c>
      <c r="AX14" s="249" t="str">
        <f t="shared" si="24"/>
        <v>#REF!</v>
      </c>
      <c r="AY14" s="249"/>
      <c r="AZ14" s="88">
        <v>1298.9507806356744</v>
      </c>
      <c r="BA14" s="249">
        <v>-33.939319364325456</v>
      </c>
      <c r="BB14" s="249"/>
      <c r="BC14" s="249">
        <v>1102.0236081032872</v>
      </c>
      <c r="BD14" s="249">
        <v>-230.86649189671266</v>
      </c>
      <c r="BE14" s="249"/>
      <c r="BF14" s="88">
        <v>1405.7907604213678</v>
      </c>
      <c r="BG14" s="249">
        <v>72.900660421368</v>
      </c>
      <c r="BH14" s="249"/>
      <c r="BI14" s="88">
        <v>1399.647147693676</v>
      </c>
      <c r="BJ14" s="249">
        <v>66.75704769367621</v>
      </c>
      <c r="BK14" s="88">
        <v>2019.144252593407</v>
      </c>
      <c r="BL14" s="249">
        <v>686.2541525934071</v>
      </c>
      <c r="BM14" s="249"/>
      <c r="BN14" s="88">
        <v>1810.8630009135707</v>
      </c>
      <c r="BO14" s="249">
        <v>477.9729009135708</v>
      </c>
      <c r="BP14" s="249"/>
      <c r="BQ14" s="43"/>
      <c r="BR14" s="88" t="str">
        <f t="shared" si="25"/>
        <v>#REF!</v>
      </c>
      <c r="BS14" s="249" t="str">
        <f t="shared" si="26"/>
        <v>#REF!</v>
      </c>
      <c r="BT14" s="43"/>
      <c r="BU14" s="88">
        <v>1300.1052426153178</v>
      </c>
      <c r="BV14" s="249">
        <v>-32.78485738468203</v>
      </c>
      <c r="BW14" s="43"/>
      <c r="BX14" s="88">
        <v>1103.3704804128713</v>
      </c>
      <c r="BY14" s="249">
        <v>-229.51961958712855</v>
      </c>
      <c r="BZ14" s="43"/>
      <c r="CA14" s="88">
        <v>1407.1376327309517</v>
      </c>
      <c r="CB14" s="249">
        <v>74.24753273095189</v>
      </c>
      <c r="CC14" s="43"/>
      <c r="CD14" s="88">
        <v>1400.6091993433788</v>
      </c>
      <c r="CE14" s="249">
        <v>67.71909934337896</v>
      </c>
      <c r="CF14" s="43"/>
      <c r="CG14" s="88">
        <v>2021.0641095667295</v>
      </c>
      <c r="CH14" s="249">
        <v>688.1740095667296</v>
      </c>
      <c r="CI14" s="43"/>
      <c r="CJ14" s="88">
        <v>1812.7913505390597</v>
      </c>
      <c r="CK14" s="249">
        <v>479.9012505390599</v>
      </c>
    </row>
    <row r="15">
      <c r="A15" s="66" t="s">
        <v>37</v>
      </c>
      <c r="B15" s="48" t="s">
        <v>38</v>
      </c>
      <c r="C15" s="67" t="s">
        <v>39</v>
      </c>
      <c r="D15" s="68"/>
      <c r="E15" s="51">
        <f>'Avg master'!J4</f>
        <v>1659</v>
      </c>
      <c r="F15" s="55">
        <f t="shared" si="1"/>
        <v>0.006343755855</v>
      </c>
      <c r="G15" s="68"/>
      <c r="H15" s="53">
        <v>756.0</v>
      </c>
      <c r="I15" s="53">
        <v>597.0</v>
      </c>
      <c r="J15" s="53">
        <v>491.0</v>
      </c>
      <c r="K15" s="54">
        <f t="shared" si="2"/>
        <v>614.6666667</v>
      </c>
      <c r="L15" s="55">
        <f t="shared" si="3"/>
        <v>0.005278782101</v>
      </c>
      <c r="M15" s="37"/>
      <c r="N15" s="56">
        <v>1472.5461744000004</v>
      </c>
      <c r="O15" s="43"/>
      <c r="P15" s="57">
        <v>1568.2616757360004</v>
      </c>
      <c r="Q15" s="43"/>
      <c r="R15" s="57">
        <v>1599.6269092507205</v>
      </c>
      <c r="S15" s="58">
        <f t="shared" si="4"/>
        <v>0.9642115185</v>
      </c>
      <c r="T15" s="241"/>
      <c r="U15" s="57">
        <f t="shared" si="5"/>
        <v>1647.615717</v>
      </c>
      <c r="V15" s="57">
        <f t="shared" si="6"/>
        <v>47.98880728</v>
      </c>
      <c r="W15" s="62">
        <f t="shared" si="7"/>
        <v>0.03</v>
      </c>
      <c r="X15" s="43"/>
      <c r="Y15" s="88" t="str">
        <f t="shared" si="8"/>
        <v>#REF!</v>
      </c>
      <c r="Z15" s="249" t="str">
        <f t="shared" si="9"/>
        <v>#REF!</v>
      </c>
      <c r="AA15" s="58" t="str">
        <f t="shared" si="10"/>
        <v>#REF!</v>
      </c>
      <c r="AB15" s="43"/>
      <c r="AC15" s="250">
        <v>1158.039581298646</v>
      </c>
      <c r="AD15" s="249">
        <f t="shared" si="11"/>
        <v>-489.5761352</v>
      </c>
      <c r="AE15" s="58">
        <f t="shared" si="12"/>
        <v>0.6980347084</v>
      </c>
      <c r="AF15" s="58">
        <f t="shared" si="13"/>
        <v>1.884012334</v>
      </c>
      <c r="AG15" s="251"/>
      <c r="AH15" s="250" t="str">
        <f>SUM(#REF!*'FY21-22 fees'!$AH$3)</f>
        <v>#REF!</v>
      </c>
      <c r="AI15" s="249" t="str">
        <f t="shared" si="14"/>
        <v>#REF!</v>
      </c>
      <c r="AJ15" s="43"/>
      <c r="AK15" s="88" t="str">
        <f t="shared" si="15"/>
        <v>#REF!</v>
      </c>
      <c r="AL15" s="249" t="str">
        <f t="shared" si="16"/>
        <v>#REF!</v>
      </c>
      <c r="AM15" s="43"/>
      <c r="AN15" s="88" t="str">
        <f t="shared" si="17"/>
        <v>#REF!</v>
      </c>
      <c r="AO15" s="249" t="str">
        <f t="shared" si="18"/>
        <v>#REF!</v>
      </c>
      <c r="AP15" s="43"/>
      <c r="AQ15" s="88" t="str">
        <f t="shared" si="19"/>
        <v>#REF!</v>
      </c>
      <c r="AR15" s="249" t="str">
        <f t="shared" si="20"/>
        <v>#REF!</v>
      </c>
      <c r="AS15" s="43"/>
      <c r="AT15" s="88" t="str">
        <f t="shared" si="21"/>
        <v>#REF!</v>
      </c>
      <c r="AU15" s="249" t="str">
        <f t="shared" si="22"/>
        <v>#REF!</v>
      </c>
      <c r="AV15" s="43"/>
      <c r="AW15" s="88" t="str">
        <f t="shared" si="23"/>
        <v>#REF!</v>
      </c>
      <c r="AX15" s="249" t="str">
        <f t="shared" si="24"/>
        <v>#REF!</v>
      </c>
      <c r="AY15" s="249"/>
      <c r="AZ15" s="88">
        <v>2280.496985341698</v>
      </c>
      <c r="BA15" s="249">
        <v>680.8700760909774</v>
      </c>
      <c r="BB15" s="249"/>
      <c r="BC15" s="249">
        <v>2129.901898629974</v>
      </c>
      <c r="BD15" s="249">
        <v>530.2749893792534</v>
      </c>
      <c r="BE15" s="249"/>
      <c r="BF15" s="88">
        <v>2373.095937117399</v>
      </c>
      <c r="BG15" s="249">
        <v>773.4690278666785</v>
      </c>
      <c r="BH15" s="249"/>
      <c r="BI15" s="88">
        <v>2377.5194723835866</v>
      </c>
      <c r="BJ15" s="249">
        <v>777.8925631328661</v>
      </c>
      <c r="BK15" s="88">
        <v>2675.382763999261</v>
      </c>
      <c r="BL15" s="249">
        <v>1075.7558547485405</v>
      </c>
      <c r="BM15" s="249"/>
      <c r="BN15" s="88">
        <v>2799.455099830124</v>
      </c>
      <c r="BO15" s="249">
        <v>1199.8281905794033</v>
      </c>
      <c r="BP15" s="249"/>
      <c r="BQ15" s="43"/>
      <c r="BR15" s="88" t="str">
        <f t="shared" si="25"/>
        <v>#REF!</v>
      </c>
      <c r="BS15" s="249" t="str">
        <f t="shared" si="26"/>
        <v>#REF!</v>
      </c>
      <c r="BT15" s="43"/>
      <c r="BU15" s="88">
        <v>2330.895383977394</v>
      </c>
      <c r="BV15" s="249">
        <v>731.2684747266735</v>
      </c>
      <c r="BW15" s="43"/>
      <c r="BX15" s="88">
        <v>2188.7000303716195</v>
      </c>
      <c r="BY15" s="249">
        <v>589.073121120899</v>
      </c>
      <c r="BZ15" s="43"/>
      <c r="CA15" s="88">
        <v>2431.894068859045</v>
      </c>
      <c r="CB15" s="249">
        <v>832.2671596083246</v>
      </c>
      <c r="CC15" s="43"/>
      <c r="CD15" s="88">
        <v>2419.5181379133337</v>
      </c>
      <c r="CE15" s="249">
        <v>819.8912286626132</v>
      </c>
      <c r="CF15" s="43"/>
      <c r="CG15" s="88">
        <v>2759.1947203660793</v>
      </c>
      <c r="CH15" s="249">
        <v>1159.5678111153588</v>
      </c>
      <c r="CI15" s="43"/>
      <c r="CJ15" s="88">
        <v>2883.6378055822934</v>
      </c>
      <c r="CK15" s="249">
        <v>1284.010896331573</v>
      </c>
    </row>
    <row r="16">
      <c r="A16" s="69" t="s">
        <v>284</v>
      </c>
      <c r="B16" s="48" t="s">
        <v>41</v>
      </c>
      <c r="C16" s="70" t="s">
        <v>42</v>
      </c>
      <c r="D16" s="71"/>
      <c r="E16" s="51">
        <f>'Avg master'!J5</f>
        <v>16863.33333</v>
      </c>
      <c r="F16" s="55">
        <f t="shared" si="1"/>
        <v>0.06448274236</v>
      </c>
      <c r="G16" s="71"/>
      <c r="H16" s="53">
        <v>10989.0</v>
      </c>
      <c r="I16" s="53">
        <v>9198.0</v>
      </c>
      <c r="J16" s="53">
        <v>6885.0</v>
      </c>
      <c r="K16" s="54">
        <f t="shared" si="2"/>
        <v>9024</v>
      </c>
      <c r="L16" s="55">
        <f t="shared" si="3"/>
        <v>0.07749847562</v>
      </c>
      <c r="M16" s="37"/>
      <c r="N16" s="56">
        <v>12271.218120000003</v>
      </c>
      <c r="O16" s="43"/>
      <c r="P16" s="57">
        <v>13068.847297800003</v>
      </c>
      <c r="Q16" s="43"/>
      <c r="R16" s="57">
        <v>13330.224243756003</v>
      </c>
      <c r="S16" s="58">
        <f t="shared" si="4"/>
        <v>0.7904857231</v>
      </c>
      <c r="T16" s="241"/>
      <c r="U16" s="57">
        <f t="shared" si="5"/>
        <v>13730.13097</v>
      </c>
      <c r="V16" s="57">
        <f t="shared" si="6"/>
        <v>399.9067273</v>
      </c>
      <c r="W16" s="62">
        <f t="shared" si="7"/>
        <v>0.03</v>
      </c>
      <c r="X16" s="43"/>
      <c r="Y16" s="88" t="str">
        <f t="shared" si="8"/>
        <v>#REF!</v>
      </c>
      <c r="Z16" s="249" t="str">
        <f t="shared" si="9"/>
        <v>#REF!</v>
      </c>
      <c r="AA16" s="58" t="str">
        <f t="shared" si="10"/>
        <v>#REF!</v>
      </c>
      <c r="AB16" s="43"/>
      <c r="AC16" s="250">
        <v>17001.327302015696</v>
      </c>
      <c r="AD16" s="249">
        <f t="shared" si="11"/>
        <v>3271.196331</v>
      </c>
      <c r="AE16" s="58">
        <f t="shared" si="12"/>
        <v>1.008183078</v>
      </c>
      <c r="AF16" s="58">
        <f t="shared" si="13"/>
        <v>1.884012334</v>
      </c>
      <c r="AG16" s="251"/>
      <c r="AH16" s="250" t="str">
        <f>SUM(#REF!*'FY21-22 fees'!$AH$3)</f>
        <v>#REF!</v>
      </c>
      <c r="AI16" s="249" t="str">
        <f t="shared" si="14"/>
        <v>#REF!</v>
      </c>
      <c r="AJ16" s="43"/>
      <c r="AK16" s="88" t="str">
        <f t="shared" si="15"/>
        <v>#REF!</v>
      </c>
      <c r="AL16" s="249" t="str">
        <f t="shared" si="16"/>
        <v>#REF!</v>
      </c>
      <c r="AM16" s="43"/>
      <c r="AN16" s="88" t="str">
        <f t="shared" si="17"/>
        <v>#REF!</v>
      </c>
      <c r="AO16" s="249" t="str">
        <f t="shared" si="18"/>
        <v>#REF!</v>
      </c>
      <c r="AP16" s="43"/>
      <c r="AQ16" s="88" t="str">
        <f t="shared" si="19"/>
        <v>#REF!</v>
      </c>
      <c r="AR16" s="249" t="str">
        <f t="shared" si="20"/>
        <v>#REF!</v>
      </c>
      <c r="AS16" s="43"/>
      <c r="AT16" s="88" t="str">
        <f t="shared" si="21"/>
        <v>#REF!</v>
      </c>
      <c r="AU16" s="249" t="str">
        <f t="shared" si="22"/>
        <v>#REF!</v>
      </c>
      <c r="AV16" s="43"/>
      <c r="AW16" s="88" t="str">
        <f t="shared" si="23"/>
        <v>#REF!</v>
      </c>
      <c r="AX16" s="249" t="str">
        <f t="shared" si="24"/>
        <v>#REF!</v>
      </c>
      <c r="AY16" s="249"/>
      <c r="AZ16" s="88">
        <v>16951.93357166354</v>
      </c>
      <c r="BA16" s="249">
        <v>3621.709327907536</v>
      </c>
      <c r="BB16" s="249"/>
      <c r="BC16" s="249">
        <v>18218.025243382406</v>
      </c>
      <c r="BD16" s="249">
        <v>4887.800999626403</v>
      </c>
      <c r="BE16" s="249"/>
      <c r="BF16" s="88">
        <v>16468.743165512697</v>
      </c>
      <c r="BG16" s="249">
        <v>3138.518921756693</v>
      </c>
      <c r="BH16" s="249"/>
      <c r="BI16" s="88">
        <v>17114.94634376324</v>
      </c>
      <c r="BJ16" s="249">
        <v>3784.722100007237</v>
      </c>
      <c r="BK16" s="88">
        <v>11842.764738860604</v>
      </c>
      <c r="BL16" s="249">
        <v>-1487.4595048953997</v>
      </c>
      <c r="BM16" s="249"/>
      <c r="BN16" s="88">
        <v>11210.145753192453</v>
      </c>
      <c r="BO16" s="249">
        <v>-2120.07849056355</v>
      </c>
      <c r="BP16" s="249"/>
      <c r="BQ16" s="43"/>
      <c r="BR16" s="88" t="str">
        <f t="shared" si="25"/>
        <v>#REF!</v>
      </c>
      <c r="BS16" s="249" t="str">
        <f t="shared" si="26"/>
        <v>#REF!</v>
      </c>
      <c r="BT16" s="43"/>
      <c r="BU16" s="88">
        <v>16129.41969850283</v>
      </c>
      <c r="BV16" s="249">
        <v>2799.1954547468267</v>
      </c>
      <c r="BW16" s="43"/>
      <c r="BX16" s="88">
        <v>17258.42572469491</v>
      </c>
      <c r="BY16" s="249">
        <v>3928.2014809389057</v>
      </c>
      <c r="BZ16" s="43"/>
      <c r="CA16" s="88">
        <v>15509.143646825198</v>
      </c>
      <c r="CB16" s="249">
        <v>2178.9194030691942</v>
      </c>
      <c r="CC16" s="43"/>
      <c r="CD16" s="88">
        <v>16429.51811612931</v>
      </c>
      <c r="CE16" s="249">
        <v>3099.2938723733077</v>
      </c>
      <c r="CF16" s="43"/>
      <c r="CG16" s="88">
        <v>10474.933642742762</v>
      </c>
      <c r="CH16" s="249">
        <v>-2855.290601013241</v>
      </c>
      <c r="CI16" s="43"/>
      <c r="CJ16" s="88">
        <v>9836.263938774586</v>
      </c>
      <c r="CK16" s="249">
        <v>-3493.9603049814177</v>
      </c>
    </row>
    <row r="17">
      <c r="A17" s="72" t="s">
        <v>43</v>
      </c>
      <c r="B17" s="73" t="s">
        <v>44</v>
      </c>
      <c r="C17" s="70" t="s">
        <v>45</v>
      </c>
      <c r="D17" s="74"/>
      <c r="E17" s="51">
        <f>'Avg master'!J6</f>
        <v>1595</v>
      </c>
      <c r="F17" s="55">
        <f t="shared" si="1"/>
        <v>0.006099029891</v>
      </c>
      <c r="G17" s="74"/>
      <c r="H17" s="53">
        <v>4438.0</v>
      </c>
      <c r="I17" s="53">
        <v>2541.0</v>
      </c>
      <c r="J17" s="53">
        <v>1310.0</v>
      </c>
      <c r="K17" s="54">
        <f t="shared" si="2"/>
        <v>2763</v>
      </c>
      <c r="L17" s="55">
        <f t="shared" si="3"/>
        <v>0.02372875534</v>
      </c>
      <c r="M17" s="37"/>
      <c r="N17" s="56">
        <v>6135.609060000002</v>
      </c>
      <c r="O17" s="43"/>
      <c r="P17" s="57">
        <v>6534.423648900001</v>
      </c>
      <c r="Q17" s="43"/>
      <c r="R17" s="57">
        <v>6665.112121878002</v>
      </c>
      <c r="S17" s="58">
        <f t="shared" si="4"/>
        <v>4.178753681</v>
      </c>
      <c r="T17" s="241"/>
      <c r="U17" s="57">
        <f t="shared" si="5"/>
        <v>6865.065486</v>
      </c>
      <c r="V17" s="57">
        <f t="shared" si="6"/>
        <v>199.9533637</v>
      </c>
      <c r="W17" s="62">
        <f t="shared" si="7"/>
        <v>0.03</v>
      </c>
      <c r="X17" s="43"/>
      <c r="Y17" s="88" t="str">
        <f t="shared" si="8"/>
        <v>#REF!</v>
      </c>
      <c r="Z17" s="249" t="str">
        <f t="shared" si="9"/>
        <v>#REF!</v>
      </c>
      <c r="AA17" s="58" t="str">
        <f t="shared" si="10"/>
        <v>#REF!</v>
      </c>
      <c r="AB17" s="43"/>
      <c r="AC17" s="250">
        <v>5205.526078841906</v>
      </c>
      <c r="AD17" s="249">
        <f t="shared" si="11"/>
        <v>-1659.539407</v>
      </c>
      <c r="AE17" s="58">
        <f t="shared" si="12"/>
        <v>3.263652714</v>
      </c>
      <c r="AF17" s="58">
        <f t="shared" si="13"/>
        <v>1.884012334</v>
      </c>
      <c r="AG17" s="251"/>
      <c r="AH17" s="250" t="str">
        <f>SUM(#REF!*'FY21-22 fees'!$AH$3)</f>
        <v>#REF!</v>
      </c>
      <c r="AI17" s="249" t="str">
        <f t="shared" si="14"/>
        <v>#REF!</v>
      </c>
      <c r="AJ17" s="43"/>
      <c r="AK17" s="88" t="str">
        <f t="shared" si="15"/>
        <v>#REF!</v>
      </c>
      <c r="AL17" s="249" t="str">
        <f t="shared" si="16"/>
        <v>#REF!</v>
      </c>
      <c r="AM17" s="43"/>
      <c r="AN17" s="88" t="str">
        <f t="shared" si="17"/>
        <v>#REF!</v>
      </c>
      <c r="AO17" s="249" t="str">
        <f t="shared" si="18"/>
        <v>#REF!</v>
      </c>
      <c r="AP17" s="43"/>
      <c r="AQ17" s="88" t="str">
        <f t="shared" si="19"/>
        <v>#REF!</v>
      </c>
      <c r="AR17" s="249" t="str">
        <f t="shared" si="20"/>
        <v>#REF!</v>
      </c>
      <c r="AS17" s="43"/>
      <c r="AT17" s="88" t="str">
        <f t="shared" si="21"/>
        <v>#REF!</v>
      </c>
      <c r="AU17" s="249" t="str">
        <f t="shared" si="22"/>
        <v>#REF!</v>
      </c>
      <c r="AV17" s="43"/>
      <c r="AW17" s="88" t="str">
        <f t="shared" si="23"/>
        <v>#REF!</v>
      </c>
      <c r="AX17" s="249" t="str">
        <f t="shared" si="24"/>
        <v>#REF!</v>
      </c>
      <c r="AY17" s="249"/>
      <c r="AZ17" s="88">
        <v>2664.1590602893693</v>
      </c>
      <c r="BA17" s="249">
        <v>-4000.9530615886324</v>
      </c>
      <c r="BB17" s="249"/>
      <c r="BC17" s="249">
        <v>2846.724362010335</v>
      </c>
      <c r="BD17" s="249">
        <v>-3818.387759867667</v>
      </c>
      <c r="BE17" s="249"/>
      <c r="BF17" s="88">
        <v>3174.01287879668</v>
      </c>
      <c r="BG17" s="249">
        <v>-3491.0992430813217</v>
      </c>
      <c r="BH17" s="249"/>
      <c r="BI17" s="88">
        <v>2749.279355659002</v>
      </c>
      <c r="BJ17" s="249">
        <v>-3915.832766219</v>
      </c>
      <c r="BK17" s="88">
        <v>3982.648031981296</v>
      </c>
      <c r="BL17" s="249">
        <v>-2682.464089896706</v>
      </c>
      <c r="BM17" s="249"/>
      <c r="BN17" s="88">
        <v>3788.585594264468</v>
      </c>
      <c r="BO17" s="249">
        <v>-2876.5265276135337</v>
      </c>
      <c r="BP17" s="249"/>
      <c r="BQ17" s="43"/>
      <c r="BR17" s="88" t="str">
        <f t="shared" si="25"/>
        <v>#REF!</v>
      </c>
      <c r="BS17" s="249" t="str">
        <f t="shared" si="26"/>
        <v>#REF!</v>
      </c>
      <c r="BT17" s="43"/>
      <c r="BU17" s="88">
        <v>1920.9959811944602</v>
      </c>
      <c r="BV17" s="249">
        <v>-4744.116140683542</v>
      </c>
      <c r="BW17" s="43"/>
      <c r="BX17" s="88">
        <v>1979.700769732941</v>
      </c>
      <c r="BY17" s="249">
        <v>-4685.411352145061</v>
      </c>
      <c r="BZ17" s="43"/>
      <c r="CA17" s="88">
        <v>2306.9892865192865</v>
      </c>
      <c r="CB17" s="249">
        <v>-4358.122835358716</v>
      </c>
      <c r="CC17" s="43"/>
      <c r="CD17" s="88">
        <v>2129.976789746578</v>
      </c>
      <c r="CE17" s="249">
        <v>-4535.135332131424</v>
      </c>
      <c r="CF17" s="43"/>
      <c r="CG17" s="88">
        <v>2746.7763923134266</v>
      </c>
      <c r="CH17" s="249">
        <v>-3918.335729564575</v>
      </c>
      <c r="CI17" s="43"/>
      <c r="CJ17" s="88">
        <v>2547.2469702826406</v>
      </c>
      <c r="CK17" s="249">
        <v>-4117.865151595361</v>
      </c>
    </row>
    <row r="18">
      <c r="A18" s="72" t="s">
        <v>46</v>
      </c>
      <c r="B18" s="75" t="s">
        <v>47</v>
      </c>
      <c r="C18" s="70" t="s">
        <v>48</v>
      </c>
      <c r="D18" s="74"/>
      <c r="E18" s="51">
        <f>'Avg master'!J8</f>
        <v>883.6666667</v>
      </c>
      <c r="F18" s="55">
        <f t="shared" si="1"/>
        <v>0.003379002767</v>
      </c>
      <c r="G18" s="74"/>
      <c r="H18" s="53">
        <v>7736.0</v>
      </c>
      <c r="I18" s="53">
        <v>7202.0</v>
      </c>
      <c r="J18" s="53">
        <v>6818.0</v>
      </c>
      <c r="K18" s="54">
        <f t="shared" si="2"/>
        <v>7252</v>
      </c>
      <c r="L18" s="55">
        <f t="shared" si="3"/>
        <v>0.06228046822</v>
      </c>
      <c r="M18" s="37"/>
      <c r="N18" s="56">
        <v>4908.487248</v>
      </c>
      <c r="O18" s="43"/>
      <c r="P18" s="57">
        <v>5227.53891912</v>
      </c>
      <c r="Q18" s="43"/>
      <c r="R18" s="57">
        <v>5332.089697502401</v>
      </c>
      <c r="S18" s="58">
        <f t="shared" si="4"/>
        <v>6.034050959</v>
      </c>
      <c r="T18" s="241"/>
      <c r="U18" s="57">
        <f t="shared" si="5"/>
        <v>5492.052388</v>
      </c>
      <c r="V18" s="57">
        <f t="shared" si="6"/>
        <v>159.9626909</v>
      </c>
      <c r="W18" s="62">
        <f t="shared" si="7"/>
        <v>0.03</v>
      </c>
      <c r="X18" s="43"/>
      <c r="Y18" s="88" t="str">
        <f t="shared" si="8"/>
        <v>#REF!</v>
      </c>
      <c r="Z18" s="249" t="str">
        <f t="shared" si="9"/>
        <v>#REF!</v>
      </c>
      <c r="AA18" s="58" t="str">
        <f t="shared" si="10"/>
        <v>#REF!</v>
      </c>
      <c r="AB18" s="43"/>
      <c r="AC18" s="250">
        <v>13662.857446167754</v>
      </c>
      <c r="AD18" s="249">
        <f t="shared" si="11"/>
        <v>8170.805058</v>
      </c>
      <c r="AE18" s="58">
        <f t="shared" si="12"/>
        <v>15.46155124</v>
      </c>
      <c r="AF18" s="58">
        <f t="shared" si="13"/>
        <v>1.884012334</v>
      </c>
      <c r="AG18" s="251"/>
      <c r="AH18" s="250" t="str">
        <f>SUM(#REF!*'FY21-22 fees'!$AH$3)</f>
        <v>#REF!</v>
      </c>
      <c r="AI18" s="249" t="str">
        <f t="shared" si="14"/>
        <v>#REF!</v>
      </c>
      <c r="AJ18" s="43"/>
      <c r="AK18" s="88" t="str">
        <f t="shared" si="15"/>
        <v>#REF!</v>
      </c>
      <c r="AL18" s="249" t="str">
        <f t="shared" si="16"/>
        <v>#REF!</v>
      </c>
      <c r="AM18" s="43"/>
      <c r="AN18" s="88" t="str">
        <f t="shared" si="17"/>
        <v>#REF!</v>
      </c>
      <c r="AO18" s="249" t="str">
        <f t="shared" si="18"/>
        <v>#REF!</v>
      </c>
      <c r="AP18" s="43"/>
      <c r="AQ18" s="88" t="str">
        <f t="shared" si="19"/>
        <v>#REF!</v>
      </c>
      <c r="AR18" s="249" t="str">
        <f t="shared" si="20"/>
        <v>#REF!</v>
      </c>
      <c r="AS18" s="43"/>
      <c r="AT18" s="88" t="str">
        <f t="shared" si="21"/>
        <v>#REF!</v>
      </c>
      <c r="AU18" s="249" t="str">
        <f t="shared" si="22"/>
        <v>#REF!</v>
      </c>
      <c r="AV18" s="43"/>
      <c r="AW18" s="88" t="str">
        <f t="shared" si="23"/>
        <v>#REF!</v>
      </c>
      <c r="AX18" s="249" t="str">
        <f t="shared" si="24"/>
        <v>#REF!</v>
      </c>
      <c r="AY18" s="249"/>
      <c r="AZ18" s="88">
        <v>4719.378430097486</v>
      </c>
      <c r="BA18" s="249">
        <v>-612.7112674049149</v>
      </c>
      <c r="BB18" s="249"/>
      <c r="BC18" s="249">
        <v>5246.090513890373</v>
      </c>
      <c r="BD18" s="249">
        <v>-85.99918361202799</v>
      </c>
      <c r="BE18" s="249"/>
      <c r="BF18" s="88">
        <v>5551.246546777054</v>
      </c>
      <c r="BG18" s="249">
        <v>219.15684927465372</v>
      </c>
      <c r="BH18" s="249"/>
      <c r="BI18" s="88">
        <v>4427.628010832554</v>
      </c>
      <c r="BJ18" s="249">
        <v>-904.461686669847</v>
      </c>
      <c r="BK18" s="88">
        <v>7615.49242025407</v>
      </c>
      <c r="BL18" s="249">
        <v>2283.402722751669</v>
      </c>
      <c r="BM18" s="249"/>
      <c r="BN18" s="88">
        <v>7033.342202030375</v>
      </c>
      <c r="BO18" s="249">
        <v>1701.2525045279745</v>
      </c>
      <c r="BP18" s="249"/>
      <c r="BQ18" s="43"/>
      <c r="BR18" s="88" t="str">
        <f t="shared" si="25"/>
        <v>#REF!</v>
      </c>
      <c r="BS18" s="249" t="str">
        <f t="shared" si="26"/>
        <v>#REF!</v>
      </c>
      <c r="BT18" s="43"/>
      <c r="BU18" s="88">
        <v>2768.8106958968783</v>
      </c>
      <c r="BV18" s="249">
        <v>-2563.2790016055224</v>
      </c>
      <c r="BW18" s="43"/>
      <c r="BX18" s="88">
        <v>2970.428157322996</v>
      </c>
      <c r="BY18" s="249">
        <v>-2361.6615401794047</v>
      </c>
      <c r="BZ18" s="43"/>
      <c r="CA18" s="88">
        <v>3275.5841902096795</v>
      </c>
      <c r="CB18" s="249">
        <v>-2056.505507292721</v>
      </c>
      <c r="CC18" s="43"/>
      <c r="CD18" s="88">
        <v>2802.154898998713</v>
      </c>
      <c r="CE18" s="249">
        <v>-2529.9347985036875</v>
      </c>
      <c r="CF18" s="43"/>
      <c r="CG18" s="88">
        <v>4371.720747843143</v>
      </c>
      <c r="CH18" s="249">
        <v>-960.3689496592579</v>
      </c>
      <c r="CI18" s="43"/>
      <c r="CJ18" s="88">
        <v>3775.2214271059397</v>
      </c>
      <c r="CK18" s="249">
        <v>-1556.868270396461</v>
      </c>
    </row>
    <row r="19">
      <c r="A19" s="69" t="s">
        <v>49</v>
      </c>
      <c r="B19" s="76" t="s">
        <v>50</v>
      </c>
      <c r="C19" s="77" t="s">
        <v>51</v>
      </c>
      <c r="D19" s="71"/>
      <c r="E19" s="51">
        <f>'Avg master'!J9</f>
        <v>277.3333333</v>
      </c>
      <c r="F19" s="55">
        <f t="shared" si="1"/>
        <v>0.001060479179</v>
      </c>
      <c r="G19" s="71"/>
      <c r="H19" s="53">
        <v>357.0</v>
      </c>
      <c r="I19" s="53">
        <v>350.0</v>
      </c>
      <c r="J19" s="53">
        <v>341.0</v>
      </c>
      <c r="K19" s="54">
        <f t="shared" si="2"/>
        <v>349.3333333</v>
      </c>
      <c r="L19" s="55">
        <f t="shared" si="3"/>
        <v>0.003000088743</v>
      </c>
      <c r="M19" s="37"/>
      <c r="N19" s="56">
        <v>1227.121812</v>
      </c>
      <c r="O19" s="43"/>
      <c r="P19" s="57">
        <v>1306.88472978</v>
      </c>
      <c r="Q19" s="43"/>
      <c r="R19" s="57">
        <v>1333.0224243756002</v>
      </c>
      <c r="S19" s="58">
        <f t="shared" si="4"/>
        <v>4.806571242</v>
      </c>
      <c r="T19" s="241"/>
      <c r="U19" s="57">
        <f t="shared" si="5"/>
        <v>1373.013097</v>
      </c>
      <c r="V19" s="57">
        <f t="shared" si="6"/>
        <v>39.99067273</v>
      </c>
      <c r="W19" s="62">
        <f t="shared" si="7"/>
        <v>0.03</v>
      </c>
      <c r="X19" s="43"/>
      <c r="Y19" s="88" t="str">
        <f t="shared" si="8"/>
        <v>#REF!</v>
      </c>
      <c r="Z19" s="249" t="str">
        <f t="shared" si="9"/>
        <v>#REF!</v>
      </c>
      <c r="AA19" s="58" t="str">
        <f t="shared" si="10"/>
        <v>#REF!</v>
      </c>
      <c r="AB19" s="43"/>
      <c r="AC19" s="250">
        <v>658.1483086773216</v>
      </c>
      <c r="AD19" s="249">
        <f t="shared" si="11"/>
        <v>-714.8647884</v>
      </c>
      <c r="AE19" s="58">
        <f t="shared" si="12"/>
        <v>2.373130921</v>
      </c>
      <c r="AF19" s="58">
        <f t="shared" si="13"/>
        <v>1.884012334</v>
      </c>
      <c r="AG19" s="251"/>
      <c r="AH19" s="250" t="str">
        <f>SUM(#REF!*'FY21-22 fees'!$AH$3)</f>
        <v>#REF!</v>
      </c>
      <c r="AI19" s="249" t="str">
        <f t="shared" si="14"/>
        <v>#REF!</v>
      </c>
      <c r="AJ19" s="43"/>
      <c r="AK19" s="88" t="str">
        <f t="shared" si="15"/>
        <v>#REF!</v>
      </c>
      <c r="AL19" s="249" t="str">
        <f t="shared" si="16"/>
        <v>#REF!</v>
      </c>
      <c r="AM19" s="43"/>
      <c r="AN19" s="88" t="str">
        <f t="shared" si="17"/>
        <v>#REF!</v>
      </c>
      <c r="AO19" s="249" t="str">
        <f t="shared" si="18"/>
        <v>#REF!</v>
      </c>
      <c r="AP19" s="43"/>
      <c r="AQ19" s="88" t="str">
        <f t="shared" si="19"/>
        <v>#REF!</v>
      </c>
      <c r="AR19" s="249" t="str">
        <f t="shared" si="20"/>
        <v>#REF!</v>
      </c>
      <c r="AS19" s="43"/>
      <c r="AT19" s="88" t="str">
        <f t="shared" si="21"/>
        <v>#REF!</v>
      </c>
      <c r="AU19" s="249" t="str">
        <f t="shared" si="22"/>
        <v>#REF!</v>
      </c>
      <c r="AV19" s="43"/>
      <c r="AW19" s="88" t="str">
        <f t="shared" si="23"/>
        <v>#REF!</v>
      </c>
      <c r="AX19" s="249" t="str">
        <f t="shared" si="24"/>
        <v>#REF!</v>
      </c>
      <c r="AY19" s="249"/>
      <c r="AZ19" s="88">
        <v>1479.3855452800933</v>
      </c>
      <c r="BA19" s="249">
        <v>146.36312090449314</v>
      </c>
      <c r="BB19" s="249"/>
      <c r="BC19" s="249">
        <v>1383.3948880899352</v>
      </c>
      <c r="BD19" s="249">
        <v>50.37246371433503</v>
      </c>
      <c r="BE19" s="249"/>
      <c r="BF19" s="88">
        <v>1700.0950573156456</v>
      </c>
      <c r="BG19" s="249">
        <v>367.0726329400454</v>
      </c>
      <c r="BH19" s="249"/>
      <c r="BI19" s="88">
        <v>1673.6299659185731</v>
      </c>
      <c r="BJ19" s="249">
        <v>340.60754154297297</v>
      </c>
      <c r="BK19" s="88">
        <v>2008.6597990593777</v>
      </c>
      <c r="BL19" s="249">
        <v>675.6373746837776</v>
      </c>
      <c r="BM19" s="249"/>
      <c r="BN19" s="88">
        <v>2017.041604206604</v>
      </c>
      <c r="BO19" s="249">
        <v>684.0191798310038</v>
      </c>
      <c r="BP19" s="249"/>
      <c r="BQ19" s="43"/>
      <c r="BR19" s="88" t="str">
        <f t="shared" si="25"/>
        <v>#REF!</v>
      </c>
      <c r="BS19" s="249" t="str">
        <f t="shared" si="26"/>
        <v>#REF!</v>
      </c>
      <c r="BT19" s="43"/>
      <c r="BU19" s="88">
        <v>1385.42548895346</v>
      </c>
      <c r="BV19" s="249">
        <v>52.40306457785982</v>
      </c>
      <c r="BW19" s="43"/>
      <c r="BX19" s="88">
        <v>1273.7748223755293</v>
      </c>
      <c r="BY19" s="249">
        <v>-59.247602000070856</v>
      </c>
      <c r="BZ19" s="43"/>
      <c r="CA19" s="88">
        <v>1590.4749916012397</v>
      </c>
      <c r="CB19" s="249">
        <v>257.45256722563954</v>
      </c>
      <c r="CC19" s="43"/>
      <c r="CD19" s="88">
        <v>1595.3299189797117</v>
      </c>
      <c r="CE19" s="249">
        <v>262.3074946041115</v>
      </c>
      <c r="CF19" s="43"/>
      <c r="CG19" s="88">
        <v>1852.4053077610395</v>
      </c>
      <c r="CH19" s="249">
        <v>519.3828833854393</v>
      </c>
      <c r="CI19" s="43"/>
      <c r="CJ19" s="88">
        <v>1860.0959077494977</v>
      </c>
      <c r="CK19" s="249">
        <v>527.0734833738975</v>
      </c>
    </row>
    <row r="20">
      <c r="A20" s="69" t="s">
        <v>52</v>
      </c>
      <c r="B20" s="48" t="s">
        <v>53</v>
      </c>
      <c r="C20" s="77" t="s">
        <v>54</v>
      </c>
      <c r="D20" s="71"/>
      <c r="E20" s="51">
        <f>'Avg master'!J10</f>
        <v>83.66666667</v>
      </c>
      <c r="F20" s="55">
        <f t="shared" si="1"/>
        <v>0.0003199282137</v>
      </c>
      <c r="G20" s="71"/>
      <c r="H20" s="53">
        <v>111.0</v>
      </c>
      <c r="I20" s="53">
        <v>104.0</v>
      </c>
      <c r="J20" s="53">
        <v>95.0</v>
      </c>
      <c r="K20" s="54">
        <f t="shared" si="2"/>
        <v>103.3333333</v>
      </c>
      <c r="L20" s="55">
        <f t="shared" si="3"/>
        <v>0.0008874308305</v>
      </c>
      <c r="M20" s="37"/>
      <c r="N20" s="56">
        <v>923.2630776000001</v>
      </c>
      <c r="O20" s="43"/>
      <c r="P20" s="57">
        <v>983.275177644</v>
      </c>
      <c r="Q20" s="43"/>
      <c r="R20" s="57">
        <v>1002.9406811968801</v>
      </c>
      <c r="S20" s="58">
        <f t="shared" si="4"/>
        <v>11.98733882</v>
      </c>
      <c r="T20" s="241"/>
      <c r="U20" s="57">
        <f t="shared" si="5"/>
        <v>1033.028902</v>
      </c>
      <c r="V20" s="57">
        <f t="shared" si="6"/>
        <v>30.08822044</v>
      </c>
      <c r="W20" s="62">
        <f t="shared" si="7"/>
        <v>0.03</v>
      </c>
      <c r="X20" s="43"/>
      <c r="Y20" s="88" t="str">
        <f t="shared" si="8"/>
        <v>#REF!</v>
      </c>
      <c r="Z20" s="249" t="str">
        <f t="shared" si="9"/>
        <v>#REF!</v>
      </c>
      <c r="AA20" s="58" t="str">
        <f t="shared" si="10"/>
        <v>#REF!</v>
      </c>
      <c r="AB20" s="43"/>
      <c r="AC20" s="250">
        <v>194.68127451332984</v>
      </c>
      <c r="AD20" s="249">
        <f t="shared" si="11"/>
        <v>-838.3476271</v>
      </c>
      <c r="AE20" s="58">
        <f t="shared" si="12"/>
        <v>2.326867823</v>
      </c>
      <c r="AF20" s="58">
        <f t="shared" si="13"/>
        <v>1.884012334</v>
      </c>
      <c r="AG20" s="251"/>
      <c r="AH20" s="250" t="str">
        <f>SUM(#REF!*'FY21-22 fees'!$AH$3)</f>
        <v>#REF!</v>
      </c>
      <c r="AI20" s="249" t="str">
        <f t="shared" si="14"/>
        <v>#REF!</v>
      </c>
      <c r="AJ20" s="43"/>
      <c r="AK20" s="88" t="str">
        <f t="shared" si="15"/>
        <v>#REF!</v>
      </c>
      <c r="AL20" s="249" t="str">
        <f t="shared" si="16"/>
        <v>#REF!</v>
      </c>
      <c r="AM20" s="43"/>
      <c r="AN20" s="88" t="str">
        <f t="shared" si="17"/>
        <v>#REF!</v>
      </c>
      <c r="AO20" s="249" t="str">
        <f t="shared" si="18"/>
        <v>#REF!</v>
      </c>
      <c r="AP20" s="43"/>
      <c r="AQ20" s="88" t="str">
        <f t="shared" si="19"/>
        <v>#REF!</v>
      </c>
      <c r="AR20" s="249" t="str">
        <f t="shared" si="20"/>
        <v>#REF!</v>
      </c>
      <c r="AS20" s="43"/>
      <c r="AT20" s="88" t="str">
        <f t="shared" si="21"/>
        <v>#REF!</v>
      </c>
      <c r="AU20" s="249" t="str">
        <f t="shared" si="22"/>
        <v>#REF!</v>
      </c>
      <c r="AV20" s="43"/>
      <c r="AW20" s="88" t="str">
        <f t="shared" si="23"/>
        <v>#REF!</v>
      </c>
      <c r="AX20" s="249" t="str">
        <f t="shared" si="24"/>
        <v>#REF!</v>
      </c>
      <c r="AY20" s="249"/>
      <c r="AZ20" s="88">
        <v>1037.9621856592748</v>
      </c>
      <c r="BA20" s="249">
        <v>35.02150446239477</v>
      </c>
      <c r="BB20" s="249"/>
      <c r="BC20" s="249">
        <v>771.8466715104843</v>
      </c>
      <c r="BD20" s="249">
        <v>-231.0940096863958</v>
      </c>
      <c r="BE20" s="249"/>
      <c r="BF20" s="88">
        <v>1115.6076105244463</v>
      </c>
      <c r="BG20" s="249">
        <v>112.66692932756621</v>
      </c>
      <c r="BH20" s="249"/>
      <c r="BI20" s="88">
        <v>1101.593957891093</v>
      </c>
      <c r="BJ20" s="249">
        <v>98.65327669421288</v>
      </c>
      <c r="BK20" s="88">
        <v>1818.1790378412422</v>
      </c>
      <c r="BL20" s="249">
        <v>815.2383566443622</v>
      </c>
      <c r="BM20" s="249"/>
      <c r="BN20" s="88">
        <v>1820.6888434350467</v>
      </c>
      <c r="BO20" s="249">
        <v>817.7481622381666</v>
      </c>
      <c r="BP20" s="249"/>
      <c r="BQ20" s="43"/>
      <c r="BR20" s="88" t="str">
        <f t="shared" si="25"/>
        <v>#REF!</v>
      </c>
      <c r="BS20" s="249" t="str">
        <f t="shared" si="26"/>
        <v>#REF!</v>
      </c>
      <c r="BT20" s="43"/>
      <c r="BU20" s="88">
        <v>1010.1686575473888</v>
      </c>
      <c r="BV20" s="249">
        <v>7.227976350508698</v>
      </c>
      <c r="BW20" s="43"/>
      <c r="BX20" s="88">
        <v>739.4208887132841</v>
      </c>
      <c r="BY20" s="249">
        <v>-263.519792483596</v>
      </c>
      <c r="BZ20" s="43"/>
      <c r="CA20" s="88">
        <v>1083.1818277272462</v>
      </c>
      <c r="CB20" s="249">
        <v>80.24114653036611</v>
      </c>
      <c r="CC20" s="43"/>
      <c r="CD20" s="88">
        <v>1078.4326844645213</v>
      </c>
      <c r="CE20" s="249">
        <v>75.49200326764128</v>
      </c>
      <c r="CF20" s="43"/>
      <c r="CG20" s="88">
        <v>1771.9587207587185</v>
      </c>
      <c r="CH20" s="249">
        <v>769.0180395618385</v>
      </c>
      <c r="CI20" s="43"/>
      <c r="CJ20" s="88">
        <v>1774.2640668112842</v>
      </c>
      <c r="CK20" s="249">
        <v>771.3233856144042</v>
      </c>
    </row>
    <row r="21" ht="15.75" customHeight="1">
      <c r="A21" s="66" t="s">
        <v>55</v>
      </c>
      <c r="B21" s="48" t="s">
        <v>56</v>
      </c>
      <c r="C21" s="67" t="s">
        <v>39</v>
      </c>
      <c r="D21" s="68"/>
      <c r="E21" s="51">
        <f>'Avg master'!J11</f>
        <v>975.3333333</v>
      </c>
      <c r="F21" s="55">
        <f t="shared" si="1"/>
        <v>0.003729521726</v>
      </c>
      <c r="G21" s="68"/>
      <c r="H21" s="53">
        <v>354.0</v>
      </c>
      <c r="I21" s="53">
        <v>332.0</v>
      </c>
      <c r="J21" s="53">
        <v>294.0</v>
      </c>
      <c r="K21" s="54">
        <f t="shared" si="2"/>
        <v>326.6666667</v>
      </c>
      <c r="L21" s="55">
        <f t="shared" si="3"/>
        <v>0.002805426496</v>
      </c>
      <c r="M21" s="37"/>
      <c r="N21" s="56">
        <v>1472.5461744000004</v>
      </c>
      <c r="O21" s="43"/>
      <c r="P21" s="57">
        <v>1568.2616757360004</v>
      </c>
      <c r="Q21" s="43"/>
      <c r="R21" s="57">
        <v>1599.6269092507205</v>
      </c>
      <c r="S21" s="58">
        <f t="shared" si="4"/>
        <v>1.640082272</v>
      </c>
      <c r="T21" s="241"/>
      <c r="U21" s="57">
        <f t="shared" si="5"/>
        <v>1647.615717</v>
      </c>
      <c r="V21" s="57">
        <f t="shared" si="6"/>
        <v>47.98880728</v>
      </c>
      <c r="W21" s="62">
        <f t="shared" si="7"/>
        <v>0.03</v>
      </c>
      <c r="X21" s="43"/>
      <c r="Y21" s="88" t="str">
        <f t="shared" si="8"/>
        <v>#REF!</v>
      </c>
      <c r="Z21" s="249" t="str">
        <f t="shared" si="9"/>
        <v>#REF!</v>
      </c>
      <c r="AA21" s="58" t="str">
        <f t="shared" si="10"/>
        <v>#REF!</v>
      </c>
      <c r="AB21" s="43"/>
      <c r="AC21" s="250">
        <v>615.4440291066556</v>
      </c>
      <c r="AD21" s="249">
        <f t="shared" si="11"/>
        <v>-1032.171687</v>
      </c>
      <c r="AE21" s="58">
        <f t="shared" si="12"/>
        <v>0.6310089157</v>
      </c>
      <c r="AF21" s="58">
        <f t="shared" si="13"/>
        <v>1.884012334</v>
      </c>
      <c r="AG21" s="251"/>
      <c r="AH21" s="250" t="str">
        <f>SUM(#REF!*'FY21-22 fees'!$AH$3)</f>
        <v>#REF!</v>
      </c>
      <c r="AI21" s="249" t="str">
        <f t="shared" si="14"/>
        <v>#REF!</v>
      </c>
      <c r="AJ21" s="43"/>
      <c r="AK21" s="88" t="str">
        <f t="shared" si="15"/>
        <v>#REF!</v>
      </c>
      <c r="AL21" s="249" t="str">
        <f t="shared" si="16"/>
        <v>#REF!</v>
      </c>
      <c r="AM21" s="43"/>
      <c r="AN21" s="88" t="str">
        <f t="shared" si="17"/>
        <v>#REF!</v>
      </c>
      <c r="AO21" s="249" t="str">
        <f t="shared" si="18"/>
        <v>#REF!</v>
      </c>
      <c r="AP21" s="43"/>
      <c r="AQ21" s="88" t="str">
        <f t="shared" si="19"/>
        <v>#REF!</v>
      </c>
      <c r="AR21" s="249" t="str">
        <f t="shared" si="20"/>
        <v>#REF!</v>
      </c>
      <c r="AS21" s="43"/>
      <c r="AT21" s="88" t="str">
        <f t="shared" si="21"/>
        <v>#REF!</v>
      </c>
      <c r="AU21" s="249" t="str">
        <f t="shared" si="22"/>
        <v>#REF!</v>
      </c>
      <c r="AV21" s="43"/>
      <c r="AW21" s="88" t="str">
        <f t="shared" si="23"/>
        <v>#REF!</v>
      </c>
      <c r="AX21" s="249" t="str">
        <f t="shared" si="24"/>
        <v>#REF!</v>
      </c>
      <c r="AY21" s="249"/>
      <c r="AZ21" s="88">
        <v>1435.8567702857674</v>
      </c>
      <c r="BA21" s="249">
        <v>-163.77013896495305</v>
      </c>
      <c r="BB21" s="249"/>
      <c r="BC21" s="249">
        <v>1363.8042995617516</v>
      </c>
      <c r="BD21" s="249">
        <v>-235.8226096889689</v>
      </c>
      <c r="BE21" s="249"/>
      <c r="BF21" s="88">
        <v>1627.8016781788867</v>
      </c>
      <c r="BG21" s="249">
        <v>28.17476892816626</v>
      </c>
      <c r="BH21" s="249"/>
      <c r="BI21" s="88">
        <v>1657.6800686932813</v>
      </c>
      <c r="BJ21" s="249">
        <v>58.053159442560855</v>
      </c>
      <c r="BK21" s="88">
        <v>2192.741551921889</v>
      </c>
      <c r="BL21" s="249">
        <v>593.1146426711684</v>
      </c>
      <c r="BM21" s="249"/>
      <c r="BN21" s="88">
        <v>1258.7930102267942</v>
      </c>
      <c r="BO21" s="249">
        <v>-340.8338990239263</v>
      </c>
      <c r="BP21" s="249"/>
      <c r="BQ21" s="43"/>
      <c r="BR21" s="88" t="str">
        <f t="shared" si="25"/>
        <v>#REF!</v>
      </c>
      <c r="BS21" s="249" t="str">
        <f t="shared" si="26"/>
        <v>#REF!</v>
      </c>
      <c r="BT21" s="43"/>
      <c r="BU21" s="88">
        <v>1491.0531372111523</v>
      </c>
      <c r="BV21" s="249">
        <v>-108.57377203956821</v>
      </c>
      <c r="BW21" s="43"/>
      <c r="BX21" s="88">
        <v>1428.2000609747004</v>
      </c>
      <c r="BY21" s="249">
        <v>-171.4268482760201</v>
      </c>
      <c r="BZ21" s="43"/>
      <c r="CA21" s="88">
        <v>1692.1974395918353</v>
      </c>
      <c r="CB21" s="249">
        <v>92.57053034111482</v>
      </c>
      <c r="CC21" s="43"/>
      <c r="CD21" s="88">
        <v>1703.677041131102</v>
      </c>
      <c r="CE21" s="249">
        <v>104.05013188038151</v>
      </c>
      <c r="CF21" s="43"/>
      <c r="CG21" s="88">
        <v>2284.532474284264</v>
      </c>
      <c r="CH21" s="249">
        <v>684.9055650335436</v>
      </c>
      <c r="CI21" s="43"/>
      <c r="CJ21" s="88">
        <v>1350.989977615701</v>
      </c>
      <c r="CK21" s="249">
        <v>-248.63693163501944</v>
      </c>
    </row>
    <row r="22" ht="15.75" customHeight="1">
      <c r="A22" s="69" t="s">
        <v>57</v>
      </c>
      <c r="B22" s="48" t="s">
        <v>58</v>
      </c>
      <c r="C22" s="50" t="s">
        <v>59</v>
      </c>
      <c r="D22" s="71"/>
      <c r="E22" s="51">
        <f>'Avg master'!J12</f>
        <v>2</v>
      </c>
      <c r="F22" s="55">
        <f t="shared" si="1"/>
        <v>0.000007647686384</v>
      </c>
      <c r="G22" s="71"/>
      <c r="H22" s="53">
        <v>2.0</v>
      </c>
      <c r="I22" s="53">
        <v>2.0</v>
      </c>
      <c r="J22" s="53">
        <v>2.0</v>
      </c>
      <c r="K22" s="54">
        <f t="shared" si="2"/>
        <v>2</v>
      </c>
      <c r="L22" s="55">
        <f t="shared" si="3"/>
        <v>0.00001717608059</v>
      </c>
      <c r="M22" s="37"/>
      <c r="N22" s="56">
        <v>368.1365436000001</v>
      </c>
      <c r="O22" s="43"/>
      <c r="P22" s="57">
        <v>392.0654189340001</v>
      </c>
      <c r="Q22" s="43"/>
      <c r="R22" s="57">
        <v>399.9067273126801</v>
      </c>
      <c r="S22" s="58">
        <f t="shared" si="4"/>
        <v>199.9533637</v>
      </c>
      <c r="T22" s="241"/>
      <c r="U22" s="57">
        <f t="shared" si="5"/>
        <v>411.9039291</v>
      </c>
      <c r="V22" s="57">
        <f t="shared" si="6"/>
        <v>11.99720182</v>
      </c>
      <c r="W22" s="62">
        <f t="shared" si="7"/>
        <v>0.03</v>
      </c>
      <c r="X22" s="43"/>
      <c r="Y22" s="88" t="str">
        <f t="shared" si="8"/>
        <v>#REF!</v>
      </c>
      <c r="Z22" s="249" t="str">
        <f t="shared" si="9"/>
        <v>#REF!</v>
      </c>
      <c r="AA22" s="58" t="str">
        <f t="shared" si="10"/>
        <v>#REF!</v>
      </c>
      <c r="AB22" s="43"/>
      <c r="AC22" s="250">
        <v>3.7680246679999327</v>
      </c>
      <c r="AD22" s="249">
        <f t="shared" si="11"/>
        <v>-408.1359045</v>
      </c>
      <c r="AE22" s="58">
        <f t="shared" si="12"/>
        <v>1.884012334</v>
      </c>
      <c r="AF22" s="58">
        <f t="shared" si="13"/>
        <v>1.884012334</v>
      </c>
      <c r="AG22" s="251"/>
      <c r="AH22" s="250" t="str">
        <f>SUM(#REF!*'FY21-22 fees'!$AH$3)</f>
        <v>#REF!</v>
      </c>
      <c r="AI22" s="249" t="str">
        <f t="shared" si="14"/>
        <v>#REF!</v>
      </c>
      <c r="AJ22" s="43"/>
      <c r="AK22" s="88" t="str">
        <f t="shared" si="15"/>
        <v>#REF!</v>
      </c>
      <c r="AL22" s="249" t="str">
        <f t="shared" si="16"/>
        <v>#REF!</v>
      </c>
      <c r="AM22" s="43"/>
      <c r="AN22" s="88" t="str">
        <f t="shared" si="17"/>
        <v>#REF!</v>
      </c>
      <c r="AO22" s="249" t="str">
        <f t="shared" si="18"/>
        <v>#REF!</v>
      </c>
      <c r="AP22" s="43"/>
      <c r="AQ22" s="88" t="str">
        <f t="shared" si="19"/>
        <v>#REF!</v>
      </c>
      <c r="AR22" s="249" t="str">
        <f t="shared" si="20"/>
        <v>#REF!</v>
      </c>
      <c r="AS22" s="43"/>
      <c r="AT22" s="88" t="str">
        <f t="shared" si="21"/>
        <v>#REF!</v>
      </c>
      <c r="AU22" s="249" t="str">
        <f t="shared" si="22"/>
        <v>#REF!</v>
      </c>
      <c r="AV22" s="43"/>
      <c r="AW22" s="252" t="str">
        <f t="shared" si="23"/>
        <v>#REF!</v>
      </c>
      <c r="AX22" s="249" t="str">
        <f t="shared" si="24"/>
        <v>#REF!</v>
      </c>
      <c r="AY22" s="249"/>
      <c r="AZ22" s="252">
        <v>1089.1182545616748</v>
      </c>
      <c r="BA22" s="249">
        <v>689.2115272489947</v>
      </c>
      <c r="BB22" s="249"/>
      <c r="BC22" s="249">
        <v>867.4843526796337</v>
      </c>
      <c r="BD22" s="249">
        <v>467.5776253669536</v>
      </c>
      <c r="BE22" s="249"/>
      <c r="BF22" s="252">
        <v>1211.8127912807668</v>
      </c>
      <c r="BG22" s="249">
        <v>811.9060639680866</v>
      </c>
      <c r="BH22" s="249"/>
      <c r="BI22" s="252">
        <v>1213.5076707672872</v>
      </c>
      <c r="BJ22" s="249">
        <v>813.6009434546071</v>
      </c>
      <c r="BK22" s="252">
        <v>1756.9113234250474</v>
      </c>
      <c r="BL22" s="249">
        <v>1357.0045961123674</v>
      </c>
      <c r="BM22" s="249"/>
      <c r="BN22" s="252">
        <v>1765.5619313708296</v>
      </c>
      <c r="BO22" s="249">
        <v>1365.6552040581496</v>
      </c>
      <c r="BP22" s="249"/>
      <c r="BQ22" s="43"/>
      <c r="BR22" s="88" t="str">
        <f t="shared" si="25"/>
        <v>#REF!</v>
      </c>
      <c r="BS22" s="249" t="str">
        <f t="shared" si="26"/>
        <v>#REF!</v>
      </c>
      <c r="BT22" s="43"/>
      <c r="BU22" s="88">
        <v>1088.5803153078966</v>
      </c>
      <c r="BV22" s="249">
        <v>688.6735879952165</v>
      </c>
      <c r="BW22" s="43"/>
      <c r="BX22" s="88">
        <v>866.8567568835589</v>
      </c>
      <c r="BY22" s="249">
        <v>466.95002957087877</v>
      </c>
      <c r="BZ22" s="43"/>
      <c r="CA22" s="88">
        <v>1211.1851954846918</v>
      </c>
      <c r="CB22" s="249">
        <v>811.2784681720117</v>
      </c>
      <c r="CC22" s="43"/>
      <c r="CD22" s="88">
        <v>1213.0593880558051</v>
      </c>
      <c r="CE22" s="249">
        <v>813.152660743125</v>
      </c>
      <c r="CF22" s="43"/>
      <c r="CG22" s="88">
        <v>1756.016736642805</v>
      </c>
      <c r="CH22" s="249">
        <v>1356.1100093301247</v>
      </c>
      <c r="CI22" s="43"/>
      <c r="CJ22" s="88">
        <v>1764.663387307144</v>
      </c>
      <c r="CK22" s="249">
        <v>1364.756659994464</v>
      </c>
    </row>
    <row r="23" ht="15.75" customHeight="1">
      <c r="A23" s="69" t="s">
        <v>60</v>
      </c>
      <c r="B23" s="48" t="s">
        <v>61</v>
      </c>
      <c r="C23" s="79" t="s">
        <v>62</v>
      </c>
      <c r="D23" s="71"/>
      <c r="E23" s="51">
        <f>'Avg master'!J13</f>
        <v>2900</v>
      </c>
      <c r="F23" s="55">
        <f t="shared" si="1"/>
        <v>0.01108914526</v>
      </c>
      <c r="G23" s="71"/>
      <c r="H23" s="53">
        <v>927.0</v>
      </c>
      <c r="I23" s="53">
        <v>527.0</v>
      </c>
      <c r="J23" s="53">
        <v>345.0</v>
      </c>
      <c r="K23" s="54">
        <f t="shared" si="2"/>
        <v>599.6666667</v>
      </c>
      <c r="L23" s="55">
        <f t="shared" si="3"/>
        <v>0.005149961497</v>
      </c>
      <c r="M23" s="37"/>
      <c r="N23" s="56">
        <v>1659.5361648</v>
      </c>
      <c r="O23" s="43"/>
      <c r="P23" s="57">
        <v>1767.406015512</v>
      </c>
      <c r="Q23" s="43"/>
      <c r="R23" s="57">
        <v>1802.7541358222402</v>
      </c>
      <c r="S23" s="58">
        <f t="shared" si="4"/>
        <v>0.6216393572</v>
      </c>
      <c r="T23" s="241"/>
      <c r="U23" s="57">
        <f t="shared" si="5"/>
        <v>1856.83676</v>
      </c>
      <c r="V23" s="57">
        <f t="shared" si="6"/>
        <v>54.08262407</v>
      </c>
      <c r="W23" s="62">
        <f t="shared" si="7"/>
        <v>0.03</v>
      </c>
      <c r="X23" s="43"/>
      <c r="Y23" s="88" t="str">
        <f t="shared" si="8"/>
        <v>#REF!</v>
      </c>
      <c r="Z23" s="249" t="str">
        <f t="shared" si="9"/>
        <v>#REF!</v>
      </c>
      <c r="AA23" s="58" t="str">
        <f t="shared" si="10"/>
        <v>#REF!</v>
      </c>
      <c r="AB23" s="43"/>
      <c r="AC23" s="250">
        <v>1129.7793962886465</v>
      </c>
      <c r="AD23" s="249">
        <f t="shared" si="11"/>
        <v>-727.0573636</v>
      </c>
      <c r="AE23" s="58">
        <f t="shared" si="12"/>
        <v>0.3895791022</v>
      </c>
      <c r="AF23" s="58">
        <f t="shared" si="13"/>
        <v>1.884012334</v>
      </c>
      <c r="AG23" s="251"/>
      <c r="AH23" s="250" t="str">
        <f>SUM(#REF!*'FY21-22 fees'!$AH$3)</f>
        <v>#REF!</v>
      </c>
      <c r="AI23" s="249" t="str">
        <f t="shared" si="14"/>
        <v>#REF!</v>
      </c>
      <c r="AJ23" s="43"/>
      <c r="AK23" s="88" t="str">
        <f t="shared" si="15"/>
        <v>#REF!</v>
      </c>
      <c r="AL23" s="249" t="str">
        <f t="shared" si="16"/>
        <v>#REF!</v>
      </c>
      <c r="AM23" s="43"/>
      <c r="AN23" s="88" t="str">
        <f t="shared" si="17"/>
        <v>#REF!</v>
      </c>
      <c r="AO23" s="249" t="str">
        <f t="shared" si="18"/>
        <v>#REF!</v>
      </c>
      <c r="AP23" s="43"/>
      <c r="AQ23" s="88" t="str">
        <f t="shared" si="19"/>
        <v>#REF!</v>
      </c>
      <c r="AR23" s="249" t="str">
        <f t="shared" si="20"/>
        <v>#REF!</v>
      </c>
      <c r="AS23" s="43"/>
      <c r="AT23" s="88" t="str">
        <f t="shared" si="21"/>
        <v>#REF!</v>
      </c>
      <c r="AU23" s="249" t="str">
        <f t="shared" si="22"/>
        <v>#REF!</v>
      </c>
      <c r="AV23" s="43"/>
      <c r="AW23" s="88" t="str">
        <f t="shared" si="23"/>
        <v>#REF!</v>
      </c>
      <c r="AX23" s="249" t="str">
        <f t="shared" si="24"/>
        <v>#REF!</v>
      </c>
      <c r="AY23" s="249"/>
      <c r="AZ23" s="88">
        <v>2700.0307417688114</v>
      </c>
      <c r="BA23" s="249">
        <v>897.2766059465712</v>
      </c>
      <c r="BB23" s="249"/>
      <c r="BC23" s="249">
        <v>2634.371972848346</v>
      </c>
      <c r="BD23" s="249">
        <v>831.6178370261059</v>
      </c>
      <c r="BE23" s="249"/>
      <c r="BF23" s="88">
        <v>2867.336084567034</v>
      </c>
      <c r="BG23" s="249">
        <v>1064.5819487447939</v>
      </c>
      <c r="BH23" s="249"/>
      <c r="BI23" s="88">
        <v>2884.3988276112254</v>
      </c>
      <c r="BJ23" s="249">
        <v>1081.6446917889853</v>
      </c>
      <c r="BK23" s="88">
        <v>2854.175880933477</v>
      </c>
      <c r="BL23" s="249">
        <v>1051.4217451112368</v>
      </c>
      <c r="BM23" s="249"/>
      <c r="BN23" s="88">
        <v>3114.9450460598628</v>
      </c>
      <c r="BO23" s="249">
        <v>1312.1909102376226</v>
      </c>
      <c r="BP23" s="249"/>
      <c r="BQ23" s="43"/>
      <c r="BR23" s="88" t="str">
        <f t="shared" si="25"/>
        <v>#REF!</v>
      </c>
      <c r="BS23" s="249" t="str">
        <f t="shared" si="26"/>
        <v>#REF!</v>
      </c>
      <c r="BT23" s="43"/>
      <c r="BU23" s="88">
        <v>2973.6658948291947</v>
      </c>
      <c r="BV23" s="249">
        <v>1170.9117590069545</v>
      </c>
      <c r="BW23" s="43"/>
      <c r="BX23" s="88">
        <v>2953.612984752127</v>
      </c>
      <c r="BY23" s="249">
        <v>1150.8588489298868</v>
      </c>
      <c r="BZ23" s="43"/>
      <c r="CA23" s="88">
        <v>3186.577096470815</v>
      </c>
      <c r="CB23" s="249">
        <v>1383.8229606485747</v>
      </c>
      <c r="CC23" s="43"/>
      <c r="CD23" s="88">
        <v>3112.4281218282117</v>
      </c>
      <c r="CE23" s="249">
        <v>1309.6739860059715</v>
      </c>
      <c r="CF23" s="43"/>
      <c r="CG23" s="88">
        <v>3309.227988332795</v>
      </c>
      <c r="CH23" s="249">
        <v>1506.473852510555</v>
      </c>
      <c r="CI23" s="43"/>
      <c r="CJ23" s="88">
        <v>3572.0101155284897</v>
      </c>
      <c r="CK23" s="249">
        <v>1769.2559797062495</v>
      </c>
    </row>
    <row r="24" ht="15.75" customHeight="1">
      <c r="A24" s="80" t="s">
        <v>63</v>
      </c>
      <c r="B24" s="48" t="s">
        <v>64</v>
      </c>
      <c r="C24" s="67" t="s">
        <v>39</v>
      </c>
      <c r="D24" s="50"/>
      <c r="E24" s="51">
        <f>'Avg master'!J14</f>
        <v>2020</v>
      </c>
      <c r="F24" s="55">
        <f t="shared" si="1"/>
        <v>0.007724163248</v>
      </c>
      <c r="G24" s="50"/>
      <c r="H24" s="53">
        <v>1699.0</v>
      </c>
      <c r="I24" s="53">
        <v>1656.0</v>
      </c>
      <c r="J24" s="53">
        <v>1411.0</v>
      </c>
      <c r="K24" s="54">
        <f t="shared" si="2"/>
        <v>1588.666667</v>
      </c>
      <c r="L24" s="55">
        <f t="shared" si="3"/>
        <v>0.01364353335</v>
      </c>
      <c r="M24" s="37"/>
      <c r="N24" s="56"/>
      <c r="O24" s="43"/>
      <c r="P24" s="65">
        <v>1568.745</v>
      </c>
      <c r="Q24" s="43"/>
      <c r="R24" s="65">
        <v>1600.1199</v>
      </c>
      <c r="S24" s="58">
        <f t="shared" si="4"/>
        <v>0.7921385644</v>
      </c>
      <c r="T24" s="241"/>
      <c r="U24" s="57">
        <f t="shared" si="5"/>
        <v>1648.123497</v>
      </c>
      <c r="V24" s="57">
        <f t="shared" si="6"/>
        <v>48.003597</v>
      </c>
      <c r="W24" s="62">
        <f t="shared" si="7"/>
        <v>0.03</v>
      </c>
      <c r="X24" s="43"/>
      <c r="Y24" s="88" t="str">
        <f t="shared" si="8"/>
        <v>#REF!</v>
      </c>
      <c r="Z24" s="249" t="str">
        <f t="shared" si="9"/>
        <v>#REF!</v>
      </c>
      <c r="AA24" s="58" t="str">
        <f t="shared" si="10"/>
        <v>#REF!</v>
      </c>
      <c r="AB24" s="43"/>
      <c r="AC24" s="250">
        <v>2993.0675946146134</v>
      </c>
      <c r="AD24" s="249">
        <f t="shared" si="11"/>
        <v>1344.944098</v>
      </c>
      <c r="AE24" s="58">
        <f t="shared" si="12"/>
        <v>1.481716631</v>
      </c>
      <c r="AF24" s="58">
        <f t="shared" si="13"/>
        <v>1.884012334</v>
      </c>
      <c r="AG24" s="251"/>
      <c r="AH24" s="250" t="str">
        <f>SUM(#REF!*'FY21-22 fees'!$AH$3)</f>
        <v>#REF!</v>
      </c>
      <c r="AI24" s="249" t="str">
        <f t="shared" si="14"/>
        <v>#REF!</v>
      </c>
      <c r="AJ24" s="43"/>
      <c r="AK24" s="88" t="str">
        <f t="shared" si="15"/>
        <v>#REF!</v>
      </c>
      <c r="AL24" s="249" t="str">
        <f t="shared" si="16"/>
        <v>#REF!</v>
      </c>
      <c r="AM24" s="43"/>
      <c r="AN24" s="88" t="str">
        <f t="shared" si="17"/>
        <v>#REF!</v>
      </c>
      <c r="AO24" s="249" t="str">
        <f t="shared" si="18"/>
        <v>#REF!</v>
      </c>
      <c r="AP24" s="43"/>
      <c r="AQ24" s="88" t="str">
        <f t="shared" si="19"/>
        <v>#REF!</v>
      </c>
      <c r="AR24" s="249" t="str">
        <f t="shared" si="20"/>
        <v>#REF!</v>
      </c>
      <c r="AS24" s="43"/>
      <c r="AT24" s="88" t="str">
        <f t="shared" si="21"/>
        <v>#REF!</v>
      </c>
      <c r="AU24" s="249" t="str">
        <f t="shared" si="22"/>
        <v>#REF!</v>
      </c>
      <c r="AV24" s="43"/>
      <c r="AW24" s="88" t="str">
        <f t="shared" si="23"/>
        <v>#REF!</v>
      </c>
      <c r="AX24" s="249" t="str">
        <f t="shared" si="24"/>
        <v>#REF!</v>
      </c>
      <c r="AY24" s="249"/>
      <c r="AZ24" s="88">
        <v>4378.407669205516</v>
      </c>
      <c r="BA24" s="249">
        <v>2778.2877692055163</v>
      </c>
      <c r="BB24" s="249"/>
      <c r="BC24" s="249">
        <v>4270.074438569855</v>
      </c>
      <c r="BD24" s="249">
        <v>2669.9545385698557</v>
      </c>
      <c r="BE24" s="249"/>
      <c r="BF24" s="88">
        <v>4293.944820815415</v>
      </c>
      <c r="BG24" s="249">
        <v>2693.8249208154157</v>
      </c>
      <c r="BH24" s="249"/>
      <c r="BI24" s="88">
        <v>4361.249365455097</v>
      </c>
      <c r="BJ24" s="249">
        <v>2761.1294654550975</v>
      </c>
      <c r="BK24" s="88">
        <v>4033.9279561913254</v>
      </c>
      <c r="BL24" s="249">
        <v>2433.8080561913257</v>
      </c>
      <c r="BM24" s="249"/>
      <c r="BN24" s="88">
        <v>4725.452843099558</v>
      </c>
      <c r="BO24" s="249">
        <v>3125.332943099558</v>
      </c>
      <c r="BP24" s="249"/>
      <c r="BQ24" s="43"/>
      <c r="BR24" s="88" t="str">
        <f t="shared" si="25"/>
        <v>#REF!</v>
      </c>
      <c r="BS24" s="249" t="str">
        <f t="shared" si="26"/>
        <v>#REF!</v>
      </c>
      <c r="BT24" s="43"/>
      <c r="BU24" s="88">
        <v>4030.5112810824476</v>
      </c>
      <c r="BV24" s="249">
        <v>2430.391381082448</v>
      </c>
      <c r="BW24" s="43"/>
      <c r="BX24" s="88">
        <v>3864.1953190929416</v>
      </c>
      <c r="BY24" s="249">
        <v>2264.075419092942</v>
      </c>
      <c r="BZ24" s="43"/>
      <c r="CA24" s="88">
        <v>3888.0657013385016</v>
      </c>
      <c r="CB24" s="249">
        <v>2287.945801338502</v>
      </c>
      <c r="CC24" s="43"/>
      <c r="CD24" s="88">
        <v>4071.335708685873</v>
      </c>
      <c r="CE24" s="249">
        <v>2471.2158086858735</v>
      </c>
      <c r="CF24" s="43"/>
      <c r="CG24" s="88">
        <v>3455.3802703350466</v>
      </c>
      <c r="CH24" s="249">
        <v>1855.2603703350467</v>
      </c>
      <c r="CI24" s="43"/>
      <c r="CJ24" s="88">
        <v>4144.345901878942</v>
      </c>
      <c r="CK24" s="249">
        <v>2544.226001878942</v>
      </c>
    </row>
    <row r="25" ht="15.75" customHeight="1">
      <c r="A25" s="83" t="s">
        <v>65</v>
      </c>
      <c r="B25" s="48" t="s">
        <v>66</v>
      </c>
      <c r="C25" s="49" t="s">
        <v>34</v>
      </c>
      <c r="D25" s="50"/>
      <c r="E25" s="51">
        <f>'Avg master'!J15</f>
        <v>466.3333333</v>
      </c>
      <c r="F25" s="55">
        <f t="shared" si="1"/>
        <v>0.001783185542</v>
      </c>
      <c r="G25" s="50"/>
      <c r="H25" s="53">
        <v>308.0</v>
      </c>
      <c r="I25" s="53">
        <v>229.0</v>
      </c>
      <c r="J25" s="53">
        <v>174.0</v>
      </c>
      <c r="K25" s="54">
        <f t="shared" si="2"/>
        <v>237</v>
      </c>
      <c r="L25" s="55">
        <f t="shared" si="3"/>
        <v>0.00203536555</v>
      </c>
      <c r="M25" s="37"/>
      <c r="N25" s="56">
        <v>1227.121812</v>
      </c>
      <c r="O25" s="43"/>
      <c r="P25" s="57">
        <v>1306.88472978</v>
      </c>
      <c r="Q25" s="43"/>
      <c r="R25" s="57">
        <v>1333.0224243756002</v>
      </c>
      <c r="S25" s="58">
        <f t="shared" si="4"/>
        <v>2.858518423</v>
      </c>
      <c r="T25" s="241"/>
      <c r="U25" s="57">
        <f t="shared" si="5"/>
        <v>1373.013097</v>
      </c>
      <c r="V25" s="57">
        <f t="shared" si="6"/>
        <v>39.99067273</v>
      </c>
      <c r="W25" s="62">
        <f t="shared" si="7"/>
        <v>0.03</v>
      </c>
      <c r="X25" s="43"/>
      <c r="Y25" s="88" t="str">
        <f t="shared" si="8"/>
        <v>#REF!</v>
      </c>
      <c r="Z25" s="249" t="str">
        <f t="shared" si="9"/>
        <v>#REF!</v>
      </c>
      <c r="AA25" s="58" t="str">
        <f t="shared" si="10"/>
        <v>#REF!</v>
      </c>
      <c r="AB25" s="43"/>
      <c r="AC25" s="250">
        <v>446.510923157992</v>
      </c>
      <c r="AD25" s="249">
        <f t="shared" si="11"/>
        <v>-926.5021739</v>
      </c>
      <c r="AE25" s="58">
        <f t="shared" si="12"/>
        <v>0.9574930447</v>
      </c>
      <c r="AF25" s="58">
        <f t="shared" si="13"/>
        <v>1.884012334</v>
      </c>
      <c r="AG25" s="251"/>
      <c r="AH25" s="250" t="str">
        <f>SUM(#REF!*'FY21-22 fees'!$AH$3)</f>
        <v>#REF!</v>
      </c>
      <c r="AI25" s="249" t="str">
        <f t="shared" si="14"/>
        <v>#REF!</v>
      </c>
      <c r="AJ25" s="43"/>
      <c r="AK25" s="88" t="str">
        <f t="shared" si="15"/>
        <v>#REF!</v>
      </c>
      <c r="AL25" s="249" t="str">
        <f t="shared" si="16"/>
        <v>#REF!</v>
      </c>
      <c r="AM25" s="43"/>
      <c r="AN25" s="88" t="str">
        <f t="shared" si="17"/>
        <v>#REF!</v>
      </c>
      <c r="AO25" s="249" t="str">
        <f t="shared" si="18"/>
        <v>#REF!</v>
      </c>
      <c r="AP25" s="43"/>
      <c r="AQ25" s="88" t="str">
        <f t="shared" si="19"/>
        <v>#REF!</v>
      </c>
      <c r="AR25" s="249" t="str">
        <f t="shared" si="20"/>
        <v>#REF!</v>
      </c>
      <c r="AS25" s="43"/>
      <c r="AT25" s="88" t="str">
        <f t="shared" si="21"/>
        <v>#REF!</v>
      </c>
      <c r="AU25" s="249" t="str">
        <f t="shared" si="22"/>
        <v>#REF!</v>
      </c>
      <c r="AV25" s="43"/>
      <c r="AW25" s="88" t="str">
        <f t="shared" si="23"/>
        <v>#REF!</v>
      </c>
      <c r="AX25" s="249" t="str">
        <f t="shared" si="24"/>
        <v>#REF!</v>
      </c>
      <c r="AY25" s="249"/>
      <c r="AZ25" s="88">
        <v>1288.0791459556888</v>
      </c>
      <c r="BA25" s="249">
        <v>-44.943278419911394</v>
      </c>
      <c r="BB25" s="249"/>
      <c r="BC25" s="249">
        <v>1009.1537592740176</v>
      </c>
      <c r="BD25" s="249">
        <v>-323.86866510158256</v>
      </c>
      <c r="BE25" s="249"/>
      <c r="BF25" s="88">
        <v>1328.6466238365952</v>
      </c>
      <c r="BG25" s="249">
        <v>-4.375800539005013</v>
      </c>
      <c r="BH25" s="249"/>
      <c r="BI25" s="88">
        <v>1317.4316748831625</v>
      </c>
      <c r="BJ25" s="249">
        <v>-15.59074949243768</v>
      </c>
      <c r="BK25" s="88">
        <v>2007.3093923380857</v>
      </c>
      <c r="BL25" s="249">
        <v>674.2869679624855</v>
      </c>
      <c r="BM25" s="249"/>
      <c r="BN25" s="88">
        <v>2106.29300798734</v>
      </c>
      <c r="BO25" s="249">
        <v>773.2705836117398</v>
      </c>
      <c r="BP25" s="249"/>
      <c r="BQ25" s="43"/>
      <c r="BR25" s="88" t="str">
        <f t="shared" si="25"/>
        <v>#REF!</v>
      </c>
      <c r="BS25" s="249" t="str">
        <f t="shared" si="26"/>
        <v>#REF!</v>
      </c>
      <c r="BT25" s="43"/>
      <c r="BU25" s="88">
        <v>1275.0003492243954</v>
      </c>
      <c r="BV25" s="249">
        <v>-58.02207515120472</v>
      </c>
      <c r="BW25" s="43"/>
      <c r="BX25" s="88">
        <v>993.8951630875088</v>
      </c>
      <c r="BY25" s="249">
        <v>-339.1272612880914</v>
      </c>
      <c r="BZ25" s="43"/>
      <c r="CA25" s="88">
        <v>1313.3880276500865</v>
      </c>
      <c r="CB25" s="249">
        <v>-19.634396725513625</v>
      </c>
      <c r="CC25" s="43"/>
      <c r="CD25" s="88">
        <v>1306.5326776070847</v>
      </c>
      <c r="CE25" s="249">
        <v>-26.489746768515488</v>
      </c>
      <c r="CF25" s="43"/>
      <c r="CG25" s="88">
        <v>1985.5595040351416</v>
      </c>
      <c r="CH25" s="249">
        <v>652.5370796595414</v>
      </c>
      <c r="CI25" s="43"/>
      <c r="CJ25" s="88">
        <v>2084.446907185973</v>
      </c>
      <c r="CK25" s="249">
        <v>751.4244828103729</v>
      </c>
    </row>
    <row r="26" ht="15.75" customHeight="1">
      <c r="A26" s="69" t="s">
        <v>67</v>
      </c>
      <c r="B26" s="48" t="s">
        <v>68</v>
      </c>
      <c r="C26" s="67" t="s">
        <v>39</v>
      </c>
      <c r="D26" s="71"/>
      <c r="E26" s="51">
        <f>'Avg master'!J16</f>
        <v>1379.666667</v>
      </c>
      <c r="F26" s="55">
        <f t="shared" si="1"/>
        <v>0.00527562899</v>
      </c>
      <c r="G26" s="71"/>
      <c r="H26" s="53">
        <v>994.0</v>
      </c>
      <c r="I26" s="53">
        <v>777.0</v>
      </c>
      <c r="J26" s="53">
        <v>592.0</v>
      </c>
      <c r="K26" s="54">
        <f t="shared" si="2"/>
        <v>787.6666667</v>
      </c>
      <c r="L26" s="55">
        <f t="shared" si="3"/>
        <v>0.006764513072</v>
      </c>
      <c r="M26" s="37"/>
      <c r="N26" s="56">
        <v>1472.5461744000004</v>
      </c>
      <c r="O26" s="43"/>
      <c r="P26" s="57">
        <v>1568.2616757360004</v>
      </c>
      <c r="Q26" s="43"/>
      <c r="R26" s="57">
        <v>1599.6269092507205</v>
      </c>
      <c r="S26" s="58">
        <f t="shared" si="4"/>
        <v>1.15942999</v>
      </c>
      <c r="T26" s="241"/>
      <c r="U26" s="57">
        <f t="shared" si="5"/>
        <v>1647.615717</v>
      </c>
      <c r="V26" s="57">
        <f t="shared" si="6"/>
        <v>47.98880728</v>
      </c>
      <c r="W26" s="62">
        <f t="shared" si="7"/>
        <v>0.03</v>
      </c>
      <c r="X26" s="43"/>
      <c r="Y26" s="88" t="str">
        <f t="shared" si="8"/>
        <v>#REF!</v>
      </c>
      <c r="Z26" s="249" t="str">
        <f t="shared" si="9"/>
        <v>#REF!</v>
      </c>
      <c r="AA26" s="58" t="str">
        <f t="shared" si="10"/>
        <v>#REF!</v>
      </c>
      <c r="AB26" s="43"/>
      <c r="AC26" s="250">
        <v>1483.97371508064</v>
      </c>
      <c r="AD26" s="249">
        <f t="shared" si="11"/>
        <v>-163.6420014</v>
      </c>
      <c r="AE26" s="58">
        <f t="shared" si="12"/>
        <v>1.075603079</v>
      </c>
      <c r="AF26" s="58">
        <f t="shared" si="13"/>
        <v>1.884012334</v>
      </c>
      <c r="AG26" s="251"/>
      <c r="AH26" s="250" t="str">
        <f>SUM(#REF!*'FY21-22 fees'!$AH$3)</f>
        <v>#REF!</v>
      </c>
      <c r="AI26" s="249" t="str">
        <f t="shared" si="14"/>
        <v>#REF!</v>
      </c>
      <c r="AJ26" s="43"/>
      <c r="AK26" s="88" t="str">
        <f t="shared" si="15"/>
        <v>#REF!</v>
      </c>
      <c r="AL26" s="249" t="str">
        <f t="shared" si="16"/>
        <v>#REF!</v>
      </c>
      <c r="AM26" s="43"/>
      <c r="AN26" s="88" t="str">
        <f t="shared" si="17"/>
        <v>#REF!</v>
      </c>
      <c r="AO26" s="249" t="str">
        <f t="shared" si="18"/>
        <v>#REF!</v>
      </c>
      <c r="AP26" s="43"/>
      <c r="AQ26" s="88" t="str">
        <f t="shared" si="19"/>
        <v>#REF!</v>
      </c>
      <c r="AR26" s="249" t="str">
        <f t="shared" si="20"/>
        <v>#REF!</v>
      </c>
      <c r="AS26" s="43"/>
      <c r="AT26" s="88" t="str">
        <f t="shared" si="21"/>
        <v>#REF!</v>
      </c>
      <c r="AU26" s="249" t="str">
        <f t="shared" si="22"/>
        <v>#REF!</v>
      </c>
      <c r="AV26" s="43"/>
      <c r="AW26" s="88" t="str">
        <f t="shared" si="23"/>
        <v>#REF!</v>
      </c>
      <c r="AX26" s="249" t="str">
        <f t="shared" si="24"/>
        <v>#REF!</v>
      </c>
      <c r="AY26" s="249"/>
      <c r="AZ26" s="88">
        <v>2084.923162713634</v>
      </c>
      <c r="BA26" s="249">
        <v>485.2962534629137</v>
      </c>
      <c r="BB26" s="249"/>
      <c r="BC26" s="249">
        <v>1847.8979307036855</v>
      </c>
      <c r="BD26" s="249">
        <v>248.271021452965</v>
      </c>
      <c r="BE26" s="249"/>
      <c r="BF26" s="88">
        <v>2105.5781428636296</v>
      </c>
      <c r="BG26" s="249">
        <v>505.95123361290916</v>
      </c>
      <c r="BH26" s="249"/>
      <c r="BI26" s="88">
        <v>2067.7284634837583</v>
      </c>
      <c r="BJ26" s="249">
        <v>468.10155423303786</v>
      </c>
      <c r="BK26" s="88">
        <v>2689.6350555385648</v>
      </c>
      <c r="BL26" s="249">
        <v>1090.0081462878443</v>
      </c>
      <c r="BM26" s="249"/>
      <c r="BN26" s="88">
        <v>2914.820626827728</v>
      </c>
      <c r="BO26" s="249">
        <v>1315.1937175770076</v>
      </c>
      <c r="BP26" s="249"/>
      <c r="BQ26" s="43"/>
      <c r="BR26" s="88" t="str">
        <f t="shared" si="25"/>
        <v>#REF!</v>
      </c>
      <c r="BS26" s="249" t="str">
        <f t="shared" si="26"/>
        <v>#REF!</v>
      </c>
      <c r="BT26" s="43"/>
      <c r="BU26" s="88">
        <v>2015.4149097265424</v>
      </c>
      <c r="BV26" s="249">
        <v>415.78800047582195</v>
      </c>
      <c r="BW26" s="43"/>
      <c r="BX26" s="88">
        <v>1766.8049688854119</v>
      </c>
      <c r="BY26" s="249">
        <v>167.1780596346914</v>
      </c>
      <c r="BZ26" s="43"/>
      <c r="CA26" s="88">
        <v>2024.4851810453558</v>
      </c>
      <c r="CB26" s="249">
        <v>424.85827179463536</v>
      </c>
      <c r="CC26" s="43"/>
      <c r="CD26" s="88">
        <v>2009.8049193278484</v>
      </c>
      <c r="CE26" s="249">
        <v>410.17801007712796</v>
      </c>
      <c r="CF26" s="43"/>
      <c r="CG26" s="88">
        <v>2574.0436315213396</v>
      </c>
      <c r="CH26" s="249">
        <v>974.4167222706192</v>
      </c>
      <c r="CI26" s="43"/>
      <c r="CJ26" s="88">
        <v>2798.717874221314</v>
      </c>
      <c r="CK26" s="249">
        <v>1199.0909649705936</v>
      </c>
    </row>
    <row r="27" ht="15.75" customHeight="1">
      <c r="A27" s="69" t="s">
        <v>69</v>
      </c>
      <c r="B27" s="69" t="s">
        <v>70</v>
      </c>
      <c r="C27" s="84" t="s">
        <v>71</v>
      </c>
      <c r="D27" s="35"/>
      <c r="E27" s="51">
        <f>'Avg master'!J17</f>
        <v>7300.333333</v>
      </c>
      <c r="F27" s="55">
        <f t="shared" si="1"/>
        <v>0.02791532991</v>
      </c>
      <c r="G27" s="35"/>
      <c r="H27" s="53">
        <v>2809.0</v>
      </c>
      <c r="I27" s="53">
        <v>2231.0</v>
      </c>
      <c r="J27" s="53">
        <v>1582.0</v>
      </c>
      <c r="K27" s="54">
        <f t="shared" si="2"/>
        <v>2207.333333</v>
      </c>
      <c r="L27" s="55">
        <f t="shared" si="3"/>
        <v>0.01895666761</v>
      </c>
      <c r="M27" s="37"/>
      <c r="N27" s="85">
        <v>5000.0</v>
      </c>
      <c r="O27" s="86"/>
      <c r="P27" s="87">
        <v>5325.0</v>
      </c>
      <c r="Q27" s="86"/>
      <c r="R27" s="87">
        <v>5431.5</v>
      </c>
      <c r="S27" s="58">
        <f t="shared" si="4"/>
        <v>0.744007123</v>
      </c>
      <c r="T27" s="253"/>
      <c r="U27" s="57">
        <f t="shared" si="5"/>
        <v>5594.445</v>
      </c>
      <c r="V27" s="57">
        <f t="shared" si="6"/>
        <v>162.945</v>
      </c>
      <c r="W27" s="62">
        <f t="shared" si="7"/>
        <v>0.03</v>
      </c>
      <c r="X27" s="88"/>
      <c r="Y27" s="88" t="str">
        <f t="shared" si="8"/>
        <v>#REF!</v>
      </c>
      <c r="Z27" s="249" t="str">
        <f t="shared" si="9"/>
        <v>#REF!</v>
      </c>
      <c r="AA27" s="58" t="str">
        <f t="shared" si="10"/>
        <v>#REF!</v>
      </c>
      <c r="AB27" s="88"/>
      <c r="AC27" s="250">
        <v>4158.64322524926</v>
      </c>
      <c r="AD27" s="249">
        <f t="shared" si="11"/>
        <v>-1435.801775</v>
      </c>
      <c r="AE27" s="58">
        <f t="shared" si="12"/>
        <v>0.5696511427</v>
      </c>
      <c r="AF27" s="58">
        <f t="shared" si="13"/>
        <v>1.884012334</v>
      </c>
      <c r="AG27" s="251"/>
      <c r="AH27" s="250" t="str">
        <f>SUM(#REF!*'FY21-22 fees'!$AH$3)</f>
        <v>#REF!</v>
      </c>
      <c r="AI27" s="249" t="str">
        <f t="shared" si="14"/>
        <v>#REF!</v>
      </c>
      <c r="AJ27" s="43"/>
      <c r="AK27" s="88" t="str">
        <f t="shared" si="15"/>
        <v>#REF!</v>
      </c>
      <c r="AL27" s="249" t="str">
        <f t="shared" si="16"/>
        <v>#REF!</v>
      </c>
      <c r="AM27" s="43"/>
      <c r="AN27" s="88" t="str">
        <f t="shared" si="17"/>
        <v>#REF!</v>
      </c>
      <c r="AO27" s="249" t="str">
        <f t="shared" si="18"/>
        <v>#REF!</v>
      </c>
      <c r="AP27" s="43"/>
      <c r="AQ27" s="88" t="str">
        <f t="shared" si="19"/>
        <v>#REF!</v>
      </c>
      <c r="AR27" s="249" t="str">
        <f t="shared" si="20"/>
        <v>#REF!</v>
      </c>
      <c r="AS27" s="43"/>
      <c r="AT27" s="88" t="str">
        <f t="shared" si="21"/>
        <v>#REF!</v>
      </c>
      <c r="AU27" s="249" t="str">
        <f t="shared" si="22"/>
        <v>#REF!</v>
      </c>
      <c r="AV27" s="43"/>
      <c r="AW27" s="88" t="str">
        <f t="shared" si="23"/>
        <v>#REF!</v>
      </c>
      <c r="AX27" s="249" t="str">
        <f t="shared" si="24"/>
        <v>#REF!</v>
      </c>
      <c r="AY27" s="249"/>
      <c r="AZ27" s="88">
        <v>4047.5195452606204</v>
      </c>
      <c r="BA27" s="249">
        <v>-1383.9804547393796</v>
      </c>
      <c r="BB27" s="249"/>
      <c r="BC27" s="249">
        <v>4317.765460105375</v>
      </c>
      <c r="BD27" s="249">
        <v>-1113.7345398946254</v>
      </c>
      <c r="BE27" s="249"/>
      <c r="BF27" s="88">
        <v>4355.718792632569</v>
      </c>
      <c r="BG27" s="249">
        <v>-1075.7812073674313</v>
      </c>
      <c r="BH27" s="249"/>
      <c r="BI27" s="88">
        <v>4309.570930252869</v>
      </c>
      <c r="BJ27" s="249">
        <v>-1121.9290697471306</v>
      </c>
      <c r="BK27" s="88">
        <v>3932.526685527305</v>
      </c>
      <c r="BL27" s="249">
        <v>-1498.9733144726952</v>
      </c>
      <c r="BM27" s="249"/>
      <c r="BN27" s="88">
        <v>3681.494568602409</v>
      </c>
      <c r="BO27" s="249">
        <v>-1750.005431397591</v>
      </c>
      <c r="BP27" s="249"/>
      <c r="BQ27" s="43"/>
      <c r="BR27" s="88" t="str">
        <f t="shared" si="25"/>
        <v>#REF!</v>
      </c>
      <c r="BS27" s="249" t="str">
        <f t="shared" si="26"/>
        <v>#REF!</v>
      </c>
      <c r="BT27" s="43"/>
      <c r="BU27" s="88">
        <v>4563.165864311647</v>
      </c>
      <c r="BV27" s="249">
        <v>-868.334135688353</v>
      </c>
      <c r="BW27" s="43"/>
      <c r="BX27" s="88">
        <v>4919.352832331572</v>
      </c>
      <c r="BY27" s="249">
        <v>-512.1471676684278</v>
      </c>
      <c r="BZ27" s="43"/>
      <c r="CA27" s="88">
        <v>4957.306164858766</v>
      </c>
      <c r="CB27" s="249">
        <v>-474.19383514123365</v>
      </c>
      <c r="CC27" s="43"/>
      <c r="CD27" s="88">
        <v>4739.276196128724</v>
      </c>
      <c r="CE27" s="249">
        <v>-692.2238038712758</v>
      </c>
      <c r="CF27" s="43"/>
      <c r="CG27" s="88">
        <v>4790.040574121476</v>
      </c>
      <c r="CH27" s="249">
        <v>-641.4594258785237</v>
      </c>
      <c r="CI27" s="43"/>
      <c r="CJ27" s="88">
        <v>4542.801743511658</v>
      </c>
      <c r="CK27" s="249">
        <v>-888.6982564883419</v>
      </c>
    </row>
    <row r="28" ht="15.75" customHeight="1">
      <c r="A28" s="69" t="s">
        <v>72</v>
      </c>
      <c r="B28" s="48" t="s">
        <v>73</v>
      </c>
      <c r="C28" s="77" t="s">
        <v>51</v>
      </c>
      <c r="D28" s="70"/>
      <c r="E28" s="51">
        <f>'Avg master'!J18</f>
        <v>24.33333333</v>
      </c>
      <c r="F28" s="55">
        <f t="shared" si="1"/>
        <v>0.000093046851</v>
      </c>
      <c r="G28" s="70"/>
      <c r="H28" s="53">
        <v>25.0</v>
      </c>
      <c r="I28" s="53">
        <v>25.0</v>
      </c>
      <c r="J28" s="53">
        <v>23.0</v>
      </c>
      <c r="K28" s="54">
        <f t="shared" si="2"/>
        <v>24.33333333</v>
      </c>
      <c r="L28" s="55">
        <f t="shared" si="3"/>
        <v>0.0002089756472</v>
      </c>
      <c r="M28" s="37"/>
      <c r="N28" s="56">
        <v>1227.121812</v>
      </c>
      <c r="O28" s="43"/>
      <c r="P28" s="57">
        <v>1306.88472978</v>
      </c>
      <c r="Q28" s="43"/>
      <c r="R28" s="57">
        <v>1333.0224243756002</v>
      </c>
      <c r="S28" s="58">
        <f t="shared" si="4"/>
        <v>54.78174347</v>
      </c>
      <c r="T28" s="241"/>
      <c r="U28" s="57">
        <f t="shared" si="5"/>
        <v>1373.013097</v>
      </c>
      <c r="V28" s="57">
        <f t="shared" si="6"/>
        <v>39.99067273</v>
      </c>
      <c r="W28" s="62">
        <f t="shared" si="7"/>
        <v>0.03</v>
      </c>
      <c r="X28" s="43"/>
      <c r="Y28" s="88" t="str">
        <f t="shared" si="8"/>
        <v>#REF!</v>
      </c>
      <c r="Z28" s="249" t="str">
        <f t="shared" si="9"/>
        <v>#REF!</v>
      </c>
      <c r="AA28" s="58" t="str">
        <f t="shared" si="10"/>
        <v>#REF!</v>
      </c>
      <c r="AB28" s="43"/>
      <c r="AC28" s="250">
        <v>45.84430012733251</v>
      </c>
      <c r="AD28" s="249">
        <f t="shared" si="11"/>
        <v>-1327.168797</v>
      </c>
      <c r="AE28" s="58">
        <f t="shared" si="12"/>
        <v>1.884012334</v>
      </c>
      <c r="AF28" s="58">
        <f t="shared" si="13"/>
        <v>1.884012334</v>
      </c>
      <c r="AG28" s="251"/>
      <c r="AH28" s="250" t="str">
        <f>SUM(#REF!*'FY21-22 fees'!$AH$3)</f>
        <v>#REF!</v>
      </c>
      <c r="AI28" s="249" t="str">
        <f t="shared" si="14"/>
        <v>#REF!</v>
      </c>
      <c r="AJ28" s="43"/>
      <c r="AK28" s="88" t="str">
        <f t="shared" si="15"/>
        <v>#REF!</v>
      </c>
      <c r="AL28" s="249" t="str">
        <f t="shared" si="16"/>
        <v>#REF!</v>
      </c>
      <c r="AM28" s="43"/>
      <c r="AN28" s="88" t="str">
        <f t="shared" si="17"/>
        <v>#REF!</v>
      </c>
      <c r="AO28" s="249" t="str">
        <f t="shared" si="18"/>
        <v>#REF!</v>
      </c>
      <c r="AP28" s="43"/>
      <c r="AQ28" s="88" t="str">
        <f t="shared" si="19"/>
        <v>#REF!</v>
      </c>
      <c r="AR28" s="249" t="str">
        <f t="shared" si="20"/>
        <v>#REF!</v>
      </c>
      <c r="AS28" s="43"/>
      <c r="AT28" s="88" t="str">
        <f t="shared" si="21"/>
        <v>#REF!</v>
      </c>
      <c r="AU28" s="249" t="str">
        <f t="shared" si="22"/>
        <v>#REF!</v>
      </c>
      <c r="AV28" s="43"/>
      <c r="AW28" s="88" t="str">
        <f t="shared" si="23"/>
        <v>#REF!</v>
      </c>
      <c r="AX28" s="249" t="str">
        <f t="shared" si="24"/>
        <v>#REF!</v>
      </c>
      <c r="AY28" s="249"/>
      <c r="AZ28" s="88">
        <v>1168.3303071453386</v>
      </c>
      <c r="BA28" s="249">
        <v>-164.6921172302616</v>
      </c>
      <c r="BB28" s="249"/>
      <c r="BC28" s="249">
        <v>1025.0753105215929</v>
      </c>
      <c r="BD28" s="249">
        <v>-307.9471138540073</v>
      </c>
      <c r="BE28" s="249"/>
      <c r="BF28" s="88">
        <v>1368.7018417385937</v>
      </c>
      <c r="BG28" s="249">
        <v>35.67941736299349</v>
      </c>
      <c r="BH28" s="249"/>
      <c r="BI28" s="88">
        <v>1367.5114768843384</v>
      </c>
      <c r="BJ28" s="249">
        <v>34.48905250873827</v>
      </c>
      <c r="BK28" s="88">
        <v>1767.747950038713</v>
      </c>
      <c r="BL28" s="249">
        <v>434.7255256631129</v>
      </c>
      <c r="BM28" s="249"/>
      <c r="BN28" s="88">
        <v>1692.4777232556053</v>
      </c>
      <c r="BO28" s="249">
        <v>359.4552988800051</v>
      </c>
      <c r="BP28" s="249"/>
      <c r="BQ28" s="43"/>
      <c r="BR28" s="88" t="str">
        <f t="shared" si="25"/>
        <v>#REF!</v>
      </c>
      <c r="BS28" s="249" t="str">
        <f t="shared" si="26"/>
        <v>#REF!</v>
      </c>
      <c r="BT28" s="43"/>
      <c r="BU28" s="88">
        <v>1161.785379557701</v>
      </c>
      <c r="BV28" s="249">
        <v>-171.23704481789923</v>
      </c>
      <c r="BW28" s="43"/>
      <c r="BX28" s="88">
        <v>1017.4395616693488</v>
      </c>
      <c r="BY28" s="249">
        <v>-315.5828627062514</v>
      </c>
      <c r="BZ28" s="43"/>
      <c r="CA28" s="88">
        <v>1361.0660928863495</v>
      </c>
      <c r="CB28" s="249">
        <v>28.043668510749285</v>
      </c>
      <c r="CC28" s="43"/>
      <c r="CD28" s="88">
        <v>1362.057370561307</v>
      </c>
      <c r="CE28" s="249">
        <v>29.034946185706758</v>
      </c>
      <c r="CF28" s="43"/>
      <c r="CG28" s="88">
        <v>1756.8638108547639</v>
      </c>
      <c r="CH28" s="249">
        <v>423.8413864791637</v>
      </c>
      <c r="CI28" s="43"/>
      <c r="CJ28" s="88">
        <v>1681.545437147429</v>
      </c>
      <c r="CK28" s="249">
        <v>348.5230127718289</v>
      </c>
    </row>
    <row r="29" ht="15.75" customHeight="1">
      <c r="A29" s="69" t="s">
        <v>75</v>
      </c>
      <c r="B29" s="48" t="s">
        <v>76</v>
      </c>
      <c r="C29" s="84" t="s">
        <v>71</v>
      </c>
      <c r="D29" s="71"/>
      <c r="E29" s="51">
        <f>'Avg master'!J19</f>
        <v>7392.333333</v>
      </c>
      <c r="F29" s="55">
        <f t="shared" si="1"/>
        <v>0.02826712349</v>
      </c>
      <c r="G29" s="71"/>
      <c r="H29" s="53">
        <v>5231.0</v>
      </c>
      <c r="I29" s="53">
        <v>3189.0</v>
      </c>
      <c r="J29" s="53">
        <v>2307.0</v>
      </c>
      <c r="K29" s="54">
        <f t="shared" si="2"/>
        <v>3575.666667</v>
      </c>
      <c r="L29" s="55">
        <f t="shared" si="3"/>
        <v>0.03070796942</v>
      </c>
      <c r="M29" s="37"/>
      <c r="N29" s="85">
        <v>5000.0</v>
      </c>
      <c r="O29" s="94"/>
      <c r="P29" s="87">
        <v>5325.0</v>
      </c>
      <c r="Q29" s="94"/>
      <c r="R29" s="87">
        <v>5431.5</v>
      </c>
      <c r="S29" s="58">
        <f t="shared" si="4"/>
        <v>0.7347477116</v>
      </c>
      <c r="T29" s="253"/>
      <c r="U29" s="57">
        <f t="shared" si="5"/>
        <v>5594.445</v>
      </c>
      <c r="V29" s="57">
        <f t="shared" si="6"/>
        <v>162.945</v>
      </c>
      <c r="W29" s="62">
        <f t="shared" si="7"/>
        <v>0.03</v>
      </c>
      <c r="X29" s="88"/>
      <c r="Y29" s="88" t="str">
        <f t="shared" si="8"/>
        <v>#REF!</v>
      </c>
      <c r="Z29" s="249" t="str">
        <f t="shared" si="9"/>
        <v>#REF!</v>
      </c>
      <c r="AA29" s="58" t="str">
        <f t="shared" si="10"/>
        <v>#REF!</v>
      </c>
      <c r="AB29" s="88"/>
      <c r="AC29" s="250">
        <v>6736.600102272546</v>
      </c>
      <c r="AD29" s="249">
        <f t="shared" si="11"/>
        <v>1142.155102</v>
      </c>
      <c r="AE29" s="58">
        <f t="shared" si="12"/>
        <v>0.9112955001</v>
      </c>
      <c r="AF29" s="58">
        <f t="shared" si="13"/>
        <v>1.884012334</v>
      </c>
      <c r="AG29" s="251"/>
      <c r="AH29" s="250" t="str">
        <f>SUM(#REF!*'FY21-22 fees'!$AH$3)</f>
        <v>#REF!</v>
      </c>
      <c r="AI29" s="249" t="str">
        <f t="shared" si="14"/>
        <v>#REF!</v>
      </c>
      <c r="AJ29" s="43"/>
      <c r="AK29" s="88" t="str">
        <f t="shared" si="15"/>
        <v>#REF!</v>
      </c>
      <c r="AL29" s="249" t="str">
        <f t="shared" si="16"/>
        <v>#REF!</v>
      </c>
      <c r="AM29" s="43"/>
      <c r="AN29" s="88" t="str">
        <f t="shared" si="17"/>
        <v>#REF!</v>
      </c>
      <c r="AO29" s="249" t="str">
        <f t="shared" si="18"/>
        <v>#REF!</v>
      </c>
      <c r="AP29" s="43"/>
      <c r="AQ29" s="88" t="str">
        <f t="shared" si="19"/>
        <v>#REF!</v>
      </c>
      <c r="AR29" s="249" t="str">
        <f t="shared" si="20"/>
        <v>#REF!</v>
      </c>
      <c r="AS29" s="43"/>
      <c r="AT29" s="88" t="str">
        <f t="shared" si="21"/>
        <v>#REF!</v>
      </c>
      <c r="AU29" s="249" t="str">
        <f t="shared" si="22"/>
        <v>#REF!</v>
      </c>
      <c r="AV29" s="43"/>
      <c r="AW29" s="88" t="str">
        <f t="shared" si="23"/>
        <v>#REF!</v>
      </c>
      <c r="AX29" s="249" t="str">
        <f t="shared" si="24"/>
        <v>#REF!</v>
      </c>
      <c r="AY29" s="249"/>
      <c r="AZ29" s="88">
        <v>6677.835750085206</v>
      </c>
      <c r="BA29" s="249">
        <v>1246.3357500852062</v>
      </c>
      <c r="BB29" s="249"/>
      <c r="BC29" s="249">
        <v>6747.075898253451</v>
      </c>
      <c r="BD29" s="249">
        <v>1315.5758982534508</v>
      </c>
      <c r="BE29" s="249"/>
      <c r="BF29" s="88">
        <v>6442.767242917982</v>
      </c>
      <c r="BG29" s="249">
        <v>1011.267242917982</v>
      </c>
      <c r="BH29" s="249"/>
      <c r="BI29" s="88">
        <v>6519.101400777858</v>
      </c>
      <c r="BJ29" s="249">
        <v>1087.6014007778576</v>
      </c>
      <c r="BK29" s="88">
        <v>5884.463821935407</v>
      </c>
      <c r="BL29" s="249">
        <v>452.9638219354074</v>
      </c>
      <c r="BM29" s="249"/>
      <c r="BN29" s="88">
        <v>6235.032054830019</v>
      </c>
      <c r="BO29" s="249">
        <v>803.5320548300188</v>
      </c>
      <c r="BP29" s="249"/>
      <c r="BQ29" s="43"/>
      <c r="BR29" s="88" t="str">
        <f t="shared" si="25"/>
        <v>#REF!</v>
      </c>
      <c r="BS29" s="249" t="str">
        <f t="shared" si="26"/>
        <v>#REF!</v>
      </c>
      <c r="BT29" s="43"/>
      <c r="BU29" s="88">
        <v>6514.272752603654</v>
      </c>
      <c r="BV29" s="249">
        <v>1082.7727526036542</v>
      </c>
      <c r="BW29" s="43"/>
      <c r="BX29" s="88">
        <v>6556.25240119164</v>
      </c>
      <c r="BY29" s="249">
        <v>1124.7524011916403</v>
      </c>
      <c r="BZ29" s="43"/>
      <c r="CA29" s="88">
        <v>6251.9437458561715</v>
      </c>
      <c r="CB29" s="249">
        <v>820.4437458561715</v>
      </c>
      <c r="CC29" s="43"/>
      <c r="CD29" s="88">
        <v>6382.798902876564</v>
      </c>
      <c r="CE29" s="249">
        <v>951.2989028765642</v>
      </c>
      <c r="CF29" s="43"/>
      <c r="CG29" s="88">
        <v>5612.460441287509</v>
      </c>
      <c r="CH29" s="249">
        <v>180.96044128750873</v>
      </c>
      <c r="CI29" s="43"/>
      <c r="CJ29" s="88">
        <v>5961.825443872745</v>
      </c>
      <c r="CK29" s="249">
        <v>530.3254438727454</v>
      </c>
    </row>
    <row r="30" ht="15.75" customHeight="1">
      <c r="A30" s="47" t="s">
        <v>77</v>
      </c>
      <c r="B30" s="48" t="s">
        <v>78</v>
      </c>
      <c r="C30" s="49" t="s">
        <v>34</v>
      </c>
      <c r="D30" s="50"/>
      <c r="E30" s="51">
        <f>'Avg master'!J20</f>
        <v>275</v>
      </c>
      <c r="F30" s="55">
        <f t="shared" si="1"/>
        <v>0.001051556878</v>
      </c>
      <c r="G30" s="50"/>
      <c r="H30" s="53">
        <v>266.0</v>
      </c>
      <c r="I30" s="53">
        <v>207.0</v>
      </c>
      <c r="J30" s="53">
        <v>128.0</v>
      </c>
      <c r="K30" s="54">
        <f t="shared" si="2"/>
        <v>200.3333333</v>
      </c>
      <c r="L30" s="55">
        <f t="shared" si="3"/>
        <v>0.001720470739</v>
      </c>
      <c r="M30" s="37"/>
      <c r="N30" s="56">
        <v>1227.121812</v>
      </c>
      <c r="O30" s="43"/>
      <c r="P30" s="57">
        <v>1306.88472978</v>
      </c>
      <c r="Q30" s="43"/>
      <c r="R30" s="57">
        <v>1333.0224243756002</v>
      </c>
      <c r="S30" s="58">
        <f t="shared" si="4"/>
        <v>4.84735427</v>
      </c>
      <c r="T30" s="241"/>
      <c r="U30" s="57">
        <f t="shared" si="5"/>
        <v>1373.013097</v>
      </c>
      <c r="V30" s="57">
        <f t="shared" si="6"/>
        <v>39.99067273</v>
      </c>
      <c r="W30" s="62">
        <f t="shared" si="7"/>
        <v>0.03</v>
      </c>
      <c r="X30" s="43"/>
      <c r="Y30" s="88" t="str">
        <f t="shared" si="8"/>
        <v>#REF!</v>
      </c>
      <c r="Z30" s="249" t="str">
        <f t="shared" si="9"/>
        <v>#REF!</v>
      </c>
      <c r="AA30" s="58" t="str">
        <f t="shared" si="10"/>
        <v>#REF!</v>
      </c>
      <c r="AB30" s="43"/>
      <c r="AC30" s="250">
        <v>377.43047091132655</v>
      </c>
      <c r="AD30" s="249">
        <f t="shared" si="11"/>
        <v>-995.5826262</v>
      </c>
      <c r="AE30" s="58">
        <f t="shared" si="12"/>
        <v>1.37247444</v>
      </c>
      <c r="AF30" s="58">
        <f t="shared" si="13"/>
        <v>1.884012334</v>
      </c>
      <c r="AG30" s="251"/>
      <c r="AH30" s="250" t="str">
        <f>SUM(#REF!*'FY21-22 fees'!$AH$3)</f>
        <v>#REF!</v>
      </c>
      <c r="AI30" s="249" t="str">
        <f t="shared" si="14"/>
        <v>#REF!</v>
      </c>
      <c r="AJ30" s="43"/>
      <c r="AK30" s="88" t="str">
        <f t="shared" si="15"/>
        <v>#REF!</v>
      </c>
      <c r="AL30" s="249" t="str">
        <f t="shared" si="16"/>
        <v>#REF!</v>
      </c>
      <c r="AM30" s="43"/>
      <c r="AN30" s="88" t="str">
        <f t="shared" si="17"/>
        <v>#REF!</v>
      </c>
      <c r="AO30" s="249" t="str">
        <f t="shared" si="18"/>
        <v>#REF!</v>
      </c>
      <c r="AP30" s="43"/>
      <c r="AQ30" s="88" t="str">
        <f t="shared" si="19"/>
        <v>#REF!</v>
      </c>
      <c r="AR30" s="249" t="str">
        <f t="shared" si="20"/>
        <v>#REF!</v>
      </c>
      <c r="AS30" s="43"/>
      <c r="AT30" s="88" t="str">
        <f t="shared" si="21"/>
        <v>#REF!</v>
      </c>
      <c r="AU30" s="249" t="str">
        <f t="shared" si="22"/>
        <v>#REF!</v>
      </c>
      <c r="AV30" s="43"/>
      <c r="AW30" s="88" t="str">
        <f t="shared" si="23"/>
        <v>#REF!</v>
      </c>
      <c r="AX30" s="249" t="str">
        <f t="shared" si="24"/>
        <v>#REF!</v>
      </c>
      <c r="AY30" s="249"/>
      <c r="AZ30" s="88">
        <v>1409.1133263959543</v>
      </c>
      <c r="BA30" s="249">
        <v>76.09090202035418</v>
      </c>
      <c r="BB30" s="249"/>
      <c r="BC30" s="249">
        <v>1150.4280399380802</v>
      </c>
      <c r="BD30" s="249">
        <v>-182.59438443751992</v>
      </c>
      <c r="BE30" s="249"/>
      <c r="BF30" s="88">
        <v>1468.7560369269916</v>
      </c>
      <c r="BG30" s="249">
        <v>135.7336125513914</v>
      </c>
      <c r="BH30" s="249"/>
      <c r="BI30" s="88">
        <v>1464.5953091254323</v>
      </c>
      <c r="BJ30" s="249">
        <v>131.57288474983216</v>
      </c>
      <c r="BK30" s="88">
        <v>2084.2344331179206</v>
      </c>
      <c r="BL30" s="249">
        <v>751.2120087423204</v>
      </c>
      <c r="BM30" s="249"/>
      <c r="BN30" s="88">
        <v>2169.588075934009</v>
      </c>
      <c r="BO30" s="249">
        <v>836.5656515584087</v>
      </c>
      <c r="BP30" s="249"/>
      <c r="BQ30" s="43"/>
      <c r="BR30" s="88" t="str">
        <f t="shared" si="25"/>
        <v>#REF!</v>
      </c>
      <c r="BS30" s="249" t="str">
        <f t="shared" si="26"/>
        <v>#REF!</v>
      </c>
      <c r="BT30" s="43"/>
      <c r="BU30" s="88">
        <v>1370.4866156815735</v>
      </c>
      <c r="BV30" s="249">
        <v>37.46419130597337</v>
      </c>
      <c r="BW30" s="43"/>
      <c r="BX30" s="88">
        <v>1105.3635441046358</v>
      </c>
      <c r="BY30" s="249">
        <v>-227.65888027096435</v>
      </c>
      <c r="BZ30" s="43"/>
      <c r="CA30" s="88">
        <v>1423.6915410935471</v>
      </c>
      <c r="CB30" s="249">
        <v>90.66911671794696</v>
      </c>
      <c r="CC30" s="43"/>
      <c r="CD30" s="88">
        <v>1432.406383530115</v>
      </c>
      <c r="CE30" s="249">
        <v>99.38395915451474</v>
      </c>
      <c r="CF30" s="43"/>
      <c r="CG30" s="88">
        <v>2019.9986581602927</v>
      </c>
      <c r="CH30" s="249">
        <v>686.9762337846926</v>
      </c>
      <c r="CI30" s="43"/>
      <c r="CJ30" s="88">
        <v>2105.068148510368</v>
      </c>
      <c r="CK30" s="249">
        <v>772.0457241347676</v>
      </c>
    </row>
    <row r="31" ht="15.75" customHeight="1">
      <c r="A31" s="69" t="s">
        <v>79</v>
      </c>
      <c r="B31" s="48" t="s">
        <v>80</v>
      </c>
      <c r="C31" s="50" t="s">
        <v>59</v>
      </c>
      <c r="D31" s="71"/>
      <c r="E31" s="51">
        <f>'Avg master'!J21</f>
        <v>2</v>
      </c>
      <c r="F31" s="55">
        <f t="shared" si="1"/>
        <v>0.000007647686384</v>
      </c>
      <c r="G31" s="71"/>
      <c r="H31" s="53">
        <v>2.0</v>
      </c>
      <c r="I31" s="53">
        <v>2.0</v>
      </c>
      <c r="J31" s="53">
        <v>2.0</v>
      </c>
      <c r="K31" s="54">
        <f t="shared" si="2"/>
        <v>2</v>
      </c>
      <c r="L31" s="55">
        <f t="shared" si="3"/>
        <v>0.00001717608059</v>
      </c>
      <c r="M31" s="37"/>
      <c r="N31" s="56">
        <v>368.1365436000001</v>
      </c>
      <c r="O31" s="43"/>
      <c r="P31" s="57">
        <v>392.0654189340001</v>
      </c>
      <c r="Q31" s="43"/>
      <c r="R31" s="57">
        <v>399.9067273126801</v>
      </c>
      <c r="S31" s="58">
        <f t="shared" si="4"/>
        <v>199.9533637</v>
      </c>
      <c r="T31" s="241"/>
      <c r="U31" s="57">
        <f t="shared" si="5"/>
        <v>411.9039291</v>
      </c>
      <c r="V31" s="57">
        <f t="shared" si="6"/>
        <v>11.99720182</v>
      </c>
      <c r="W31" s="62">
        <f t="shared" si="7"/>
        <v>0.03</v>
      </c>
      <c r="X31" s="43"/>
      <c r="Y31" s="88" t="str">
        <f t="shared" si="8"/>
        <v>#REF!</v>
      </c>
      <c r="Z31" s="249" t="str">
        <f t="shared" si="9"/>
        <v>#REF!</v>
      </c>
      <c r="AA31" s="58" t="str">
        <f t="shared" si="10"/>
        <v>#REF!</v>
      </c>
      <c r="AB31" s="43"/>
      <c r="AC31" s="250">
        <v>3.7680246679999327</v>
      </c>
      <c r="AD31" s="249">
        <f t="shared" si="11"/>
        <v>-408.1359045</v>
      </c>
      <c r="AE31" s="58">
        <f t="shared" si="12"/>
        <v>1.884012334</v>
      </c>
      <c r="AF31" s="58">
        <f t="shared" si="13"/>
        <v>1.884012334</v>
      </c>
      <c r="AG31" s="251"/>
      <c r="AH31" s="250" t="str">
        <f>SUM(#REF!*'FY21-22 fees'!$AH$3)</f>
        <v>#REF!</v>
      </c>
      <c r="AI31" s="249" t="str">
        <f t="shared" si="14"/>
        <v>#REF!</v>
      </c>
      <c r="AJ31" s="43"/>
      <c r="AK31" s="88" t="str">
        <f t="shared" si="15"/>
        <v>#REF!</v>
      </c>
      <c r="AL31" s="249" t="str">
        <f t="shared" si="16"/>
        <v>#REF!</v>
      </c>
      <c r="AM31" s="43"/>
      <c r="AN31" s="88" t="str">
        <f t="shared" si="17"/>
        <v>#REF!</v>
      </c>
      <c r="AO31" s="249" t="str">
        <f t="shared" si="18"/>
        <v>#REF!</v>
      </c>
      <c r="AP31" s="43"/>
      <c r="AQ31" s="88" t="str">
        <f t="shared" si="19"/>
        <v>#REF!</v>
      </c>
      <c r="AR31" s="249" t="str">
        <f t="shared" si="20"/>
        <v>#REF!</v>
      </c>
      <c r="AS31" s="43"/>
      <c r="AT31" s="88" t="str">
        <f t="shared" si="21"/>
        <v>#REF!</v>
      </c>
      <c r="AU31" s="249" t="str">
        <f t="shared" si="22"/>
        <v>#REF!</v>
      </c>
      <c r="AV31" s="43"/>
      <c r="AW31" s="252" t="str">
        <f t="shared" si="23"/>
        <v>#REF!</v>
      </c>
      <c r="AX31" s="249" t="str">
        <f t="shared" si="24"/>
        <v>#REF!</v>
      </c>
      <c r="AY31" s="249"/>
      <c r="AZ31" s="252">
        <v>1094.104478269747</v>
      </c>
      <c r="BA31" s="249">
        <v>694.1977509570669</v>
      </c>
      <c r="BB31" s="249"/>
      <c r="BC31" s="249">
        <v>915.8819217028303</v>
      </c>
      <c r="BD31" s="249">
        <v>515.9751943901501</v>
      </c>
      <c r="BE31" s="249"/>
      <c r="BF31" s="252">
        <v>1262.0472668624373</v>
      </c>
      <c r="BG31" s="249">
        <v>862.1405395497571</v>
      </c>
      <c r="BH31" s="249"/>
      <c r="BI31" s="252">
        <v>1261.9052397904836</v>
      </c>
      <c r="BJ31" s="249">
        <v>861.9985124778035</v>
      </c>
      <c r="BK31" s="252">
        <v>1729.9189287547106</v>
      </c>
      <c r="BL31" s="249">
        <v>1330.0122014420303</v>
      </c>
      <c r="BM31" s="249"/>
      <c r="BN31" s="252">
        <v>1686.0695367004928</v>
      </c>
      <c r="BO31" s="249">
        <v>1286.1628093878126</v>
      </c>
      <c r="BP31" s="249"/>
      <c r="BQ31" s="43"/>
      <c r="BR31" s="88" t="str">
        <f t="shared" si="25"/>
        <v>#REF!</v>
      </c>
      <c r="BS31" s="249" t="str">
        <f t="shared" si="26"/>
        <v>#REF!</v>
      </c>
      <c r="BT31" s="43"/>
      <c r="BU31" s="88">
        <v>1093.5665390159688</v>
      </c>
      <c r="BV31" s="249">
        <v>693.6598117032887</v>
      </c>
      <c r="BW31" s="43"/>
      <c r="BX31" s="88">
        <v>915.2543259067554</v>
      </c>
      <c r="BY31" s="249">
        <v>515.3475985940753</v>
      </c>
      <c r="BZ31" s="43"/>
      <c r="CA31" s="88">
        <v>1261.4196710663625</v>
      </c>
      <c r="CB31" s="249">
        <v>861.5129437536824</v>
      </c>
      <c r="CC31" s="43"/>
      <c r="CD31" s="88">
        <v>1261.4569570790015</v>
      </c>
      <c r="CE31" s="249">
        <v>861.5502297663214</v>
      </c>
      <c r="CF31" s="43"/>
      <c r="CG31" s="88">
        <v>1729.0243419724682</v>
      </c>
      <c r="CH31" s="249">
        <v>1329.1176146597882</v>
      </c>
      <c r="CI31" s="43"/>
      <c r="CJ31" s="88">
        <v>1685.1709926368071</v>
      </c>
      <c r="CK31" s="249">
        <v>1285.2642653241269</v>
      </c>
    </row>
    <row r="32" ht="15.75" customHeight="1">
      <c r="A32" s="69" t="s">
        <v>81</v>
      </c>
      <c r="B32" s="48" t="s">
        <v>82</v>
      </c>
      <c r="C32" s="71" t="s">
        <v>42</v>
      </c>
      <c r="D32" s="71"/>
      <c r="E32" s="51">
        <f>'Avg master'!J22</f>
        <v>26567.66667</v>
      </c>
      <c r="F32" s="55">
        <f t="shared" si="1"/>
        <v>0.1015905913</v>
      </c>
      <c r="G32" s="71"/>
      <c r="H32" s="53">
        <v>8260.0</v>
      </c>
      <c r="I32" s="53">
        <v>8110.0</v>
      </c>
      <c r="J32" s="53">
        <v>5911.0</v>
      </c>
      <c r="K32" s="54">
        <f t="shared" si="2"/>
        <v>7427</v>
      </c>
      <c r="L32" s="55">
        <f t="shared" si="3"/>
        <v>0.06378337527</v>
      </c>
      <c r="M32" s="37"/>
      <c r="N32" s="56">
        <v>12271.218120000003</v>
      </c>
      <c r="O32" s="43"/>
      <c r="P32" s="57">
        <v>13068.847297800003</v>
      </c>
      <c r="Q32" s="43"/>
      <c r="R32" s="57">
        <v>13330.224243756003</v>
      </c>
      <c r="S32" s="58">
        <f t="shared" si="4"/>
        <v>0.5017461417</v>
      </c>
      <c r="T32" s="241"/>
      <c r="U32" s="57">
        <f t="shared" si="5"/>
        <v>13730.13097</v>
      </c>
      <c r="V32" s="57">
        <f t="shared" si="6"/>
        <v>399.9067273</v>
      </c>
      <c r="W32" s="62">
        <f t="shared" si="7"/>
        <v>0.03</v>
      </c>
      <c r="X32" s="43"/>
      <c r="Y32" s="88" t="str">
        <f t="shared" si="8"/>
        <v>#REF!</v>
      </c>
      <c r="Z32" s="249" t="str">
        <f t="shared" si="9"/>
        <v>#REF!</v>
      </c>
      <c r="AA32" s="58" t="str">
        <f t="shared" si="10"/>
        <v>#REF!</v>
      </c>
      <c r="AB32" s="43"/>
      <c r="AC32" s="250">
        <v>13992.55960461775</v>
      </c>
      <c r="AD32" s="249">
        <f t="shared" si="11"/>
        <v>262.4286335</v>
      </c>
      <c r="AE32" s="58">
        <f t="shared" si="12"/>
        <v>0.5266762708</v>
      </c>
      <c r="AF32" s="58">
        <f t="shared" si="13"/>
        <v>1.884012334</v>
      </c>
      <c r="AG32" s="251"/>
      <c r="AH32" s="250" t="str">
        <f>SUM(#REF!*'FY21-22 fees'!$AH$3)</f>
        <v>#REF!</v>
      </c>
      <c r="AI32" s="249" t="str">
        <f t="shared" si="14"/>
        <v>#REF!</v>
      </c>
      <c r="AJ32" s="43"/>
      <c r="AK32" s="88" t="str">
        <f t="shared" si="15"/>
        <v>#REF!</v>
      </c>
      <c r="AL32" s="249" t="str">
        <f t="shared" si="16"/>
        <v>#REF!</v>
      </c>
      <c r="AM32" s="43"/>
      <c r="AN32" s="88" t="str">
        <f t="shared" si="17"/>
        <v>#REF!</v>
      </c>
      <c r="AO32" s="249" t="str">
        <f t="shared" si="18"/>
        <v>#REF!</v>
      </c>
      <c r="AP32" s="43"/>
      <c r="AQ32" s="88" t="str">
        <f t="shared" si="19"/>
        <v>#REF!</v>
      </c>
      <c r="AR32" s="249" t="str">
        <f t="shared" si="20"/>
        <v>#REF!</v>
      </c>
      <c r="AS32" s="43"/>
      <c r="AT32" s="88" t="str">
        <f t="shared" si="21"/>
        <v>#REF!</v>
      </c>
      <c r="AU32" s="249" t="str">
        <f t="shared" si="22"/>
        <v>#REF!</v>
      </c>
      <c r="AV32" s="43"/>
      <c r="AW32" s="88" t="str">
        <f t="shared" si="23"/>
        <v>#REF!</v>
      </c>
      <c r="AX32" s="249" t="str">
        <f t="shared" si="24"/>
        <v>#REF!</v>
      </c>
      <c r="AY32" s="249"/>
      <c r="AZ32" s="88">
        <v>10607.40421422819</v>
      </c>
      <c r="BA32" s="249">
        <v>-2722.820029527813</v>
      </c>
      <c r="BB32" s="249"/>
      <c r="BC32" s="249">
        <v>10856.688038986107</v>
      </c>
      <c r="BD32" s="249">
        <v>-2473.5362047698964</v>
      </c>
      <c r="BE32" s="249"/>
      <c r="BF32" s="88">
        <v>10208.743449419038</v>
      </c>
      <c r="BG32" s="249">
        <v>-3121.480794336965</v>
      </c>
      <c r="BH32" s="249"/>
      <c r="BI32" s="88">
        <v>10010.117257486847</v>
      </c>
      <c r="BJ32" s="249">
        <v>-3320.1069862691566</v>
      </c>
      <c r="BK32" s="88">
        <v>9661.64586200683</v>
      </c>
      <c r="BL32" s="249">
        <v>-3668.578381749174</v>
      </c>
      <c r="BM32" s="249"/>
      <c r="BN32" s="88">
        <v>10601.865968668702</v>
      </c>
      <c r="BO32" s="249">
        <v>-2728.358275087301</v>
      </c>
      <c r="BP32" s="249"/>
      <c r="BQ32" s="43"/>
      <c r="BR32" s="88" t="str">
        <f t="shared" si="25"/>
        <v>#REF!</v>
      </c>
      <c r="BS32" s="249" t="str">
        <f t="shared" si="26"/>
        <v>#REF!</v>
      </c>
      <c r="BT32" s="43"/>
      <c r="BU32" s="88">
        <v>12300.36845889928</v>
      </c>
      <c r="BV32" s="249">
        <v>-1029.8557848567234</v>
      </c>
      <c r="BW32" s="43"/>
      <c r="BX32" s="88">
        <v>12831.812991102379</v>
      </c>
      <c r="BY32" s="249">
        <v>-498.4112526536246</v>
      </c>
      <c r="BZ32" s="43"/>
      <c r="CA32" s="88">
        <v>12183.868401535306</v>
      </c>
      <c r="CB32" s="249">
        <v>-1146.355842220697</v>
      </c>
      <c r="CC32" s="43"/>
      <c r="CD32" s="88">
        <v>11420.920794712754</v>
      </c>
      <c r="CE32" s="249">
        <v>-1909.3034490432492</v>
      </c>
      <c r="CF32" s="43"/>
      <c r="CG32" s="88">
        <v>12477.025898793523</v>
      </c>
      <c r="CH32" s="249">
        <v>-853.1983449624804</v>
      </c>
      <c r="CI32" s="43"/>
      <c r="CJ32" s="88">
        <v>13429.700080785642</v>
      </c>
      <c r="CK32" s="249">
        <v>99.47583702963857</v>
      </c>
    </row>
    <row r="33" ht="15.75" customHeight="1">
      <c r="A33" s="96" t="s">
        <v>84</v>
      </c>
      <c r="B33" s="48" t="s">
        <v>85</v>
      </c>
      <c r="C33" s="77" t="s">
        <v>51</v>
      </c>
      <c r="D33" s="70"/>
      <c r="E33" s="51">
        <f>'Avg master'!J23</f>
        <v>187.3333333</v>
      </c>
      <c r="F33" s="55">
        <f t="shared" si="1"/>
        <v>0.0007163332913</v>
      </c>
      <c r="G33" s="70"/>
      <c r="H33" s="53">
        <v>424.0</v>
      </c>
      <c r="I33" s="53">
        <v>424.0</v>
      </c>
      <c r="J33" s="53">
        <v>422.0</v>
      </c>
      <c r="K33" s="54">
        <f t="shared" si="2"/>
        <v>423.3333333</v>
      </c>
      <c r="L33" s="55">
        <f t="shared" si="3"/>
        <v>0.003635603725</v>
      </c>
      <c r="M33" s="37"/>
      <c r="N33" s="56">
        <v>1227.121812</v>
      </c>
      <c r="O33" s="43"/>
      <c r="P33" s="57">
        <v>1306.88472978</v>
      </c>
      <c r="Q33" s="43"/>
      <c r="R33" s="57">
        <v>1333.0224243756002</v>
      </c>
      <c r="S33" s="58">
        <f t="shared" si="4"/>
        <v>7.115778066</v>
      </c>
      <c r="T33" s="241"/>
      <c r="U33" s="57">
        <f t="shared" si="5"/>
        <v>1373.013097</v>
      </c>
      <c r="V33" s="57">
        <f t="shared" si="6"/>
        <v>39.99067273</v>
      </c>
      <c r="W33" s="62">
        <f t="shared" si="7"/>
        <v>0.03</v>
      </c>
      <c r="X33" s="43"/>
      <c r="Y33" s="88" t="str">
        <f t="shared" si="8"/>
        <v>#REF!</v>
      </c>
      <c r="Z33" s="249" t="str">
        <f t="shared" si="9"/>
        <v>#REF!</v>
      </c>
      <c r="AA33" s="58" t="str">
        <f t="shared" si="10"/>
        <v>#REF!</v>
      </c>
      <c r="AB33" s="43"/>
      <c r="AC33" s="250">
        <v>797.565221393319</v>
      </c>
      <c r="AD33" s="249">
        <f t="shared" si="11"/>
        <v>-575.4478757</v>
      </c>
      <c r="AE33" s="58">
        <f t="shared" si="12"/>
        <v>4.257465595</v>
      </c>
      <c r="AF33" s="58">
        <f t="shared" si="13"/>
        <v>1.884012334</v>
      </c>
      <c r="AG33" s="251"/>
      <c r="AH33" s="250" t="str">
        <f>SUM(#REF!*'FY21-22 fees'!$AH$3)</f>
        <v>#REF!</v>
      </c>
      <c r="AI33" s="249" t="str">
        <f t="shared" si="14"/>
        <v>#REF!</v>
      </c>
      <c r="AJ33" s="43"/>
      <c r="AK33" s="88" t="str">
        <f t="shared" si="15"/>
        <v>#REF!</v>
      </c>
      <c r="AL33" s="249" t="str">
        <f t="shared" si="16"/>
        <v>#REF!</v>
      </c>
      <c r="AM33" s="43"/>
      <c r="AN33" s="88" t="str">
        <f t="shared" si="17"/>
        <v>#REF!</v>
      </c>
      <c r="AO33" s="249" t="str">
        <f t="shared" si="18"/>
        <v>#REF!</v>
      </c>
      <c r="AP33" s="43"/>
      <c r="AQ33" s="88" t="str">
        <f t="shared" si="19"/>
        <v>#REF!</v>
      </c>
      <c r="AR33" s="249" t="str">
        <f t="shared" si="20"/>
        <v>#REF!</v>
      </c>
      <c r="AS33" s="43"/>
      <c r="AT33" s="88" t="str">
        <f t="shared" si="21"/>
        <v>#REF!</v>
      </c>
      <c r="AU33" s="249" t="str">
        <f t="shared" si="22"/>
        <v>#REF!</v>
      </c>
      <c r="AV33" s="43"/>
      <c r="AW33" s="88" t="str">
        <f t="shared" si="23"/>
        <v>#REF!</v>
      </c>
      <c r="AX33" s="249" t="str">
        <f t="shared" si="24"/>
        <v>#REF!</v>
      </c>
      <c r="AY33" s="249"/>
      <c r="AZ33" s="88">
        <v>1346.7744956926501</v>
      </c>
      <c r="BA33" s="249">
        <v>13.752071317049968</v>
      </c>
      <c r="BB33" s="249"/>
      <c r="BC33" s="249">
        <v>1141.397208697008</v>
      </c>
      <c r="BD33" s="249">
        <v>-191.6252156785922</v>
      </c>
      <c r="BE33" s="249"/>
      <c r="BF33" s="88">
        <v>1468.6409228843663</v>
      </c>
      <c r="BG33" s="249">
        <v>135.61849850876615</v>
      </c>
      <c r="BH33" s="249"/>
      <c r="BI33" s="88">
        <v>1419.7465002132647</v>
      </c>
      <c r="BJ33" s="249">
        <v>86.72407583766449</v>
      </c>
      <c r="BK33" s="88">
        <v>2113.2217457410115</v>
      </c>
      <c r="BL33" s="249">
        <v>780.1993213654114</v>
      </c>
      <c r="BM33" s="249"/>
      <c r="BN33" s="88">
        <v>2119.865859696991</v>
      </c>
      <c r="BO33" s="249">
        <v>786.8434353213906</v>
      </c>
      <c r="BP33" s="249"/>
      <c r="BQ33" s="43"/>
      <c r="BR33" s="88" t="str">
        <f t="shared" si="25"/>
        <v>#REF!</v>
      </c>
      <c r="BS33" s="249" t="str">
        <f t="shared" si="26"/>
        <v>#REF!</v>
      </c>
      <c r="BT33" s="43"/>
      <c r="BU33" s="88">
        <v>1232.9106869762145</v>
      </c>
      <c r="BV33" s="249">
        <v>-100.11173739938567</v>
      </c>
      <c r="BW33" s="43"/>
      <c r="BX33" s="88">
        <v>1008.5560985278329</v>
      </c>
      <c r="BY33" s="249">
        <v>-324.4663258477673</v>
      </c>
      <c r="BZ33" s="43"/>
      <c r="CA33" s="88">
        <v>1335.7998127151914</v>
      </c>
      <c r="CB33" s="249">
        <v>2.777388339591198</v>
      </c>
      <c r="CC33" s="43"/>
      <c r="CD33" s="88">
        <v>1324.8599929495683</v>
      </c>
      <c r="CE33" s="249">
        <v>-8.162431426031844</v>
      </c>
      <c r="CF33" s="43"/>
      <c r="CG33" s="88">
        <v>1923.8675434997047</v>
      </c>
      <c r="CH33" s="249">
        <v>590.8451191241045</v>
      </c>
      <c r="CI33" s="43"/>
      <c r="CJ33" s="88">
        <v>1929.6740328835126</v>
      </c>
      <c r="CK33" s="249">
        <v>596.6516085079124</v>
      </c>
    </row>
    <row r="34" ht="15.75" customHeight="1">
      <c r="A34" s="69" t="s">
        <v>285</v>
      </c>
      <c r="B34" s="48" t="s">
        <v>87</v>
      </c>
      <c r="C34" s="71" t="s">
        <v>42</v>
      </c>
      <c r="D34" s="71"/>
      <c r="E34" s="51">
        <f>'Avg master'!J24</f>
        <v>25002.66667</v>
      </c>
      <c r="F34" s="55">
        <f t="shared" si="1"/>
        <v>0.09560627671</v>
      </c>
      <c r="G34" s="71"/>
      <c r="H34" s="53">
        <v>13810.0</v>
      </c>
      <c r="I34" s="53">
        <v>10427.0</v>
      </c>
      <c r="J34" s="53">
        <v>8092.0</v>
      </c>
      <c r="K34" s="54">
        <f t="shared" si="2"/>
        <v>10776.33333</v>
      </c>
      <c r="L34" s="55">
        <f t="shared" si="3"/>
        <v>0.0925475849</v>
      </c>
      <c r="M34" s="37"/>
      <c r="N34" s="56">
        <v>12271.218120000003</v>
      </c>
      <c r="O34" s="43"/>
      <c r="P34" s="57">
        <v>13068.847297800003</v>
      </c>
      <c r="Q34" s="43"/>
      <c r="R34" s="57">
        <v>13330.224243756003</v>
      </c>
      <c r="S34" s="58">
        <f t="shared" si="4"/>
        <v>0.5331521002</v>
      </c>
      <c r="T34" s="241"/>
      <c r="U34" s="57">
        <f t="shared" si="5"/>
        <v>13730.13097</v>
      </c>
      <c r="V34" s="57">
        <f t="shared" si="6"/>
        <v>399.9067273</v>
      </c>
      <c r="W34" s="62">
        <f t="shared" si="7"/>
        <v>0.03</v>
      </c>
      <c r="X34" s="43"/>
      <c r="Y34" s="88" t="str">
        <f t="shared" si="8"/>
        <v>#REF!</v>
      </c>
      <c r="Z34" s="249" t="str">
        <f t="shared" si="9"/>
        <v>#REF!</v>
      </c>
      <c r="AA34" s="58" t="str">
        <f t="shared" si="10"/>
        <v>#REF!</v>
      </c>
      <c r="AB34" s="43"/>
      <c r="AC34" s="250">
        <v>20302.74491529497</v>
      </c>
      <c r="AD34" s="249">
        <f t="shared" si="11"/>
        <v>6572.613944</v>
      </c>
      <c r="AE34" s="58">
        <f t="shared" si="12"/>
        <v>0.8120231808</v>
      </c>
      <c r="AF34" s="58">
        <f t="shared" si="13"/>
        <v>1.884012334</v>
      </c>
      <c r="AG34" s="251"/>
      <c r="AH34" s="250" t="str">
        <f>SUM(#REF!*'FY21-22 fees'!$AH$3)</f>
        <v>#REF!</v>
      </c>
      <c r="AI34" s="249" t="str">
        <f t="shared" si="14"/>
        <v>#REF!</v>
      </c>
      <c r="AJ34" s="43"/>
      <c r="AK34" s="88" t="str">
        <f t="shared" si="15"/>
        <v>#REF!</v>
      </c>
      <c r="AL34" s="249" t="str">
        <f t="shared" si="16"/>
        <v>#REF!</v>
      </c>
      <c r="AM34" s="43"/>
      <c r="AN34" s="88" t="str">
        <f t="shared" si="17"/>
        <v>#REF!</v>
      </c>
      <c r="AO34" s="249" t="str">
        <f t="shared" si="18"/>
        <v>#REF!</v>
      </c>
      <c r="AP34" s="43"/>
      <c r="AQ34" s="88" t="str">
        <f t="shared" si="19"/>
        <v>#REF!</v>
      </c>
      <c r="AR34" s="249" t="str">
        <f t="shared" si="20"/>
        <v>#REF!</v>
      </c>
      <c r="AS34" s="43"/>
      <c r="AT34" s="88" t="str">
        <f t="shared" si="21"/>
        <v>#REF!</v>
      </c>
      <c r="AU34" s="249" t="str">
        <f t="shared" si="22"/>
        <v>#REF!</v>
      </c>
      <c r="AV34" s="43"/>
      <c r="AW34" s="88" t="str">
        <f t="shared" si="23"/>
        <v>#REF!</v>
      </c>
      <c r="AX34" s="249" t="str">
        <f t="shared" si="24"/>
        <v>#REF!</v>
      </c>
      <c r="AY34" s="249"/>
      <c r="AZ34" s="88">
        <v>18794.459743660827</v>
      </c>
      <c r="BA34" s="249">
        <v>5464.235499904824</v>
      </c>
      <c r="BB34" s="249"/>
      <c r="BC34" s="249">
        <v>19355.72800648078</v>
      </c>
      <c r="BD34" s="249">
        <v>6025.503762724775</v>
      </c>
      <c r="BE34" s="249"/>
      <c r="BF34" s="88">
        <v>17610.2840179243</v>
      </c>
      <c r="BG34" s="249">
        <v>4280.059774168296</v>
      </c>
      <c r="BH34" s="249"/>
      <c r="BI34" s="88">
        <v>17971.1915454013</v>
      </c>
      <c r="BJ34" s="249">
        <v>4640.967301645296</v>
      </c>
      <c r="BK34" s="88">
        <v>15133.071393219685</v>
      </c>
      <c r="BL34" s="249">
        <v>1802.8471494636815</v>
      </c>
      <c r="BM34" s="249"/>
      <c r="BN34" s="88">
        <v>15296.163927405654</v>
      </c>
      <c r="BO34" s="249">
        <v>1965.9396836496508</v>
      </c>
      <c r="BP34" s="249"/>
      <c r="BQ34" s="43"/>
      <c r="BR34" s="88" t="str">
        <f t="shared" si="25"/>
        <v>#REF!</v>
      </c>
      <c r="BS34" s="249" t="str">
        <f t="shared" si="26"/>
        <v>#REF!</v>
      </c>
      <c r="BT34" s="43"/>
      <c r="BU34" s="88">
        <v>18861.889150159896</v>
      </c>
      <c r="BV34" s="249">
        <v>5531.664906403892</v>
      </c>
      <c r="BW34" s="43"/>
      <c r="BX34" s="88">
        <v>19434.39564739636</v>
      </c>
      <c r="BY34" s="249">
        <v>6104.1714036403555</v>
      </c>
      <c r="BZ34" s="43"/>
      <c r="CA34" s="88">
        <v>17688.95165883988</v>
      </c>
      <c r="CB34" s="249">
        <v>4358.727415083877</v>
      </c>
      <c r="CC34" s="43"/>
      <c r="CD34" s="88">
        <v>18027.38271748386</v>
      </c>
      <c r="CE34" s="249">
        <v>4697.158473727855</v>
      </c>
      <c r="CF34" s="43"/>
      <c r="CG34" s="88">
        <v>15245.205719474605</v>
      </c>
      <c r="CH34" s="249">
        <v>1914.9814757186014</v>
      </c>
      <c r="CI34" s="43"/>
      <c r="CJ34" s="88">
        <v>15408.794289480971</v>
      </c>
      <c r="CK34" s="249">
        <v>2078.5700457249677</v>
      </c>
    </row>
    <row r="35" ht="15.75" customHeight="1">
      <c r="A35" s="69" t="s">
        <v>88</v>
      </c>
      <c r="B35" s="48" t="s">
        <v>89</v>
      </c>
      <c r="C35" s="89" t="s">
        <v>90</v>
      </c>
      <c r="D35" s="71"/>
      <c r="E35" s="51">
        <f>'Avg master'!J25</f>
        <v>1274</v>
      </c>
      <c r="F35" s="55">
        <f t="shared" si="1"/>
        <v>0.004871576226</v>
      </c>
      <c r="G35" s="71"/>
      <c r="H35" s="53">
        <v>2373.0</v>
      </c>
      <c r="I35" s="53">
        <v>2279.0</v>
      </c>
      <c r="J35" s="53">
        <v>2213.0</v>
      </c>
      <c r="K35" s="54">
        <f t="shared" si="2"/>
        <v>2288.333333</v>
      </c>
      <c r="L35" s="55">
        <f t="shared" si="3"/>
        <v>0.01965229888</v>
      </c>
      <c r="M35" s="37"/>
      <c r="N35" s="56">
        <v>2454.243624</v>
      </c>
      <c r="O35" s="43"/>
      <c r="P35" s="57">
        <v>2613.76945956</v>
      </c>
      <c r="Q35" s="43"/>
      <c r="R35" s="57">
        <v>2666.0448487512003</v>
      </c>
      <c r="S35" s="58">
        <f t="shared" si="4"/>
        <v>2.092656867</v>
      </c>
      <c r="T35" s="241"/>
      <c r="U35" s="57">
        <f t="shared" si="5"/>
        <v>2746.026194</v>
      </c>
      <c r="V35" s="57">
        <f t="shared" si="6"/>
        <v>79.98134546</v>
      </c>
      <c r="W35" s="62">
        <f t="shared" si="7"/>
        <v>0.03</v>
      </c>
      <c r="X35" s="43"/>
      <c r="Y35" s="88" t="str">
        <f t="shared" si="8"/>
        <v>#REF!</v>
      </c>
      <c r="Z35" s="249" t="str">
        <f t="shared" si="9"/>
        <v>#REF!</v>
      </c>
      <c r="AA35" s="58" t="str">
        <f t="shared" si="10"/>
        <v>#REF!</v>
      </c>
      <c r="AB35" s="43"/>
      <c r="AC35" s="250">
        <v>4311.248224303256</v>
      </c>
      <c r="AD35" s="249">
        <f t="shared" si="11"/>
        <v>1565.22203</v>
      </c>
      <c r="AE35" s="58">
        <f t="shared" si="12"/>
        <v>3.384025294</v>
      </c>
      <c r="AF35" s="58">
        <f t="shared" si="13"/>
        <v>1.884012334</v>
      </c>
      <c r="AG35" s="251"/>
      <c r="AH35" s="250" t="str">
        <f>SUM(#REF!*'FY21-22 fees'!$AH$3)</f>
        <v>#REF!</v>
      </c>
      <c r="AI35" s="249" t="str">
        <f t="shared" si="14"/>
        <v>#REF!</v>
      </c>
      <c r="AJ35" s="43"/>
      <c r="AK35" s="88" t="str">
        <f t="shared" si="15"/>
        <v>#REF!</v>
      </c>
      <c r="AL35" s="249" t="str">
        <f t="shared" si="16"/>
        <v>#REF!</v>
      </c>
      <c r="AM35" s="43"/>
      <c r="AN35" s="88" t="str">
        <f t="shared" si="17"/>
        <v>#REF!</v>
      </c>
      <c r="AO35" s="249" t="str">
        <f t="shared" si="18"/>
        <v>#REF!</v>
      </c>
      <c r="AP35" s="43"/>
      <c r="AQ35" s="88" t="str">
        <f t="shared" si="19"/>
        <v>#REF!</v>
      </c>
      <c r="AR35" s="249" t="str">
        <f t="shared" si="20"/>
        <v>#REF!</v>
      </c>
      <c r="AS35" s="43"/>
      <c r="AT35" s="88" t="str">
        <f t="shared" si="21"/>
        <v>#REF!</v>
      </c>
      <c r="AU35" s="249" t="str">
        <f t="shared" si="22"/>
        <v>#REF!</v>
      </c>
      <c r="AV35" s="43"/>
      <c r="AW35" s="88" t="str">
        <f t="shared" si="23"/>
        <v>#REF!</v>
      </c>
      <c r="AX35" s="249" t="str">
        <f t="shared" si="24"/>
        <v>#REF!</v>
      </c>
      <c r="AY35" s="249"/>
      <c r="AZ35" s="88">
        <v>2625.2325021291595</v>
      </c>
      <c r="BA35" s="249">
        <v>-40.81234662204088</v>
      </c>
      <c r="BB35" s="249"/>
      <c r="BC35" s="249">
        <v>2710.078645716385</v>
      </c>
      <c r="BD35" s="249">
        <v>44.03379696518459</v>
      </c>
      <c r="BE35" s="249"/>
      <c r="BF35" s="88">
        <v>2998.7771905751133</v>
      </c>
      <c r="BG35" s="249">
        <v>332.732341823913</v>
      </c>
      <c r="BH35" s="249"/>
      <c r="BI35" s="88">
        <v>2688.8739984138406</v>
      </c>
      <c r="BJ35" s="249">
        <v>22.829149662640248</v>
      </c>
      <c r="BK35" s="88">
        <v>3657.518107610911</v>
      </c>
      <c r="BL35" s="249">
        <v>991.4732588597108</v>
      </c>
      <c r="BM35" s="249"/>
      <c r="BN35" s="88">
        <v>3620.27311249019</v>
      </c>
      <c r="BO35" s="249">
        <v>954.2282637389899</v>
      </c>
      <c r="BP35" s="249"/>
      <c r="BQ35" s="43"/>
      <c r="BR35" s="88" t="str">
        <f t="shared" si="25"/>
        <v>#REF!</v>
      </c>
      <c r="BS35" s="249" t="str">
        <f t="shared" si="26"/>
        <v>#REF!</v>
      </c>
      <c r="BT35" s="43"/>
      <c r="BU35" s="88">
        <v>2009.740339264333</v>
      </c>
      <c r="BV35" s="249">
        <v>-656.3045094868673</v>
      </c>
      <c r="BW35" s="43"/>
      <c r="BX35" s="88">
        <v>1992.0044557074202</v>
      </c>
      <c r="BY35" s="249">
        <v>-674.0403930437801</v>
      </c>
      <c r="BZ35" s="43"/>
      <c r="CA35" s="88">
        <v>2280.703000566149</v>
      </c>
      <c r="CB35" s="249">
        <v>-385.3418481850513</v>
      </c>
      <c r="CC35" s="43"/>
      <c r="CD35" s="88">
        <v>2175.9638626931514</v>
      </c>
      <c r="CE35" s="249">
        <v>-490.0809860580489</v>
      </c>
      <c r="CF35" s="43"/>
      <c r="CG35" s="88">
        <v>2633.9617309285704</v>
      </c>
      <c r="CH35" s="249">
        <v>-32.0831178226299</v>
      </c>
      <c r="CI35" s="43"/>
      <c r="CJ35" s="88">
        <v>2592.188946289775</v>
      </c>
      <c r="CK35" s="249">
        <v>-73.85590246142556</v>
      </c>
    </row>
    <row r="36" ht="17.25" customHeight="1">
      <c r="A36" s="97" t="s">
        <v>91</v>
      </c>
      <c r="B36" s="98" t="s">
        <v>92</v>
      </c>
      <c r="C36" s="99" t="s">
        <v>54</v>
      </c>
      <c r="D36" s="71"/>
      <c r="E36" s="51">
        <f>'Avg master'!J26</f>
        <v>68.66666667</v>
      </c>
      <c r="F36" s="55">
        <f t="shared" si="1"/>
        <v>0.0002625705658</v>
      </c>
      <c r="G36" s="71"/>
      <c r="H36" s="53">
        <v>131.0</v>
      </c>
      <c r="I36" s="53">
        <v>128.0</v>
      </c>
      <c r="J36" s="53">
        <v>126.0</v>
      </c>
      <c r="K36" s="54">
        <f t="shared" si="2"/>
        <v>128.3333333</v>
      </c>
      <c r="L36" s="55">
        <f t="shared" si="3"/>
        <v>0.001102131838</v>
      </c>
      <c r="M36" s="37"/>
      <c r="N36" s="56">
        <v>923.2630776000001</v>
      </c>
      <c r="O36" s="43"/>
      <c r="P36" s="57">
        <v>983.275177644</v>
      </c>
      <c r="Q36" s="43"/>
      <c r="R36" s="57">
        <v>1002.9406811968801</v>
      </c>
      <c r="S36" s="58">
        <f t="shared" si="4"/>
        <v>14.60593225</v>
      </c>
      <c r="T36" s="241"/>
      <c r="U36" s="57">
        <f t="shared" si="5"/>
        <v>1033.028902</v>
      </c>
      <c r="V36" s="57">
        <f t="shared" si="6"/>
        <v>30.08822044</v>
      </c>
      <c r="W36" s="62">
        <f t="shared" si="7"/>
        <v>0.03</v>
      </c>
      <c r="X36" s="43"/>
      <c r="Y36" s="88" t="str">
        <f t="shared" si="8"/>
        <v>#REF!</v>
      </c>
      <c r="Z36" s="249" t="str">
        <f t="shared" si="9"/>
        <v>#REF!</v>
      </c>
      <c r="AA36" s="58" t="str">
        <f t="shared" si="10"/>
        <v>#REF!</v>
      </c>
      <c r="AB36" s="43"/>
      <c r="AC36" s="250">
        <v>241.78158286332902</v>
      </c>
      <c r="AD36" s="249">
        <f t="shared" si="11"/>
        <v>-791.2473188</v>
      </c>
      <c r="AE36" s="58">
        <f t="shared" si="12"/>
        <v>3.521091013</v>
      </c>
      <c r="AF36" s="58">
        <f t="shared" si="13"/>
        <v>1.884012334</v>
      </c>
      <c r="AG36" s="251"/>
      <c r="AH36" s="250" t="str">
        <f>SUM(#REF!*'FY21-22 fees'!$AH$3)</f>
        <v>#REF!</v>
      </c>
      <c r="AI36" s="249" t="str">
        <f t="shared" si="14"/>
        <v>#REF!</v>
      </c>
      <c r="AJ36" s="43"/>
      <c r="AK36" s="88" t="str">
        <f t="shared" si="15"/>
        <v>#REF!</v>
      </c>
      <c r="AL36" s="249" t="str">
        <f t="shared" si="16"/>
        <v>#REF!</v>
      </c>
      <c r="AM36" s="43"/>
      <c r="AN36" s="88" t="str">
        <f t="shared" si="17"/>
        <v>#REF!</v>
      </c>
      <c r="AO36" s="249" t="str">
        <f t="shared" si="18"/>
        <v>#REF!</v>
      </c>
      <c r="AP36" s="43"/>
      <c r="AQ36" s="88" t="str">
        <f t="shared" si="19"/>
        <v>#REF!</v>
      </c>
      <c r="AR36" s="249" t="str">
        <f t="shared" si="20"/>
        <v>#REF!</v>
      </c>
      <c r="AS36" s="43"/>
      <c r="AT36" s="88" t="str">
        <f t="shared" si="21"/>
        <v>#REF!</v>
      </c>
      <c r="AU36" s="249" t="str">
        <f t="shared" si="22"/>
        <v>#REF!</v>
      </c>
      <c r="AV36" s="43"/>
      <c r="AW36" s="88" t="str">
        <f t="shared" si="23"/>
        <v>#REF!</v>
      </c>
      <c r="AX36" s="249" t="str">
        <f t="shared" si="24"/>
        <v>#REF!</v>
      </c>
      <c r="AY36" s="249"/>
      <c r="AZ36" s="88">
        <v>1213.6680201296558</v>
      </c>
      <c r="BA36" s="249">
        <v>210.72733893277575</v>
      </c>
      <c r="BB36" s="249"/>
      <c r="BC36" s="249">
        <v>1027.7935146961029</v>
      </c>
      <c r="BD36" s="249">
        <v>24.85283349922281</v>
      </c>
      <c r="BE36" s="249"/>
      <c r="BF36" s="88">
        <v>1359.0097259936567</v>
      </c>
      <c r="BG36" s="249">
        <v>356.06904479677667</v>
      </c>
      <c r="BH36" s="249"/>
      <c r="BI36" s="88">
        <v>1353.5253327279338</v>
      </c>
      <c r="BJ36" s="249">
        <v>350.58465153105374</v>
      </c>
      <c r="BK36" s="88">
        <v>1833.2288593409776</v>
      </c>
      <c r="BL36" s="249">
        <v>830.2881781440975</v>
      </c>
      <c r="BM36" s="249"/>
      <c r="BN36" s="88">
        <v>1844.3272827755768</v>
      </c>
      <c r="BO36" s="249">
        <v>841.3866015786967</v>
      </c>
      <c r="BP36" s="249"/>
      <c r="BQ36" s="43"/>
      <c r="BR36" s="88" t="str">
        <f t="shared" si="25"/>
        <v>#REF!</v>
      </c>
      <c r="BS36" s="249" t="str">
        <f t="shared" si="26"/>
        <v>#REF!</v>
      </c>
      <c r="BT36" s="43"/>
      <c r="BU36" s="88">
        <v>1179.1502513455396</v>
      </c>
      <c r="BV36" s="249">
        <v>176.2095701486595</v>
      </c>
      <c r="BW36" s="43"/>
      <c r="BX36" s="88">
        <v>987.5227844479672</v>
      </c>
      <c r="BY36" s="249">
        <v>-15.41789674891288</v>
      </c>
      <c r="BZ36" s="43"/>
      <c r="CA36" s="88">
        <v>1318.7389957455212</v>
      </c>
      <c r="CB36" s="249">
        <v>315.7983145486411</v>
      </c>
      <c r="CC36" s="43"/>
      <c r="CD36" s="88">
        <v>1324.7605254078371</v>
      </c>
      <c r="CE36" s="249">
        <v>321.81984421095706</v>
      </c>
      <c r="CF36" s="43"/>
      <c r="CG36" s="88">
        <v>1775.826207480424</v>
      </c>
      <c r="CH36" s="249">
        <v>772.885526283544</v>
      </c>
      <c r="CI36" s="43"/>
      <c r="CJ36" s="88">
        <v>1786.670705355743</v>
      </c>
      <c r="CK36" s="249">
        <v>783.7300241588629</v>
      </c>
    </row>
    <row r="37" ht="15.75" customHeight="1">
      <c r="A37" s="100" t="s">
        <v>93</v>
      </c>
      <c r="B37" s="98" t="s">
        <v>94</v>
      </c>
      <c r="C37" s="101" t="s">
        <v>39</v>
      </c>
      <c r="D37" s="50"/>
      <c r="E37" s="51">
        <f>'Avg master'!J27</f>
        <v>857.3333333</v>
      </c>
      <c r="F37" s="55">
        <f t="shared" si="1"/>
        <v>0.00327830823</v>
      </c>
      <c r="G37" s="50"/>
      <c r="H37" s="53">
        <v>385.0</v>
      </c>
      <c r="I37" s="53">
        <v>316.0</v>
      </c>
      <c r="J37" s="53">
        <v>237.0</v>
      </c>
      <c r="K37" s="54">
        <f t="shared" si="2"/>
        <v>312.6666667</v>
      </c>
      <c r="L37" s="55">
        <f t="shared" si="3"/>
        <v>0.002685193932</v>
      </c>
      <c r="M37" s="37"/>
      <c r="N37" s="102"/>
      <c r="O37" s="43"/>
      <c r="P37" s="103">
        <v>1568.745</v>
      </c>
      <c r="Q37" s="43"/>
      <c r="R37" s="103">
        <v>1600.1199</v>
      </c>
      <c r="S37" s="58">
        <f t="shared" si="4"/>
        <v>1.866391796</v>
      </c>
      <c r="T37" s="241"/>
      <c r="U37" s="57">
        <f t="shared" si="5"/>
        <v>1648.123497</v>
      </c>
      <c r="V37" s="57">
        <f t="shared" si="6"/>
        <v>48.003597</v>
      </c>
      <c r="W37" s="62">
        <f t="shared" si="7"/>
        <v>0.03</v>
      </c>
      <c r="X37" s="43"/>
      <c r="Y37" s="88" t="str">
        <f t="shared" si="8"/>
        <v>#REF!</v>
      </c>
      <c r="Z37" s="249" t="str">
        <f t="shared" si="9"/>
        <v>#REF!</v>
      </c>
      <c r="AA37" s="58" t="str">
        <f t="shared" si="10"/>
        <v>#REF!</v>
      </c>
      <c r="AB37" s="43"/>
      <c r="AC37" s="250">
        <v>589.0678564306562</v>
      </c>
      <c r="AD37" s="249">
        <f t="shared" si="11"/>
        <v>-1059.055641</v>
      </c>
      <c r="AE37" s="58">
        <f t="shared" si="12"/>
        <v>0.6870931451</v>
      </c>
      <c r="AF37" s="58">
        <f t="shared" si="13"/>
        <v>1.884012334</v>
      </c>
      <c r="AG37" s="251"/>
      <c r="AH37" s="250" t="str">
        <f>SUM(#REF!*'FY21-22 fees'!$AH$3)</f>
        <v>#REF!</v>
      </c>
      <c r="AI37" s="249" t="str">
        <f t="shared" si="14"/>
        <v>#REF!</v>
      </c>
      <c r="AJ37" s="43"/>
      <c r="AK37" s="88" t="str">
        <f t="shared" si="15"/>
        <v>#REF!</v>
      </c>
      <c r="AL37" s="249" t="str">
        <f t="shared" si="16"/>
        <v>#REF!</v>
      </c>
      <c r="AM37" s="43"/>
      <c r="AN37" s="88" t="str">
        <f t="shared" si="17"/>
        <v>#REF!</v>
      </c>
      <c r="AO37" s="249" t="str">
        <f t="shared" si="18"/>
        <v>#REF!</v>
      </c>
      <c r="AP37" s="43"/>
      <c r="AQ37" s="88" t="str">
        <f t="shared" si="19"/>
        <v>#REF!</v>
      </c>
      <c r="AR37" s="249" t="str">
        <f t="shared" si="20"/>
        <v>#REF!</v>
      </c>
      <c r="AS37" s="43"/>
      <c r="AT37" s="88" t="str">
        <f t="shared" si="21"/>
        <v>#REF!</v>
      </c>
      <c r="AU37" s="249" t="str">
        <f t="shared" si="22"/>
        <v>#REF!</v>
      </c>
      <c r="AV37" s="43"/>
      <c r="AW37" s="88" t="str">
        <f t="shared" si="23"/>
        <v>#REF!</v>
      </c>
      <c r="AX37" s="249" t="str">
        <f t="shared" si="24"/>
        <v>#REF!</v>
      </c>
      <c r="AY37" s="249"/>
      <c r="AZ37" s="88">
        <v>1433.70431168099</v>
      </c>
      <c r="BA37" s="249">
        <v>-166.41558831900988</v>
      </c>
      <c r="BB37" s="249"/>
      <c r="BC37" s="249">
        <v>1151.0738403066525</v>
      </c>
      <c r="BD37" s="249">
        <v>-449.0460596933474</v>
      </c>
      <c r="BE37" s="249"/>
      <c r="BF37" s="88">
        <v>1461.650987670783</v>
      </c>
      <c r="BG37" s="249">
        <v>-138.4689123292169</v>
      </c>
      <c r="BH37" s="249"/>
      <c r="BI37" s="88">
        <v>1447.1982717134977</v>
      </c>
      <c r="BJ37" s="249">
        <v>-152.92162828650225</v>
      </c>
      <c r="BK37" s="88">
        <v>2170.721218832132</v>
      </c>
      <c r="BL37" s="249">
        <v>570.6013188321319</v>
      </c>
      <c r="BM37" s="249"/>
      <c r="BN37" s="88">
        <v>2245.223051146192</v>
      </c>
      <c r="BO37" s="249">
        <v>645.1031511461922</v>
      </c>
      <c r="BP37" s="249"/>
      <c r="BQ37" s="43"/>
      <c r="BR37" s="88" t="str">
        <f t="shared" si="25"/>
        <v>#REF!</v>
      </c>
      <c r="BS37" s="249" t="str">
        <f t="shared" si="26"/>
        <v>#REF!</v>
      </c>
      <c r="BT37" s="43"/>
      <c r="BU37" s="88">
        <v>1482.5186599762026</v>
      </c>
      <c r="BV37" s="249">
        <v>-117.60124002379735</v>
      </c>
      <c r="BW37" s="43"/>
      <c r="BX37" s="88">
        <v>1208.0239133177338</v>
      </c>
      <c r="BY37" s="249">
        <v>-392.09598668226613</v>
      </c>
      <c r="BZ37" s="43"/>
      <c r="CA37" s="88">
        <v>1518.6010606818645</v>
      </c>
      <c r="CB37" s="249">
        <v>-81.5188393181354</v>
      </c>
      <c r="CC37" s="43"/>
      <c r="CD37" s="88">
        <v>1487.8768952928415</v>
      </c>
      <c r="CE37" s="249">
        <v>-112.24300470715843</v>
      </c>
      <c r="CF37" s="43"/>
      <c r="CG37" s="88">
        <v>2251.8989177301933</v>
      </c>
      <c r="CH37" s="249">
        <v>651.7790177301933</v>
      </c>
      <c r="CI37" s="43"/>
      <c r="CJ37" s="88">
        <v>2326.7598465655055</v>
      </c>
      <c r="CK37" s="249">
        <v>726.6399465655056</v>
      </c>
    </row>
    <row r="38" ht="15.75" customHeight="1">
      <c r="A38" s="69" t="s">
        <v>95</v>
      </c>
      <c r="B38" s="76" t="s">
        <v>96</v>
      </c>
      <c r="C38" s="50" t="s">
        <v>59</v>
      </c>
      <c r="D38" s="71"/>
      <c r="E38" s="51">
        <f>'Avg master'!J28</f>
        <v>2</v>
      </c>
      <c r="F38" s="55">
        <f t="shared" si="1"/>
        <v>0.000007647686384</v>
      </c>
      <c r="G38" s="71"/>
      <c r="H38" s="53">
        <v>2.0</v>
      </c>
      <c r="I38" s="53">
        <v>2.0</v>
      </c>
      <c r="J38" s="53">
        <v>2.0</v>
      </c>
      <c r="K38" s="54">
        <f t="shared" si="2"/>
        <v>2</v>
      </c>
      <c r="L38" s="55">
        <f t="shared" si="3"/>
        <v>0.00001717608059</v>
      </c>
      <c r="M38" s="37"/>
      <c r="N38" s="56">
        <v>368.1365436000001</v>
      </c>
      <c r="O38" s="43"/>
      <c r="P38" s="57">
        <v>392.0654189340001</v>
      </c>
      <c r="Q38" s="43"/>
      <c r="R38" s="57">
        <v>399.9067273126801</v>
      </c>
      <c r="S38" s="58">
        <f t="shared" si="4"/>
        <v>199.9533637</v>
      </c>
      <c r="T38" s="241"/>
      <c r="U38" s="57">
        <f t="shared" si="5"/>
        <v>411.9039291</v>
      </c>
      <c r="V38" s="57">
        <f t="shared" si="6"/>
        <v>11.99720182</v>
      </c>
      <c r="W38" s="62">
        <f t="shared" si="7"/>
        <v>0.03</v>
      </c>
      <c r="X38" s="43"/>
      <c r="Y38" s="88" t="str">
        <f t="shared" si="8"/>
        <v>#REF!</v>
      </c>
      <c r="Z38" s="249" t="str">
        <f t="shared" si="9"/>
        <v>#REF!</v>
      </c>
      <c r="AA38" s="58" t="str">
        <f t="shared" si="10"/>
        <v>#REF!</v>
      </c>
      <c r="AB38" s="43"/>
      <c r="AC38" s="250">
        <v>3.7680246679999327</v>
      </c>
      <c r="AD38" s="249">
        <f t="shared" si="11"/>
        <v>-408.1359045</v>
      </c>
      <c r="AE38" s="58">
        <f t="shared" si="12"/>
        <v>1.884012334</v>
      </c>
      <c r="AF38" s="58">
        <f t="shared" si="13"/>
        <v>1.884012334</v>
      </c>
      <c r="AG38" s="251"/>
      <c r="AH38" s="250" t="str">
        <f>SUM(#REF!*'FY21-22 fees'!$AH$3)</f>
        <v>#REF!</v>
      </c>
      <c r="AI38" s="249" t="str">
        <f t="shared" si="14"/>
        <v>#REF!</v>
      </c>
      <c r="AJ38" s="43"/>
      <c r="AK38" s="88" t="str">
        <f t="shared" si="15"/>
        <v>#REF!</v>
      </c>
      <c r="AL38" s="249" t="str">
        <f t="shared" si="16"/>
        <v>#REF!</v>
      </c>
      <c r="AM38" s="43"/>
      <c r="AN38" s="88" t="str">
        <f t="shared" si="17"/>
        <v>#REF!</v>
      </c>
      <c r="AO38" s="249" t="str">
        <f t="shared" si="18"/>
        <v>#REF!</v>
      </c>
      <c r="AP38" s="43"/>
      <c r="AQ38" s="88" t="str">
        <f t="shared" si="19"/>
        <v>#REF!</v>
      </c>
      <c r="AR38" s="249" t="str">
        <f t="shared" si="20"/>
        <v>#REF!</v>
      </c>
      <c r="AS38" s="43"/>
      <c r="AT38" s="88" t="str">
        <f t="shared" si="21"/>
        <v>#REF!</v>
      </c>
      <c r="AU38" s="249" t="str">
        <f t="shared" si="22"/>
        <v>#REF!</v>
      </c>
      <c r="AV38" s="43"/>
      <c r="AW38" s="252" t="str">
        <f t="shared" si="23"/>
        <v>#REF!</v>
      </c>
      <c r="AX38" s="249" t="str">
        <f t="shared" si="24"/>
        <v>#REF!</v>
      </c>
      <c r="AY38" s="249"/>
      <c r="AZ38" s="252">
        <v>952.911376099382</v>
      </c>
      <c r="BA38" s="249">
        <v>553.0046487867019</v>
      </c>
      <c r="BB38" s="249"/>
      <c r="BC38" s="249">
        <v>634.0379437341502</v>
      </c>
      <c r="BD38" s="249">
        <v>234.13121642147007</v>
      </c>
      <c r="BE38" s="249"/>
      <c r="BF38" s="252">
        <v>979.8149997025349</v>
      </c>
      <c r="BG38" s="249">
        <v>579.9082723898548</v>
      </c>
      <c r="BH38" s="249"/>
      <c r="BI38" s="252">
        <v>980.0612618218036</v>
      </c>
      <c r="BJ38" s="249">
        <v>580.1545345091234</v>
      </c>
      <c r="BK38" s="252">
        <v>1756.4960558147345</v>
      </c>
      <c r="BL38" s="249">
        <v>1356.5893285020543</v>
      </c>
      <c r="BM38" s="249"/>
      <c r="BN38" s="252">
        <v>1796.1466637605167</v>
      </c>
      <c r="BO38" s="249">
        <v>1396.2399364478365</v>
      </c>
      <c r="BP38" s="249"/>
      <c r="BQ38" s="43"/>
      <c r="BR38" s="88" t="str">
        <f t="shared" si="25"/>
        <v>#REF!</v>
      </c>
      <c r="BS38" s="249" t="str">
        <f t="shared" si="26"/>
        <v>#REF!</v>
      </c>
      <c r="BT38" s="43"/>
      <c r="BU38" s="88">
        <v>952.3734368456035</v>
      </c>
      <c r="BV38" s="249">
        <v>552.4667095329233</v>
      </c>
      <c r="BW38" s="43"/>
      <c r="BX38" s="88">
        <v>633.4103479380753</v>
      </c>
      <c r="BY38" s="249">
        <v>233.50362062539523</v>
      </c>
      <c r="BZ38" s="43"/>
      <c r="CA38" s="88">
        <v>979.1874039064601</v>
      </c>
      <c r="CB38" s="249">
        <v>579.28067659378</v>
      </c>
      <c r="CC38" s="43"/>
      <c r="CD38" s="88">
        <v>979.6129791103215</v>
      </c>
      <c r="CE38" s="249">
        <v>579.7062517976414</v>
      </c>
      <c r="CF38" s="43"/>
      <c r="CG38" s="88">
        <v>1755.601469032492</v>
      </c>
      <c r="CH38" s="249">
        <v>1355.694741719812</v>
      </c>
      <c r="CI38" s="43"/>
      <c r="CJ38" s="88">
        <v>1795.248119696831</v>
      </c>
      <c r="CK38" s="249">
        <v>1395.3413923841508</v>
      </c>
    </row>
    <row r="39" ht="15.75" customHeight="1">
      <c r="A39" s="69" t="s">
        <v>97</v>
      </c>
      <c r="B39" s="48" t="s">
        <v>98</v>
      </c>
      <c r="C39" s="104" t="s">
        <v>39</v>
      </c>
      <c r="D39" s="71"/>
      <c r="E39" s="51">
        <f>'Avg master'!J29</f>
        <v>1132.666667</v>
      </c>
      <c r="F39" s="55">
        <f t="shared" si="1"/>
        <v>0.004331139722</v>
      </c>
      <c r="G39" s="71"/>
      <c r="H39" s="53">
        <v>827.0</v>
      </c>
      <c r="I39" s="53">
        <v>608.0</v>
      </c>
      <c r="J39" s="53">
        <v>475.0</v>
      </c>
      <c r="K39" s="54">
        <f t="shared" si="2"/>
        <v>636.6666667</v>
      </c>
      <c r="L39" s="55">
        <f t="shared" si="3"/>
        <v>0.005467718988</v>
      </c>
      <c r="M39" s="37"/>
      <c r="N39" s="56">
        <v>1473.0</v>
      </c>
      <c r="O39" s="43"/>
      <c r="P39" s="57">
        <v>1568.745</v>
      </c>
      <c r="Q39" s="43"/>
      <c r="R39" s="57">
        <v>1600.1199</v>
      </c>
      <c r="S39" s="58">
        <f t="shared" si="4"/>
        <v>1.412701501</v>
      </c>
      <c r="T39" s="241"/>
      <c r="U39" s="57">
        <f t="shared" si="5"/>
        <v>1648.123497</v>
      </c>
      <c r="V39" s="57">
        <f t="shared" si="6"/>
        <v>48.003597</v>
      </c>
      <c r="W39" s="62">
        <f t="shared" si="7"/>
        <v>0.03</v>
      </c>
      <c r="X39" s="43"/>
      <c r="Y39" s="88" t="str">
        <f t="shared" si="8"/>
        <v>#REF!</v>
      </c>
      <c r="Z39" s="249" t="str">
        <f t="shared" si="9"/>
        <v>#REF!</v>
      </c>
      <c r="AA39" s="58" t="str">
        <f t="shared" si="10"/>
        <v>#REF!</v>
      </c>
      <c r="AB39" s="43"/>
      <c r="AC39" s="250">
        <v>1199.487852646645</v>
      </c>
      <c r="AD39" s="249">
        <f t="shared" si="11"/>
        <v>-448.6356444</v>
      </c>
      <c r="AE39" s="58">
        <f t="shared" si="12"/>
        <v>1.058994573</v>
      </c>
      <c r="AF39" s="58">
        <f t="shared" si="13"/>
        <v>1.884012334</v>
      </c>
      <c r="AG39" s="251"/>
      <c r="AH39" s="250" t="str">
        <f>SUM(#REF!*'FY21-22 fees'!$AH$3)</f>
        <v>#REF!</v>
      </c>
      <c r="AI39" s="249" t="str">
        <f t="shared" si="14"/>
        <v>#REF!</v>
      </c>
      <c r="AJ39" s="43"/>
      <c r="AK39" s="88" t="str">
        <f t="shared" si="15"/>
        <v>#REF!</v>
      </c>
      <c r="AL39" s="249" t="str">
        <f t="shared" si="16"/>
        <v>#REF!</v>
      </c>
      <c r="AM39" s="43"/>
      <c r="AN39" s="88" t="str">
        <f t="shared" si="17"/>
        <v>#REF!</v>
      </c>
      <c r="AO39" s="249" t="str">
        <f t="shared" si="18"/>
        <v>#REF!</v>
      </c>
      <c r="AP39" s="43"/>
      <c r="AQ39" s="88" t="str">
        <f t="shared" si="19"/>
        <v>#REF!</v>
      </c>
      <c r="AR39" s="249" t="str">
        <f t="shared" si="20"/>
        <v>#REF!</v>
      </c>
      <c r="AS39" s="43"/>
      <c r="AT39" s="88" t="str">
        <f t="shared" si="21"/>
        <v>#REF!</v>
      </c>
      <c r="AU39" s="249" t="str">
        <f t="shared" si="22"/>
        <v>#REF!</v>
      </c>
      <c r="AV39" s="43"/>
      <c r="AW39" s="88" t="str">
        <f t="shared" si="23"/>
        <v>#REF!</v>
      </c>
      <c r="AX39" s="249" t="str">
        <f t="shared" si="24"/>
        <v>#REF!</v>
      </c>
      <c r="AY39" s="249"/>
      <c r="AZ39" s="88">
        <v>2697.56077018292</v>
      </c>
      <c r="BA39" s="249">
        <v>1097.44087018292</v>
      </c>
      <c r="BB39" s="249"/>
      <c r="BC39" s="249">
        <v>2526.2756549627265</v>
      </c>
      <c r="BD39" s="249">
        <v>926.1557549627266</v>
      </c>
      <c r="BE39" s="249"/>
      <c r="BF39" s="88">
        <v>2716.393547850016</v>
      </c>
      <c r="BG39" s="249">
        <v>1116.2736478500162</v>
      </c>
      <c r="BH39" s="249"/>
      <c r="BI39" s="88">
        <v>2770.3596165694153</v>
      </c>
      <c r="BJ39" s="249">
        <v>1170.2397165694154</v>
      </c>
      <c r="BK39" s="88">
        <v>2857.8744871567715</v>
      </c>
      <c r="BL39" s="249">
        <v>1257.7545871567715</v>
      </c>
      <c r="BM39" s="249"/>
      <c r="BN39" s="88">
        <v>3134.524806687534</v>
      </c>
      <c r="BO39" s="249">
        <v>1534.4049066875339</v>
      </c>
      <c r="BP39" s="249"/>
      <c r="BQ39" s="43"/>
      <c r="BR39" s="88" t="str">
        <f t="shared" si="25"/>
        <v>#REF!</v>
      </c>
      <c r="BS39" s="249" t="str">
        <f t="shared" si="26"/>
        <v>#REF!</v>
      </c>
      <c r="BT39" s="43"/>
      <c r="BU39" s="88">
        <v>2676.4727719381162</v>
      </c>
      <c r="BV39" s="249">
        <v>1076.3528719381163</v>
      </c>
      <c r="BW39" s="43"/>
      <c r="BX39" s="88">
        <v>2501.672990343789</v>
      </c>
      <c r="BY39" s="249">
        <v>901.5530903437891</v>
      </c>
      <c r="BZ39" s="43"/>
      <c r="CA39" s="88">
        <v>2691.7908832310786</v>
      </c>
      <c r="CB39" s="249">
        <v>1091.6709832310787</v>
      </c>
      <c r="CC39" s="43"/>
      <c r="CD39" s="88">
        <v>2752.7862846987455</v>
      </c>
      <c r="CE39" s="249">
        <v>1152.6663846987456</v>
      </c>
      <c r="CF39" s="43"/>
      <c r="CG39" s="88">
        <v>2822.805388998856</v>
      </c>
      <c r="CH39" s="249">
        <v>1222.685488998856</v>
      </c>
      <c r="CI39" s="43"/>
      <c r="CJ39" s="88">
        <v>3099.300577362772</v>
      </c>
      <c r="CK39" s="249">
        <v>1499.180677362772</v>
      </c>
    </row>
    <row r="40" ht="15.75" customHeight="1">
      <c r="A40" s="80" t="s">
        <v>99</v>
      </c>
      <c r="B40" s="76" t="s">
        <v>100</v>
      </c>
      <c r="C40" s="50" t="s">
        <v>59</v>
      </c>
      <c r="D40" s="50"/>
      <c r="E40" s="51">
        <f>'Avg master'!J30</f>
        <v>1</v>
      </c>
      <c r="F40" s="55">
        <f t="shared" si="1"/>
        <v>0.000003823843192</v>
      </c>
      <c r="G40" s="50"/>
      <c r="H40" s="53">
        <v>1.0</v>
      </c>
      <c r="I40" s="53">
        <v>1.0</v>
      </c>
      <c r="J40" s="53">
        <v>1.0</v>
      </c>
      <c r="K40" s="54">
        <f t="shared" si="2"/>
        <v>1</v>
      </c>
      <c r="L40" s="55">
        <f t="shared" si="3"/>
        <v>0.000008588040295</v>
      </c>
      <c r="M40" s="37"/>
      <c r="N40" s="56">
        <v>368.1365436000001</v>
      </c>
      <c r="O40" s="43"/>
      <c r="P40" s="57">
        <v>392.0654189340001</v>
      </c>
      <c r="Q40" s="43"/>
      <c r="R40" s="57">
        <v>399.9067273126801</v>
      </c>
      <c r="S40" s="58">
        <f t="shared" si="4"/>
        <v>399.9067273</v>
      </c>
      <c r="T40" s="241"/>
      <c r="U40" s="57">
        <f t="shared" si="5"/>
        <v>411.9039291</v>
      </c>
      <c r="V40" s="57">
        <f t="shared" si="6"/>
        <v>11.99720182</v>
      </c>
      <c r="W40" s="62">
        <f t="shared" si="7"/>
        <v>0.03</v>
      </c>
      <c r="X40" s="43"/>
      <c r="Y40" s="88" t="str">
        <f t="shared" si="8"/>
        <v>#REF!</v>
      </c>
      <c r="Z40" s="249" t="str">
        <f t="shared" si="9"/>
        <v>#REF!</v>
      </c>
      <c r="AA40" s="58" t="str">
        <f t="shared" si="10"/>
        <v>#REF!</v>
      </c>
      <c r="AB40" s="43"/>
      <c r="AC40" s="250">
        <v>1.8840123339999664</v>
      </c>
      <c r="AD40" s="249">
        <f t="shared" si="11"/>
        <v>-410.0199168</v>
      </c>
      <c r="AE40" s="58">
        <f t="shared" si="12"/>
        <v>1.884012334</v>
      </c>
      <c r="AF40" s="58">
        <f t="shared" si="13"/>
        <v>1.884012334</v>
      </c>
      <c r="AG40" s="251"/>
      <c r="AH40" s="250" t="str">
        <f>SUM(#REF!*'FY21-22 fees'!$AH$3)</f>
        <v>#REF!</v>
      </c>
      <c r="AI40" s="249" t="str">
        <f t="shared" si="14"/>
        <v>#REF!</v>
      </c>
      <c r="AJ40" s="43"/>
      <c r="AK40" s="88" t="str">
        <f t="shared" si="15"/>
        <v>#REF!</v>
      </c>
      <c r="AL40" s="249" t="str">
        <f t="shared" si="16"/>
        <v>#REF!</v>
      </c>
      <c r="AM40" s="43"/>
      <c r="AN40" s="88" t="str">
        <f t="shared" si="17"/>
        <v>#REF!</v>
      </c>
      <c r="AO40" s="249" t="str">
        <f t="shared" si="18"/>
        <v>#REF!</v>
      </c>
      <c r="AP40" s="43"/>
      <c r="AQ40" s="88" t="str">
        <f t="shared" si="19"/>
        <v>#REF!</v>
      </c>
      <c r="AR40" s="249" t="str">
        <f t="shared" si="20"/>
        <v>#REF!</v>
      </c>
      <c r="AS40" s="43"/>
      <c r="AT40" s="88" t="str">
        <f t="shared" si="21"/>
        <v>#REF!</v>
      </c>
      <c r="AU40" s="249" t="str">
        <f t="shared" si="22"/>
        <v>#REF!</v>
      </c>
      <c r="AV40" s="43"/>
      <c r="AW40" s="252" t="str">
        <f t="shared" si="23"/>
        <v>#REF!</v>
      </c>
      <c r="AX40" s="249" t="str">
        <f t="shared" si="24"/>
        <v>#REF!</v>
      </c>
      <c r="AY40" s="249"/>
      <c r="AZ40" s="252">
        <v>906.9296763672926</v>
      </c>
      <c r="BA40" s="249">
        <v>507.02294905461247</v>
      </c>
      <c r="BB40" s="249"/>
      <c r="BC40" s="249">
        <v>587.7230510297462</v>
      </c>
      <c r="BD40" s="249">
        <v>187.8163237170661</v>
      </c>
      <c r="BE40" s="249"/>
      <c r="BF40" s="252">
        <v>934.0676065853017</v>
      </c>
      <c r="BG40" s="249">
        <v>534.1608792726216</v>
      </c>
      <c r="BH40" s="249"/>
      <c r="BI40" s="252">
        <v>933.9069878513507</v>
      </c>
      <c r="BJ40" s="249">
        <v>534.0002605386705</v>
      </c>
      <c r="BK40" s="252">
        <v>1728.702339831458</v>
      </c>
      <c r="BL40" s="249">
        <v>1328.795612518778</v>
      </c>
      <c r="BM40" s="249"/>
      <c r="BN40" s="252">
        <v>1736.3494030636084</v>
      </c>
      <c r="BO40" s="249">
        <v>1336.4426757509282</v>
      </c>
      <c r="BP40" s="249"/>
      <c r="BQ40" s="43"/>
      <c r="BR40" s="88" t="str">
        <f t="shared" si="25"/>
        <v>#REF!</v>
      </c>
      <c r="BS40" s="249" t="str">
        <f t="shared" si="26"/>
        <v>#REF!</v>
      </c>
      <c r="BT40" s="43"/>
      <c r="BU40" s="88">
        <v>906.6607067404034</v>
      </c>
      <c r="BV40" s="249">
        <v>506.75397942772327</v>
      </c>
      <c r="BW40" s="43"/>
      <c r="BX40" s="88">
        <v>587.4092531317089</v>
      </c>
      <c r="BY40" s="249">
        <v>187.50252581902873</v>
      </c>
      <c r="BZ40" s="43"/>
      <c r="CA40" s="88">
        <v>933.7538086872644</v>
      </c>
      <c r="CB40" s="249">
        <v>533.8470813745843</v>
      </c>
      <c r="CC40" s="43"/>
      <c r="CD40" s="88">
        <v>933.6828464956097</v>
      </c>
      <c r="CE40" s="249">
        <v>533.7761191829296</v>
      </c>
      <c r="CF40" s="43"/>
      <c r="CG40" s="88">
        <v>1728.2550464403369</v>
      </c>
      <c r="CH40" s="249">
        <v>1328.3483191276569</v>
      </c>
      <c r="CI40" s="43"/>
      <c r="CJ40" s="88">
        <v>1735.9001310317656</v>
      </c>
      <c r="CK40" s="249">
        <v>1335.9934037190856</v>
      </c>
    </row>
    <row r="41" ht="15.75" customHeight="1">
      <c r="A41" s="72" t="s">
        <v>101</v>
      </c>
      <c r="B41" s="75" t="s">
        <v>102</v>
      </c>
      <c r="C41" s="105" t="s">
        <v>48</v>
      </c>
      <c r="D41" s="106"/>
      <c r="E41" s="51">
        <f>'Avg master'!J31</f>
        <v>1714.333333</v>
      </c>
      <c r="F41" s="55">
        <f t="shared" si="1"/>
        <v>0.006555341845</v>
      </c>
      <c r="G41" s="106"/>
      <c r="H41" s="53">
        <v>2443.0</v>
      </c>
      <c r="I41" s="53">
        <v>1271.0</v>
      </c>
      <c r="J41" s="53">
        <v>696.0</v>
      </c>
      <c r="K41" s="54">
        <f t="shared" si="2"/>
        <v>1470</v>
      </c>
      <c r="L41" s="55">
        <f t="shared" si="3"/>
        <v>0.01262441923</v>
      </c>
      <c r="M41" s="37"/>
      <c r="N41" s="56">
        <v>4908.487248</v>
      </c>
      <c r="O41" s="43"/>
      <c r="P41" s="57">
        <v>5227.53891912</v>
      </c>
      <c r="Q41" s="43"/>
      <c r="R41" s="57">
        <v>5332.089697502401</v>
      </c>
      <c r="S41" s="58">
        <f t="shared" si="4"/>
        <v>3.11029926</v>
      </c>
      <c r="T41" s="241"/>
      <c r="U41" s="57">
        <f t="shared" si="5"/>
        <v>5492.052388</v>
      </c>
      <c r="V41" s="57">
        <f t="shared" si="6"/>
        <v>159.9626909</v>
      </c>
      <c r="W41" s="62">
        <f t="shared" si="7"/>
        <v>0.03</v>
      </c>
      <c r="X41" s="43"/>
      <c r="Y41" s="88" t="str">
        <f t="shared" si="8"/>
        <v>#REF!</v>
      </c>
      <c r="Z41" s="249" t="str">
        <f t="shared" si="9"/>
        <v>#REF!</v>
      </c>
      <c r="AA41" s="58" t="str">
        <f t="shared" si="10"/>
        <v>#REF!</v>
      </c>
      <c r="AB41" s="43"/>
      <c r="AC41" s="250">
        <v>2769.49813097995</v>
      </c>
      <c r="AD41" s="249">
        <f t="shared" si="11"/>
        <v>-2722.554257</v>
      </c>
      <c r="AE41" s="58">
        <f t="shared" si="12"/>
        <v>1.615495702</v>
      </c>
      <c r="AF41" s="58">
        <f t="shared" si="13"/>
        <v>1.884012334</v>
      </c>
      <c r="AG41" s="251"/>
      <c r="AH41" s="250" t="str">
        <f>SUM(#REF!*'FY21-22 fees'!$AH$3)</f>
        <v>#REF!</v>
      </c>
      <c r="AI41" s="249" t="str">
        <f t="shared" si="14"/>
        <v>#REF!</v>
      </c>
      <c r="AJ41" s="43"/>
      <c r="AK41" s="88" t="str">
        <f t="shared" si="15"/>
        <v>#REF!</v>
      </c>
      <c r="AL41" s="249" t="str">
        <f t="shared" si="16"/>
        <v>#REF!</v>
      </c>
      <c r="AM41" s="43"/>
      <c r="AN41" s="88" t="str">
        <f t="shared" si="17"/>
        <v>#REF!</v>
      </c>
      <c r="AO41" s="249" t="str">
        <f t="shared" si="18"/>
        <v>#REF!</v>
      </c>
      <c r="AP41" s="43"/>
      <c r="AQ41" s="88" t="str">
        <f t="shared" si="19"/>
        <v>#REF!</v>
      </c>
      <c r="AR41" s="249" t="str">
        <f t="shared" si="20"/>
        <v>#REF!</v>
      </c>
      <c r="AS41" s="43"/>
      <c r="AT41" s="88" t="str">
        <f t="shared" si="21"/>
        <v>#REF!</v>
      </c>
      <c r="AU41" s="249" t="str">
        <f t="shared" si="22"/>
        <v>#REF!</v>
      </c>
      <c r="AV41" s="43"/>
      <c r="AW41" s="88" t="str">
        <f t="shared" si="23"/>
        <v>#REF!</v>
      </c>
      <c r="AX41" s="249" t="str">
        <f t="shared" si="24"/>
        <v>#REF!</v>
      </c>
      <c r="AY41" s="249"/>
      <c r="AZ41" s="88">
        <v>1769.9320249335822</v>
      </c>
      <c r="BA41" s="249">
        <v>-3562.1576725688183</v>
      </c>
      <c r="BB41" s="249"/>
      <c r="BC41" s="249">
        <v>1633.2313357244557</v>
      </c>
      <c r="BD41" s="249">
        <v>-3698.858361777945</v>
      </c>
      <c r="BE41" s="249"/>
      <c r="BF41" s="88">
        <v>1947.1686780126242</v>
      </c>
      <c r="BG41" s="249">
        <v>-3384.9210194897764</v>
      </c>
      <c r="BH41" s="249"/>
      <c r="BI41" s="88">
        <v>1743.4663523718948</v>
      </c>
      <c r="BJ41" s="249">
        <v>-3588.623345130506</v>
      </c>
      <c r="BK41" s="88">
        <v>2931.1746727688164</v>
      </c>
      <c r="BL41" s="249">
        <v>-2400.9150247335842</v>
      </c>
      <c r="BM41" s="249"/>
      <c r="BN41" s="88">
        <v>2767.0289203260754</v>
      </c>
      <c r="BO41" s="249">
        <v>-2565.0607771763252</v>
      </c>
      <c r="BP41" s="249"/>
      <c r="BQ41" s="43"/>
      <c r="BR41" s="88" t="str">
        <f t="shared" si="25"/>
        <v>#REF!</v>
      </c>
      <c r="BS41" s="249" t="str">
        <f t="shared" si="26"/>
        <v>#REF!</v>
      </c>
      <c r="BT41" s="43"/>
      <c r="BU41" s="88">
        <v>1374.5466734064319</v>
      </c>
      <c r="BV41" s="249">
        <v>-3957.5430240959686</v>
      </c>
      <c r="BW41" s="43"/>
      <c r="BX41" s="88">
        <v>1171.9484256094472</v>
      </c>
      <c r="BY41" s="249">
        <v>-4160.141271892953</v>
      </c>
      <c r="BZ41" s="43"/>
      <c r="CA41" s="88">
        <v>1485.8857678976156</v>
      </c>
      <c r="CB41" s="249">
        <v>-3846.203929604785</v>
      </c>
      <c r="CC41" s="43"/>
      <c r="CD41" s="88">
        <v>1413.9785594326029</v>
      </c>
      <c r="CE41" s="249">
        <v>-3918.1111380697976</v>
      </c>
      <c r="CF41" s="43"/>
      <c r="CG41" s="88">
        <v>2273.653387820656</v>
      </c>
      <c r="CH41" s="249">
        <v>-3058.4363096817447</v>
      </c>
      <c r="CI41" s="43"/>
      <c r="CJ41" s="88">
        <v>2106.599033517068</v>
      </c>
      <c r="CK41" s="249">
        <v>-3225.4906639853325</v>
      </c>
    </row>
    <row r="42" ht="15.75" customHeight="1">
      <c r="A42" s="69" t="s">
        <v>103</v>
      </c>
      <c r="B42" s="48" t="s">
        <v>104</v>
      </c>
      <c r="C42" s="71" t="s">
        <v>42</v>
      </c>
      <c r="D42" s="71"/>
      <c r="E42" s="51">
        <f>'Avg master'!J32</f>
        <v>20321</v>
      </c>
      <c r="F42" s="55">
        <f t="shared" si="1"/>
        <v>0.0777043175</v>
      </c>
      <c r="G42" s="71"/>
      <c r="H42" s="53">
        <v>14795.0</v>
      </c>
      <c r="I42" s="53">
        <v>9432.0</v>
      </c>
      <c r="J42" s="53">
        <v>7407.0</v>
      </c>
      <c r="K42" s="54">
        <f t="shared" si="2"/>
        <v>10544.66667</v>
      </c>
      <c r="L42" s="55">
        <f t="shared" si="3"/>
        <v>0.09055802223</v>
      </c>
      <c r="M42" s="37"/>
      <c r="N42" s="56">
        <v>12271.218120000003</v>
      </c>
      <c r="O42" s="43"/>
      <c r="P42" s="57">
        <v>13068.847297800003</v>
      </c>
      <c r="Q42" s="43"/>
      <c r="R42" s="57">
        <v>13330.224243756003</v>
      </c>
      <c r="S42" s="58">
        <f t="shared" si="4"/>
        <v>0.65598269</v>
      </c>
      <c r="T42" s="241"/>
      <c r="U42" s="57">
        <f t="shared" si="5"/>
        <v>13730.13097</v>
      </c>
      <c r="V42" s="57">
        <f t="shared" si="6"/>
        <v>399.9067273</v>
      </c>
      <c r="W42" s="62">
        <f t="shared" si="7"/>
        <v>0.03</v>
      </c>
      <c r="X42" s="43"/>
      <c r="Y42" s="88" t="str">
        <f t="shared" si="8"/>
        <v>#REF!</v>
      </c>
      <c r="Z42" s="249" t="str">
        <f t="shared" si="9"/>
        <v>#REF!</v>
      </c>
      <c r="AA42" s="58" t="str">
        <f t="shared" si="10"/>
        <v>#REF!</v>
      </c>
      <c r="AB42" s="43"/>
      <c r="AC42" s="250">
        <v>19866.28205791831</v>
      </c>
      <c r="AD42" s="249">
        <f t="shared" si="11"/>
        <v>6136.151087</v>
      </c>
      <c r="AE42" s="58">
        <f t="shared" si="12"/>
        <v>0.9776232497</v>
      </c>
      <c r="AF42" s="58">
        <f t="shared" si="13"/>
        <v>1.884012334</v>
      </c>
      <c r="AG42" s="251"/>
      <c r="AH42" s="250" t="str">
        <f>SUM(#REF!*'FY21-22 fees'!$AH$3)</f>
        <v>#REF!</v>
      </c>
      <c r="AI42" s="249" t="str">
        <f t="shared" si="14"/>
        <v>#REF!</v>
      </c>
      <c r="AJ42" s="43"/>
      <c r="AK42" s="88" t="str">
        <f t="shared" si="15"/>
        <v>#REF!</v>
      </c>
      <c r="AL42" s="249" t="str">
        <f t="shared" si="16"/>
        <v>#REF!</v>
      </c>
      <c r="AM42" s="43"/>
      <c r="AN42" s="88" t="str">
        <f t="shared" si="17"/>
        <v>#REF!</v>
      </c>
      <c r="AO42" s="249" t="str">
        <f t="shared" si="18"/>
        <v>#REF!</v>
      </c>
      <c r="AP42" s="43"/>
      <c r="AQ42" s="88" t="str">
        <f t="shared" si="19"/>
        <v>#REF!</v>
      </c>
      <c r="AR42" s="249" t="str">
        <f t="shared" si="20"/>
        <v>#REF!</v>
      </c>
      <c r="AS42" s="43"/>
      <c r="AT42" s="88" t="str">
        <f t="shared" si="21"/>
        <v>#REF!</v>
      </c>
      <c r="AU42" s="249" t="str">
        <f t="shared" si="22"/>
        <v>#REF!</v>
      </c>
      <c r="AV42" s="43"/>
      <c r="AW42" s="88" t="str">
        <f t="shared" si="23"/>
        <v>#REF!</v>
      </c>
      <c r="AX42" s="249" t="str">
        <f t="shared" si="24"/>
        <v>#REF!</v>
      </c>
      <c r="AY42" s="249"/>
      <c r="AZ42" s="88">
        <v>17225.361999878325</v>
      </c>
      <c r="BA42" s="249">
        <v>3895.1377561223217</v>
      </c>
      <c r="BB42" s="249"/>
      <c r="BC42" s="249">
        <v>17593.001685309195</v>
      </c>
      <c r="BD42" s="249">
        <v>4262.777441553191</v>
      </c>
      <c r="BE42" s="249"/>
      <c r="BF42" s="88">
        <v>16004.516135204438</v>
      </c>
      <c r="BG42" s="249">
        <v>2674.2918914484344</v>
      </c>
      <c r="BH42" s="249"/>
      <c r="BI42" s="88">
        <v>16245.675230928387</v>
      </c>
      <c r="BJ42" s="249">
        <v>2915.450987172384</v>
      </c>
      <c r="BK42" s="88">
        <v>13419.843737289104</v>
      </c>
      <c r="BL42" s="249">
        <v>89.61949353310047</v>
      </c>
      <c r="BM42" s="249"/>
      <c r="BN42" s="88">
        <v>15424.615079483707</v>
      </c>
      <c r="BO42" s="249">
        <v>2094.3908357277032</v>
      </c>
      <c r="BP42" s="249"/>
      <c r="BQ42" s="43"/>
      <c r="BR42" s="88" t="str">
        <f t="shared" si="25"/>
        <v>#REF!</v>
      </c>
      <c r="BS42" s="249" t="str">
        <f t="shared" si="26"/>
        <v>#REF!</v>
      </c>
      <c r="BT42" s="43"/>
      <c r="BU42" s="88">
        <v>16433.942493403818</v>
      </c>
      <c r="BV42" s="249">
        <v>3103.7182496478144</v>
      </c>
      <c r="BW42" s="43"/>
      <c r="BX42" s="88">
        <v>16669.6789277556</v>
      </c>
      <c r="BY42" s="249">
        <v>3339.4546839995983</v>
      </c>
      <c r="BZ42" s="43"/>
      <c r="CA42" s="88">
        <v>15081.193377650849</v>
      </c>
      <c r="CB42" s="249">
        <v>1750.969133894845</v>
      </c>
      <c r="CC42" s="43"/>
      <c r="CD42" s="88">
        <v>15586.158975532968</v>
      </c>
      <c r="CE42" s="249">
        <v>2255.9347317769643</v>
      </c>
      <c r="CF42" s="43"/>
      <c r="CG42" s="88">
        <v>12103.722214778874</v>
      </c>
      <c r="CH42" s="249">
        <v>-1226.5020289771292</v>
      </c>
      <c r="CI42" s="43"/>
      <c r="CJ42" s="88">
        <v>14102.671580412252</v>
      </c>
      <c r="CK42" s="249">
        <v>772.4473366562488</v>
      </c>
    </row>
    <row r="43" ht="15.75" customHeight="1">
      <c r="A43" s="69" t="s">
        <v>105</v>
      </c>
      <c r="B43" s="48" t="s">
        <v>106</v>
      </c>
      <c r="C43" s="107" t="s">
        <v>107</v>
      </c>
      <c r="D43" s="71"/>
      <c r="E43" s="51">
        <f>'Avg master'!J33</f>
        <v>8110.666667</v>
      </c>
      <c r="F43" s="55">
        <f t="shared" si="1"/>
        <v>0.03101391751</v>
      </c>
      <c r="G43" s="71"/>
      <c r="H43" s="53">
        <v>3859.0</v>
      </c>
      <c r="I43" s="53">
        <v>3089.0</v>
      </c>
      <c r="J43" s="53">
        <v>2117.0</v>
      </c>
      <c r="K43" s="54">
        <f t="shared" si="2"/>
        <v>3021.666667</v>
      </c>
      <c r="L43" s="55">
        <f t="shared" si="3"/>
        <v>0.02595019509</v>
      </c>
      <c r="M43" s="37"/>
      <c r="N43" s="56">
        <v>9793.600747200002</v>
      </c>
      <c r="O43" s="43"/>
      <c r="P43" s="57">
        <v>10430.184795768002</v>
      </c>
      <c r="Q43" s="43"/>
      <c r="R43" s="57">
        <v>10638.788491683363</v>
      </c>
      <c r="S43" s="58">
        <f t="shared" si="4"/>
        <v>1.311703332</v>
      </c>
      <c r="T43" s="241"/>
      <c r="U43" s="57">
        <f t="shared" si="5"/>
        <v>10957.95215</v>
      </c>
      <c r="V43" s="57">
        <f t="shared" si="6"/>
        <v>319.1636548</v>
      </c>
      <c r="W43" s="62">
        <f t="shared" si="7"/>
        <v>0.03</v>
      </c>
      <c r="X43" s="43"/>
      <c r="Y43" s="88" t="str">
        <f t="shared" si="8"/>
        <v>#REF!</v>
      </c>
      <c r="Z43" s="249" t="str">
        <f t="shared" si="9"/>
        <v>#REF!</v>
      </c>
      <c r="AA43" s="58" t="str">
        <f t="shared" si="10"/>
        <v>#REF!</v>
      </c>
      <c r="AB43" s="43"/>
      <c r="AC43" s="250">
        <v>5692.857269236564</v>
      </c>
      <c r="AD43" s="249">
        <f t="shared" si="11"/>
        <v>-5265.094877</v>
      </c>
      <c r="AE43" s="58">
        <f t="shared" si="12"/>
        <v>0.7018975755</v>
      </c>
      <c r="AF43" s="58">
        <f t="shared" si="13"/>
        <v>1.884012334</v>
      </c>
      <c r="AG43" s="251"/>
      <c r="AH43" s="250" t="str">
        <f>SUM(#REF!*'FY21-22 fees'!$AH$3)</f>
        <v>#REF!</v>
      </c>
      <c r="AI43" s="249" t="str">
        <f t="shared" si="14"/>
        <v>#REF!</v>
      </c>
      <c r="AJ43" s="43"/>
      <c r="AK43" s="88" t="str">
        <f t="shared" si="15"/>
        <v>#REF!</v>
      </c>
      <c r="AL43" s="249" t="str">
        <f t="shared" si="16"/>
        <v>#REF!</v>
      </c>
      <c r="AM43" s="43"/>
      <c r="AN43" s="88" t="str">
        <f t="shared" si="17"/>
        <v>#REF!</v>
      </c>
      <c r="AO43" s="249" t="str">
        <f t="shared" si="18"/>
        <v>#REF!</v>
      </c>
      <c r="AP43" s="43"/>
      <c r="AQ43" s="88" t="str">
        <f t="shared" si="19"/>
        <v>#REF!</v>
      </c>
      <c r="AR43" s="249" t="str">
        <f t="shared" si="20"/>
        <v>#REF!</v>
      </c>
      <c r="AS43" s="43"/>
      <c r="AT43" s="88" t="str">
        <f t="shared" si="21"/>
        <v>#REF!</v>
      </c>
      <c r="AU43" s="249" t="str">
        <f t="shared" si="22"/>
        <v>#REF!</v>
      </c>
      <c r="AV43" s="43"/>
      <c r="AW43" s="88" t="str">
        <f t="shared" si="23"/>
        <v>#REF!</v>
      </c>
      <c r="AX43" s="249" t="str">
        <f t="shared" si="24"/>
        <v>#REF!</v>
      </c>
      <c r="AY43" s="249"/>
      <c r="AZ43" s="88">
        <v>6765.231496454472</v>
      </c>
      <c r="BA43" s="249">
        <v>-3873.5569952288906</v>
      </c>
      <c r="BB43" s="249"/>
      <c r="BC43" s="249">
        <v>7054.830218848056</v>
      </c>
      <c r="BD43" s="249">
        <v>-3583.958272835307</v>
      </c>
      <c r="BE43" s="249"/>
      <c r="BF43" s="88">
        <v>6828.9410459398</v>
      </c>
      <c r="BG43" s="249">
        <v>-3809.847445743563</v>
      </c>
      <c r="BH43" s="249"/>
      <c r="BI43" s="88">
        <v>6915.838499981372</v>
      </c>
      <c r="BJ43" s="249">
        <v>-3722.949991701991</v>
      </c>
      <c r="BK43" s="88">
        <v>5559.9240105702165</v>
      </c>
      <c r="BL43" s="249">
        <v>-5078.864481113146</v>
      </c>
      <c r="BM43" s="249"/>
      <c r="BN43" s="88">
        <v>6172.028472112814</v>
      </c>
      <c r="BO43" s="249">
        <v>-4466.760019570549</v>
      </c>
      <c r="BP43" s="249"/>
      <c r="BQ43" s="43"/>
      <c r="BR43" s="88" t="str">
        <f t="shared" si="25"/>
        <v>#REF!</v>
      </c>
      <c r="BS43" s="249" t="str">
        <f t="shared" si="26"/>
        <v>#REF!</v>
      </c>
      <c r="BT43" s="43"/>
      <c r="BU43" s="88">
        <v>7022.604790690334</v>
      </c>
      <c r="BV43" s="249">
        <v>-3616.1837009930287</v>
      </c>
      <c r="BW43" s="43"/>
      <c r="BX43" s="88">
        <v>7355.099062123228</v>
      </c>
      <c r="BY43" s="249">
        <v>-3283.689429560135</v>
      </c>
      <c r="BZ43" s="43"/>
      <c r="CA43" s="88">
        <v>7129.209889214971</v>
      </c>
      <c r="CB43" s="249">
        <v>-3509.578602468392</v>
      </c>
      <c r="CC43" s="43"/>
      <c r="CD43" s="88">
        <v>7130.316245177923</v>
      </c>
      <c r="CE43" s="249">
        <v>-3508.47224650544</v>
      </c>
      <c r="CF43" s="43"/>
      <c r="CG43" s="88">
        <v>5987.932834072835</v>
      </c>
      <c r="CH43" s="249">
        <v>-4650.8556576105275</v>
      </c>
      <c r="CI43" s="43"/>
      <c r="CJ43" s="88">
        <v>6601.930629396401</v>
      </c>
      <c r="CK43" s="249">
        <v>-4036.857862286962</v>
      </c>
    </row>
    <row r="44" ht="15.75" customHeight="1">
      <c r="A44" s="66" t="s">
        <v>108</v>
      </c>
      <c r="B44" s="48" t="s">
        <v>109</v>
      </c>
      <c r="C44" s="68" t="s">
        <v>107</v>
      </c>
      <c r="D44" s="68"/>
      <c r="E44" s="51">
        <f>'Avg master'!J34</f>
        <v>10045</v>
      </c>
      <c r="F44" s="55">
        <f t="shared" si="1"/>
        <v>0.03841050486</v>
      </c>
      <c r="G44" s="68"/>
      <c r="H44" s="53">
        <v>4864.0</v>
      </c>
      <c r="I44" s="53">
        <v>4164.0</v>
      </c>
      <c r="J44" s="53">
        <v>3092.0</v>
      </c>
      <c r="K44" s="54">
        <f t="shared" si="2"/>
        <v>4040</v>
      </c>
      <c r="L44" s="55">
        <f t="shared" si="3"/>
        <v>0.03469568279</v>
      </c>
      <c r="M44" s="37"/>
      <c r="N44" s="56">
        <v>9793.600747200002</v>
      </c>
      <c r="O44" s="43"/>
      <c r="P44" s="57">
        <v>10430.184795768002</v>
      </c>
      <c r="Q44" s="43"/>
      <c r="R44" s="57">
        <v>10638.788491683363</v>
      </c>
      <c r="S44" s="58">
        <f t="shared" si="4"/>
        <v>1.059112841</v>
      </c>
      <c r="T44" s="241"/>
      <c r="U44" s="57">
        <f t="shared" si="5"/>
        <v>10957.95215</v>
      </c>
      <c r="V44" s="57">
        <f t="shared" si="6"/>
        <v>319.1636548</v>
      </c>
      <c r="W44" s="62">
        <f t="shared" si="7"/>
        <v>0.03</v>
      </c>
      <c r="X44" s="43"/>
      <c r="Y44" s="88" t="str">
        <f t="shared" si="8"/>
        <v>#REF!</v>
      </c>
      <c r="Z44" s="249" t="str">
        <f t="shared" si="9"/>
        <v>#REF!</v>
      </c>
      <c r="AA44" s="58" t="str">
        <f t="shared" si="10"/>
        <v>#REF!</v>
      </c>
      <c r="AB44" s="43"/>
      <c r="AC44" s="250">
        <v>7611.409829359864</v>
      </c>
      <c r="AD44" s="249">
        <f t="shared" si="11"/>
        <v>-3346.542317</v>
      </c>
      <c r="AE44" s="58">
        <f t="shared" si="12"/>
        <v>0.7577311926</v>
      </c>
      <c r="AF44" s="58">
        <f t="shared" si="13"/>
        <v>1.884012334</v>
      </c>
      <c r="AG44" s="251"/>
      <c r="AH44" s="250" t="str">
        <f>SUM(#REF!*'FY21-22 fees'!$AH$3)</f>
        <v>#REF!</v>
      </c>
      <c r="AI44" s="249" t="str">
        <f t="shared" si="14"/>
        <v>#REF!</v>
      </c>
      <c r="AJ44" s="43"/>
      <c r="AK44" s="88" t="str">
        <f t="shared" si="15"/>
        <v>#REF!</v>
      </c>
      <c r="AL44" s="249" t="str">
        <f t="shared" si="16"/>
        <v>#REF!</v>
      </c>
      <c r="AM44" s="43"/>
      <c r="AN44" s="88" t="str">
        <f t="shared" si="17"/>
        <v>#REF!</v>
      </c>
      <c r="AO44" s="249" t="str">
        <f t="shared" si="18"/>
        <v>#REF!</v>
      </c>
      <c r="AP44" s="43"/>
      <c r="AQ44" s="88" t="str">
        <f t="shared" si="19"/>
        <v>#REF!</v>
      </c>
      <c r="AR44" s="249" t="str">
        <f t="shared" si="20"/>
        <v>#REF!</v>
      </c>
      <c r="AS44" s="43"/>
      <c r="AT44" s="88" t="str">
        <f t="shared" si="21"/>
        <v>#REF!</v>
      </c>
      <c r="AU44" s="249" t="str">
        <f t="shared" si="22"/>
        <v>#REF!</v>
      </c>
      <c r="AV44" s="43"/>
      <c r="AW44" s="88" t="str">
        <f t="shared" si="23"/>
        <v>#REF!</v>
      </c>
      <c r="AX44" s="249" t="str">
        <f t="shared" si="24"/>
        <v>#REF!</v>
      </c>
      <c r="AY44" s="249"/>
      <c r="AZ44" s="88">
        <v>7318.274049693484</v>
      </c>
      <c r="BA44" s="249">
        <v>-3320.514441989879</v>
      </c>
      <c r="BB44" s="249"/>
      <c r="BC44" s="249">
        <v>7426.830424366576</v>
      </c>
      <c r="BD44" s="249">
        <v>-3211.9580673167866</v>
      </c>
      <c r="BE44" s="249"/>
      <c r="BF44" s="88">
        <v>7085.11159887682</v>
      </c>
      <c r="BG44" s="249">
        <v>-3553.676892806543</v>
      </c>
      <c r="BH44" s="249"/>
      <c r="BI44" s="88">
        <v>7124.275294759689</v>
      </c>
      <c r="BJ44" s="249">
        <v>-3514.5131969236736</v>
      </c>
      <c r="BK44" s="88">
        <v>6516.28841772071</v>
      </c>
      <c r="BL44" s="249">
        <v>-4122.500073962653</v>
      </c>
      <c r="BM44" s="249"/>
      <c r="BN44" s="88">
        <v>6895.752579311686</v>
      </c>
      <c r="BO44" s="249">
        <v>-3743.035912371677</v>
      </c>
      <c r="BP44" s="249"/>
      <c r="BQ44" s="43"/>
      <c r="BR44" s="88" t="str">
        <f t="shared" si="25"/>
        <v>#REF!</v>
      </c>
      <c r="BS44" s="249" t="str">
        <f t="shared" si="26"/>
        <v>#REF!</v>
      </c>
      <c r="BT44" s="43"/>
      <c r="BU44" s="88">
        <v>7506.5434923292705</v>
      </c>
      <c r="BV44" s="249">
        <v>-3132.244999354092</v>
      </c>
      <c r="BW44" s="43"/>
      <c r="BX44" s="88">
        <v>7646.4781074416605</v>
      </c>
      <c r="BY44" s="249">
        <v>-2992.310384241702</v>
      </c>
      <c r="BZ44" s="43"/>
      <c r="CA44" s="88">
        <v>7304.759281951904</v>
      </c>
      <c r="CB44" s="249">
        <v>-3334.0292097314586</v>
      </c>
      <c r="CC44" s="43"/>
      <c r="CD44" s="88">
        <v>7281.166496956179</v>
      </c>
      <c r="CE44" s="249">
        <v>-3357.621994727184</v>
      </c>
      <c r="CF44" s="43"/>
      <c r="CG44" s="88">
        <v>6829.378332054212</v>
      </c>
      <c r="CH44" s="249">
        <v>-3809.410159629151</v>
      </c>
      <c r="CI44" s="43"/>
      <c r="CJ44" s="88">
        <v>7210.227473764142</v>
      </c>
      <c r="CK44" s="249">
        <v>-3428.561017919221</v>
      </c>
    </row>
    <row r="45" ht="15.75" customHeight="1">
      <c r="A45" s="83" t="s">
        <v>110</v>
      </c>
      <c r="B45" s="48" t="s">
        <v>111</v>
      </c>
      <c r="C45" s="49" t="s">
        <v>34</v>
      </c>
      <c r="D45" s="50"/>
      <c r="E45" s="51">
        <f>'Avg master'!J35</f>
        <v>696.3333333</v>
      </c>
      <c r="F45" s="55">
        <f t="shared" si="1"/>
        <v>0.002662669476</v>
      </c>
      <c r="G45" s="50"/>
      <c r="H45" s="53">
        <v>126.0</v>
      </c>
      <c r="I45" s="53">
        <v>126.0</v>
      </c>
      <c r="J45" s="53">
        <v>112.0</v>
      </c>
      <c r="K45" s="54">
        <f t="shared" si="2"/>
        <v>121.3333333</v>
      </c>
      <c r="L45" s="55">
        <f t="shared" si="3"/>
        <v>0.001042015556</v>
      </c>
      <c r="M45" s="37"/>
      <c r="N45" s="56">
        <v>1227.121812</v>
      </c>
      <c r="O45" s="43"/>
      <c r="P45" s="57">
        <v>1306.88472978</v>
      </c>
      <c r="Q45" s="43"/>
      <c r="R45" s="57">
        <v>1333.0224243756002</v>
      </c>
      <c r="S45" s="58">
        <f t="shared" si="4"/>
        <v>1.914345272</v>
      </c>
      <c r="T45" s="241"/>
      <c r="U45" s="57">
        <f t="shared" si="5"/>
        <v>1373.013097</v>
      </c>
      <c r="V45" s="57">
        <f t="shared" si="6"/>
        <v>39.99067273</v>
      </c>
      <c r="W45" s="62">
        <f t="shared" si="7"/>
        <v>0.03</v>
      </c>
      <c r="X45" s="43"/>
      <c r="Y45" s="88" t="str">
        <f t="shared" si="8"/>
        <v>#REF!</v>
      </c>
      <c r="Z45" s="249" t="str">
        <f t="shared" si="9"/>
        <v>#REF!</v>
      </c>
      <c r="AA45" s="58" t="str">
        <f t="shared" si="10"/>
        <v>#REF!</v>
      </c>
      <c r="AB45" s="43"/>
      <c r="AC45" s="250">
        <v>228.59349652532924</v>
      </c>
      <c r="AD45" s="249">
        <f t="shared" si="11"/>
        <v>-1144.419601</v>
      </c>
      <c r="AE45" s="58">
        <f t="shared" si="12"/>
        <v>0.3282817087</v>
      </c>
      <c r="AF45" s="58">
        <f t="shared" si="13"/>
        <v>1.884012334</v>
      </c>
      <c r="AG45" s="251"/>
      <c r="AH45" s="250" t="str">
        <f>SUM(#REF!*'FY21-22 fees'!$AH$3)</f>
        <v>#REF!</v>
      </c>
      <c r="AI45" s="249" t="str">
        <f t="shared" si="14"/>
        <v>#REF!</v>
      </c>
      <c r="AJ45" s="43"/>
      <c r="AK45" s="88" t="str">
        <f t="shared" si="15"/>
        <v>#REF!</v>
      </c>
      <c r="AL45" s="249" t="str">
        <f t="shared" si="16"/>
        <v>#REF!</v>
      </c>
      <c r="AM45" s="43"/>
      <c r="AN45" s="88" t="str">
        <f t="shared" si="17"/>
        <v>#REF!</v>
      </c>
      <c r="AO45" s="249" t="str">
        <f t="shared" si="18"/>
        <v>#REF!</v>
      </c>
      <c r="AP45" s="43"/>
      <c r="AQ45" s="88" t="str">
        <f t="shared" si="19"/>
        <v>#REF!</v>
      </c>
      <c r="AR45" s="249" t="str">
        <f t="shared" si="20"/>
        <v>#REF!</v>
      </c>
      <c r="AS45" s="43"/>
      <c r="AT45" s="88" t="str">
        <f t="shared" si="21"/>
        <v>#REF!</v>
      </c>
      <c r="AU45" s="249" t="str">
        <f t="shared" si="22"/>
        <v>#REF!</v>
      </c>
      <c r="AV45" s="43"/>
      <c r="AW45" s="88" t="str">
        <f t="shared" si="23"/>
        <v>#REF!</v>
      </c>
      <c r="AX45" s="249" t="str">
        <f t="shared" si="24"/>
        <v>#REF!</v>
      </c>
      <c r="AY45" s="249"/>
      <c r="AZ45" s="88">
        <v>1244.269619353239</v>
      </c>
      <c r="BA45" s="249">
        <v>-88.75280502236114</v>
      </c>
      <c r="BB45" s="249"/>
      <c r="BC45" s="249">
        <v>979.0897799904487</v>
      </c>
      <c r="BD45" s="249">
        <v>-353.93264438515143</v>
      </c>
      <c r="BE45" s="249"/>
      <c r="BF45" s="88">
        <v>1291.6382417100149</v>
      </c>
      <c r="BG45" s="249">
        <v>-41.384182665585286</v>
      </c>
      <c r="BH45" s="249"/>
      <c r="BI45" s="88">
        <v>1305.9459291599378</v>
      </c>
      <c r="BJ45" s="249">
        <v>-27.076495215662362</v>
      </c>
      <c r="BK45" s="88">
        <v>1927.0798944101148</v>
      </c>
      <c r="BL45" s="249">
        <v>594.0574700345146</v>
      </c>
      <c r="BM45" s="249"/>
      <c r="BN45" s="88">
        <v>1903.4035048492915</v>
      </c>
      <c r="BO45" s="249">
        <v>570.3810804736913</v>
      </c>
      <c r="BP45" s="249"/>
      <c r="BQ45" s="43"/>
      <c r="BR45" s="88" t="str">
        <f t="shared" si="25"/>
        <v>#REF!</v>
      </c>
      <c r="BS45" s="249" t="str">
        <f t="shared" si="26"/>
        <v>#REF!</v>
      </c>
      <c r="BT45" s="43"/>
      <c r="BU45" s="88">
        <v>1330.4963089789592</v>
      </c>
      <c r="BV45" s="249">
        <v>-2.5261153966409893</v>
      </c>
      <c r="BW45" s="43"/>
      <c r="BX45" s="88">
        <v>1079.687584553789</v>
      </c>
      <c r="BY45" s="249">
        <v>-253.3348398218111</v>
      </c>
      <c r="BZ45" s="43"/>
      <c r="CA45" s="88">
        <v>1392.2360462733552</v>
      </c>
      <c r="CB45" s="249">
        <v>59.21362189775505</v>
      </c>
      <c r="CC45" s="43"/>
      <c r="CD45" s="88">
        <v>1377.8015038480378</v>
      </c>
      <c r="CE45" s="249">
        <v>44.779079472437616</v>
      </c>
      <c r="CF45" s="43"/>
      <c r="CG45" s="88">
        <v>2070.4738859693507</v>
      </c>
      <c r="CH45" s="249">
        <v>737.4514615937505</v>
      </c>
      <c r="CI45" s="43"/>
      <c r="CJ45" s="88">
        <v>2047.4318120424562</v>
      </c>
      <c r="CK45" s="249">
        <v>714.409387666856</v>
      </c>
    </row>
    <row r="46" ht="15.75" customHeight="1">
      <c r="A46" s="69" t="s">
        <v>112</v>
      </c>
      <c r="B46" s="48" t="s">
        <v>113</v>
      </c>
      <c r="C46" s="79" t="s">
        <v>62</v>
      </c>
      <c r="D46" s="71"/>
      <c r="E46" s="51">
        <f>'Avg master'!J36</f>
        <v>3312</v>
      </c>
      <c r="F46" s="55">
        <f t="shared" si="1"/>
        <v>0.01266456865</v>
      </c>
      <c r="G46" s="71"/>
      <c r="H46" s="53">
        <v>1348.0</v>
      </c>
      <c r="I46" s="53">
        <v>1119.0</v>
      </c>
      <c r="J46" s="53">
        <v>807.0</v>
      </c>
      <c r="K46" s="54">
        <f t="shared" si="2"/>
        <v>1091.333333</v>
      </c>
      <c r="L46" s="55">
        <f t="shared" si="3"/>
        <v>0.009372414642</v>
      </c>
      <c r="M46" s="37"/>
      <c r="N46" s="56">
        <v>1659.5361648</v>
      </c>
      <c r="O46" s="43"/>
      <c r="P46" s="57">
        <v>1767.406015512</v>
      </c>
      <c r="Q46" s="43"/>
      <c r="R46" s="57">
        <v>1802.7541358222402</v>
      </c>
      <c r="S46" s="58">
        <f t="shared" si="4"/>
        <v>0.5443098236</v>
      </c>
      <c r="T46" s="241"/>
      <c r="U46" s="57">
        <f t="shared" si="5"/>
        <v>1856.83676</v>
      </c>
      <c r="V46" s="57">
        <f t="shared" si="6"/>
        <v>54.08262407</v>
      </c>
      <c r="W46" s="62">
        <f t="shared" si="7"/>
        <v>0.03</v>
      </c>
      <c r="X46" s="43"/>
      <c r="Y46" s="88" t="str">
        <f t="shared" si="8"/>
        <v>#REF!</v>
      </c>
      <c r="Z46" s="249" t="str">
        <f t="shared" si="9"/>
        <v>#REF!</v>
      </c>
      <c r="AA46" s="58" t="str">
        <f t="shared" si="10"/>
        <v>#REF!</v>
      </c>
      <c r="AB46" s="43"/>
      <c r="AC46" s="250">
        <v>2056.0854605052964</v>
      </c>
      <c r="AD46" s="249">
        <f t="shared" si="11"/>
        <v>199.2487006</v>
      </c>
      <c r="AE46" s="58">
        <f t="shared" si="12"/>
        <v>0.6207987502</v>
      </c>
      <c r="AF46" s="58">
        <f t="shared" si="13"/>
        <v>1.884012334</v>
      </c>
      <c r="AG46" s="251"/>
      <c r="AH46" s="250" t="str">
        <f>SUM(#REF!*'FY21-22 fees'!$AH$3)</f>
        <v>#REF!</v>
      </c>
      <c r="AI46" s="249" t="str">
        <f t="shared" si="14"/>
        <v>#REF!</v>
      </c>
      <c r="AJ46" s="43"/>
      <c r="AK46" s="88" t="str">
        <f t="shared" si="15"/>
        <v>#REF!</v>
      </c>
      <c r="AL46" s="249" t="str">
        <f t="shared" si="16"/>
        <v>#REF!</v>
      </c>
      <c r="AM46" s="43"/>
      <c r="AN46" s="88" t="str">
        <f t="shared" si="17"/>
        <v>#REF!</v>
      </c>
      <c r="AO46" s="249" t="str">
        <f t="shared" si="18"/>
        <v>#REF!</v>
      </c>
      <c r="AP46" s="43"/>
      <c r="AQ46" s="88" t="str">
        <f t="shared" si="19"/>
        <v>#REF!</v>
      </c>
      <c r="AR46" s="249" t="str">
        <f t="shared" si="20"/>
        <v>#REF!</v>
      </c>
      <c r="AS46" s="43"/>
      <c r="AT46" s="88" t="str">
        <f t="shared" si="21"/>
        <v>#REF!</v>
      </c>
      <c r="AU46" s="249" t="str">
        <f t="shared" si="22"/>
        <v>#REF!</v>
      </c>
      <c r="AV46" s="43"/>
      <c r="AW46" s="88" t="str">
        <f t="shared" si="23"/>
        <v>#REF!</v>
      </c>
      <c r="AX46" s="249" t="str">
        <f t="shared" si="24"/>
        <v>#REF!</v>
      </c>
      <c r="AY46" s="249"/>
      <c r="AZ46" s="88">
        <v>3244.0411958803434</v>
      </c>
      <c r="BA46" s="249">
        <v>1441.2870600581032</v>
      </c>
      <c r="BB46" s="249"/>
      <c r="BC46" s="249">
        <v>3277.305510984007</v>
      </c>
      <c r="BD46" s="249">
        <v>1474.5513751617668</v>
      </c>
      <c r="BE46" s="249"/>
      <c r="BF46" s="88">
        <v>3410.509168957927</v>
      </c>
      <c r="BG46" s="249">
        <v>1607.755033135687</v>
      </c>
      <c r="BH46" s="249"/>
      <c r="BI46" s="88">
        <v>3448.361488220929</v>
      </c>
      <c r="BJ46" s="249">
        <v>1645.6073523986888</v>
      </c>
      <c r="BK46" s="88">
        <v>3134.9985118945024</v>
      </c>
      <c r="BL46" s="249">
        <v>1332.2443760722622</v>
      </c>
      <c r="BM46" s="249"/>
      <c r="BN46" s="88">
        <v>3311.5104945565213</v>
      </c>
      <c r="BO46" s="249">
        <v>1508.756358734281</v>
      </c>
      <c r="BP46" s="249"/>
      <c r="BQ46" s="43"/>
      <c r="BR46" s="88" t="str">
        <f t="shared" si="25"/>
        <v>#REF!</v>
      </c>
      <c r="BS46" s="249" t="str">
        <f t="shared" si="26"/>
        <v>#REF!</v>
      </c>
      <c r="BT46" s="43"/>
      <c r="BU46" s="88">
        <v>3417.5078596814496</v>
      </c>
      <c r="BV46" s="249">
        <v>1614.7537238592095</v>
      </c>
      <c r="BW46" s="43"/>
      <c r="BX46" s="88">
        <v>3479.6832854186305</v>
      </c>
      <c r="BY46" s="249">
        <v>1676.9291495963903</v>
      </c>
      <c r="BZ46" s="43"/>
      <c r="CA46" s="88">
        <v>3612.8869433925506</v>
      </c>
      <c r="CB46" s="249">
        <v>1810.1328075703104</v>
      </c>
      <c r="CC46" s="43"/>
      <c r="CD46" s="88">
        <v>3592.9170413885176</v>
      </c>
      <c r="CE46" s="249">
        <v>1790.1629055662775</v>
      </c>
      <c r="CF46" s="43"/>
      <c r="CG46" s="88">
        <v>3423.471575546538</v>
      </c>
      <c r="CH46" s="249">
        <v>1620.717439724298</v>
      </c>
      <c r="CI46" s="43"/>
      <c r="CJ46" s="88">
        <v>3601.2596435748405</v>
      </c>
      <c r="CK46" s="249">
        <v>1798.5055077526004</v>
      </c>
    </row>
    <row r="47" ht="15.75" customHeight="1">
      <c r="A47" s="69" t="s">
        <v>114</v>
      </c>
      <c r="B47" s="48" t="s">
        <v>115</v>
      </c>
      <c r="C47" s="71" t="s">
        <v>42</v>
      </c>
      <c r="D47" s="71"/>
      <c r="E47" s="51">
        <f>'Avg master'!J37</f>
        <v>26843.33333</v>
      </c>
      <c r="F47" s="55">
        <f t="shared" si="1"/>
        <v>0.1026446974</v>
      </c>
      <c r="G47" s="71"/>
      <c r="H47" s="53">
        <v>7591.0</v>
      </c>
      <c r="I47" s="53">
        <v>5625.0</v>
      </c>
      <c r="J47" s="53">
        <v>3928.0</v>
      </c>
      <c r="K47" s="54">
        <f t="shared" si="2"/>
        <v>5714.666667</v>
      </c>
      <c r="L47" s="55">
        <f t="shared" si="3"/>
        <v>0.04907778761</v>
      </c>
      <c r="M47" s="37"/>
      <c r="N47" s="56">
        <v>12271.218120000003</v>
      </c>
      <c r="O47" s="43"/>
      <c r="P47" s="57">
        <v>13068.847297800003</v>
      </c>
      <c r="Q47" s="43"/>
      <c r="R47" s="57">
        <v>13330.224243756003</v>
      </c>
      <c r="S47" s="58">
        <f t="shared" si="4"/>
        <v>0.4965934774</v>
      </c>
      <c r="T47" s="241"/>
      <c r="U47" s="57">
        <f t="shared" si="5"/>
        <v>13730.13097</v>
      </c>
      <c r="V47" s="57">
        <f t="shared" si="6"/>
        <v>399.9067273</v>
      </c>
      <c r="W47" s="62">
        <f t="shared" si="7"/>
        <v>0.03</v>
      </c>
      <c r="X47" s="43"/>
      <c r="Y47" s="88" t="str">
        <f t="shared" si="8"/>
        <v>#REF!</v>
      </c>
      <c r="Z47" s="249" t="str">
        <f t="shared" si="9"/>
        <v>#REF!</v>
      </c>
      <c r="AA47" s="58" t="str">
        <f t="shared" si="10"/>
        <v>#REF!</v>
      </c>
      <c r="AB47" s="43"/>
      <c r="AC47" s="250">
        <v>10766.502484698474</v>
      </c>
      <c r="AD47" s="249">
        <f t="shared" si="11"/>
        <v>-2963.628486</v>
      </c>
      <c r="AE47" s="58">
        <f t="shared" si="12"/>
        <v>0.4010866442</v>
      </c>
      <c r="AF47" s="58">
        <f t="shared" si="13"/>
        <v>1.884012334</v>
      </c>
      <c r="AG47" s="251"/>
      <c r="AH47" s="250" t="str">
        <f>SUM(#REF!*'FY21-22 fees'!$AH$3)</f>
        <v>#REF!</v>
      </c>
      <c r="AI47" s="249" t="str">
        <f t="shared" si="14"/>
        <v>#REF!</v>
      </c>
      <c r="AJ47" s="43"/>
      <c r="AK47" s="88" t="str">
        <f t="shared" si="15"/>
        <v>#REF!</v>
      </c>
      <c r="AL47" s="249" t="str">
        <f t="shared" si="16"/>
        <v>#REF!</v>
      </c>
      <c r="AM47" s="43"/>
      <c r="AN47" s="88" t="str">
        <f t="shared" si="17"/>
        <v>#REF!</v>
      </c>
      <c r="AO47" s="249" t="str">
        <f t="shared" si="18"/>
        <v>#REF!</v>
      </c>
      <c r="AP47" s="43"/>
      <c r="AQ47" s="88" t="str">
        <f t="shared" si="19"/>
        <v>#REF!</v>
      </c>
      <c r="AR47" s="249" t="str">
        <f t="shared" si="20"/>
        <v>#REF!</v>
      </c>
      <c r="AS47" s="43"/>
      <c r="AT47" s="88" t="str">
        <f t="shared" si="21"/>
        <v>#REF!</v>
      </c>
      <c r="AU47" s="249" t="str">
        <f t="shared" si="22"/>
        <v>#REF!</v>
      </c>
      <c r="AV47" s="43"/>
      <c r="AW47" s="88" t="str">
        <f t="shared" si="23"/>
        <v>#REF!</v>
      </c>
      <c r="AX47" s="249" t="str">
        <f t="shared" si="24"/>
        <v>#REF!</v>
      </c>
      <c r="AY47" s="249"/>
      <c r="AZ47" s="88">
        <v>10640.070194782673</v>
      </c>
      <c r="BA47" s="249">
        <v>-2690.1540489733306</v>
      </c>
      <c r="BB47" s="249"/>
      <c r="BC47" s="249">
        <v>11893.715706248648</v>
      </c>
      <c r="BD47" s="249">
        <v>-1436.5085375073559</v>
      </c>
      <c r="BE47" s="249"/>
      <c r="BF47" s="88">
        <v>11068.950192678873</v>
      </c>
      <c r="BG47" s="249">
        <v>-2261.274051077131</v>
      </c>
      <c r="BH47" s="249"/>
      <c r="BI47" s="88">
        <v>11322.177736851652</v>
      </c>
      <c r="BJ47" s="249">
        <v>-2008.0465069043512</v>
      </c>
      <c r="BK47" s="88">
        <v>7611.385479862283</v>
      </c>
      <c r="BL47" s="249">
        <v>-5718.83876389372</v>
      </c>
      <c r="BM47" s="249"/>
      <c r="BN47" s="88">
        <v>6865.5358552153075</v>
      </c>
      <c r="BO47" s="249">
        <v>-6464.688388540696</v>
      </c>
      <c r="BP47" s="249"/>
      <c r="BQ47" s="43"/>
      <c r="BR47" s="88" t="str">
        <f t="shared" si="25"/>
        <v>#REF!</v>
      </c>
      <c r="BS47" s="249" t="str">
        <f t="shared" si="26"/>
        <v>#REF!</v>
      </c>
      <c r="BT47" s="43"/>
      <c r="BU47" s="88">
        <v>13527.916856473172</v>
      </c>
      <c r="BV47" s="249">
        <v>197.69261271716823</v>
      </c>
      <c r="BW47" s="43"/>
      <c r="BX47" s="88">
        <v>15262.870144887562</v>
      </c>
      <c r="BY47" s="249">
        <v>1932.6459011315583</v>
      </c>
      <c r="BZ47" s="43"/>
      <c r="CA47" s="88">
        <v>14438.104631317789</v>
      </c>
      <c r="CB47" s="249">
        <v>1107.880387561785</v>
      </c>
      <c r="CC47" s="43"/>
      <c r="CD47" s="88">
        <v>13728.716621593732</v>
      </c>
      <c r="CE47" s="249">
        <v>398.4923778377288</v>
      </c>
      <c r="CF47" s="43"/>
      <c r="CG47" s="88">
        <v>12413.84121170445</v>
      </c>
      <c r="CH47" s="249">
        <v>-916.3830320515535</v>
      </c>
      <c r="CI47" s="43"/>
      <c r="CJ47" s="88">
        <v>11689.235662341469</v>
      </c>
      <c r="CK47" s="249">
        <v>-1640.9885814145346</v>
      </c>
    </row>
    <row r="48" ht="15.75" customHeight="1">
      <c r="A48" s="69" t="s">
        <v>116</v>
      </c>
      <c r="B48" s="48" t="s">
        <v>117</v>
      </c>
      <c r="C48" s="89" t="s">
        <v>90</v>
      </c>
      <c r="D48" s="71"/>
      <c r="E48" s="51">
        <f>'Avg master'!J38</f>
        <v>662</v>
      </c>
      <c r="F48" s="55">
        <f t="shared" si="1"/>
        <v>0.002531384193</v>
      </c>
      <c r="G48" s="71"/>
      <c r="H48" s="53">
        <v>952.0</v>
      </c>
      <c r="I48" s="53">
        <v>904.0</v>
      </c>
      <c r="J48" s="53">
        <v>887.0</v>
      </c>
      <c r="K48" s="54">
        <f t="shared" si="2"/>
        <v>914.3333333</v>
      </c>
      <c r="L48" s="55">
        <f t="shared" si="3"/>
        <v>0.00785233151</v>
      </c>
      <c r="M48" s="37"/>
      <c r="N48" s="56">
        <v>2454.243624</v>
      </c>
      <c r="O48" s="43"/>
      <c r="P48" s="57">
        <v>2613.76945956</v>
      </c>
      <c r="Q48" s="43"/>
      <c r="R48" s="57">
        <v>2666.0448487512003</v>
      </c>
      <c r="S48" s="58">
        <f t="shared" si="4"/>
        <v>4.02725808</v>
      </c>
      <c r="T48" s="241"/>
      <c r="U48" s="57">
        <f t="shared" si="5"/>
        <v>2746.026194</v>
      </c>
      <c r="V48" s="57">
        <f t="shared" si="6"/>
        <v>79.98134546</v>
      </c>
      <c r="W48" s="62">
        <f t="shared" si="7"/>
        <v>0.03</v>
      </c>
      <c r="X48" s="43"/>
      <c r="Y48" s="88" t="str">
        <f t="shared" si="8"/>
        <v>#REF!</v>
      </c>
      <c r="Z48" s="249" t="str">
        <f t="shared" si="9"/>
        <v>#REF!</v>
      </c>
      <c r="AA48" s="58" t="str">
        <f t="shared" si="10"/>
        <v>#REF!</v>
      </c>
      <c r="AB48" s="43"/>
      <c r="AC48" s="250">
        <v>1722.6152773873025</v>
      </c>
      <c r="AD48" s="249">
        <f t="shared" si="11"/>
        <v>-1023.410917</v>
      </c>
      <c r="AE48" s="58">
        <f t="shared" si="12"/>
        <v>2.602137881</v>
      </c>
      <c r="AF48" s="58">
        <f t="shared" si="13"/>
        <v>1.884012334</v>
      </c>
      <c r="AG48" s="251"/>
      <c r="AH48" s="250" t="str">
        <f>SUM(#REF!*'FY21-22 fees'!$AH$3)</f>
        <v>#REF!</v>
      </c>
      <c r="AI48" s="249" t="str">
        <f t="shared" si="14"/>
        <v>#REF!</v>
      </c>
      <c r="AJ48" s="43"/>
      <c r="AK48" s="88" t="str">
        <f t="shared" si="15"/>
        <v>#REF!</v>
      </c>
      <c r="AL48" s="249" t="str">
        <f t="shared" si="16"/>
        <v>#REF!</v>
      </c>
      <c r="AM48" s="43"/>
      <c r="AN48" s="88" t="str">
        <f t="shared" si="17"/>
        <v>#REF!</v>
      </c>
      <c r="AO48" s="249" t="str">
        <f t="shared" si="18"/>
        <v>#REF!</v>
      </c>
      <c r="AP48" s="43"/>
      <c r="AQ48" s="88" t="str">
        <f t="shared" si="19"/>
        <v>#REF!</v>
      </c>
      <c r="AR48" s="249" t="str">
        <f t="shared" si="20"/>
        <v>#REF!</v>
      </c>
      <c r="AS48" s="43"/>
      <c r="AT48" s="88" t="str">
        <f t="shared" si="21"/>
        <v>#REF!</v>
      </c>
      <c r="AU48" s="249" t="str">
        <f t="shared" si="22"/>
        <v>#REF!</v>
      </c>
      <c r="AV48" s="43"/>
      <c r="AW48" s="88" t="str">
        <f t="shared" si="23"/>
        <v>#REF!</v>
      </c>
      <c r="AX48" s="249" t="str">
        <f t="shared" si="24"/>
        <v>#REF!</v>
      </c>
      <c r="AY48" s="249"/>
      <c r="AZ48" s="88">
        <v>1761.8018904826934</v>
      </c>
      <c r="BA48" s="249">
        <v>-904.242958268507</v>
      </c>
      <c r="BB48" s="249"/>
      <c r="BC48" s="249">
        <v>1661.8254299651383</v>
      </c>
      <c r="BD48" s="249">
        <v>-1004.2194187860621</v>
      </c>
      <c r="BE48" s="249"/>
      <c r="BF48" s="88">
        <v>1983.0357274888906</v>
      </c>
      <c r="BG48" s="249">
        <v>-683.0091212623097</v>
      </c>
      <c r="BH48" s="249"/>
      <c r="BI48" s="88">
        <v>1861.3109231114047</v>
      </c>
      <c r="BJ48" s="249">
        <v>-804.7339256397956</v>
      </c>
      <c r="BK48" s="88">
        <v>2549.0278066462683</v>
      </c>
      <c r="BL48" s="249">
        <v>-117.01704210493199</v>
      </c>
      <c r="BM48" s="249"/>
      <c r="BN48" s="88">
        <v>2586.4123749954597</v>
      </c>
      <c r="BO48" s="249">
        <v>-79.63247375574065</v>
      </c>
      <c r="BP48" s="249"/>
      <c r="BQ48" s="43"/>
      <c r="BR48" s="88" t="str">
        <f t="shared" si="25"/>
        <v>#REF!</v>
      </c>
      <c r="BS48" s="249" t="str">
        <f t="shared" si="26"/>
        <v>#REF!</v>
      </c>
      <c r="BT48" s="43"/>
      <c r="BU48" s="88">
        <v>1515.8739949636517</v>
      </c>
      <c r="BV48" s="249">
        <v>-1150.1708537875486</v>
      </c>
      <c r="BW48" s="43"/>
      <c r="BX48" s="88">
        <v>1374.9095518595896</v>
      </c>
      <c r="BY48" s="249">
        <v>-1291.1352968916108</v>
      </c>
      <c r="BZ48" s="43"/>
      <c r="CA48" s="88">
        <v>1696.1198493833422</v>
      </c>
      <c r="CB48" s="249">
        <v>-969.9249993678582</v>
      </c>
      <c r="CC48" s="43"/>
      <c r="CD48" s="88">
        <v>1656.3710101788702</v>
      </c>
      <c r="CE48" s="249">
        <v>-1009.6738385723302</v>
      </c>
      <c r="CF48" s="43"/>
      <c r="CG48" s="88">
        <v>2140.0525493644536</v>
      </c>
      <c r="CH48" s="249">
        <v>-525.9922993867467</v>
      </c>
      <c r="CI48" s="43"/>
      <c r="CJ48" s="88">
        <v>2175.6279805471363</v>
      </c>
      <c r="CK48" s="249">
        <v>-490.41686820406403</v>
      </c>
    </row>
    <row r="49" ht="15.75" customHeight="1">
      <c r="A49" s="69" t="s">
        <v>118</v>
      </c>
      <c r="B49" s="76" t="s">
        <v>119</v>
      </c>
      <c r="C49" s="89" t="s">
        <v>51</v>
      </c>
      <c r="D49" s="71"/>
      <c r="E49" s="51">
        <f>'Avg master'!J39</f>
        <v>363.6666667</v>
      </c>
      <c r="F49" s="55">
        <f t="shared" si="1"/>
        <v>0.001390604307</v>
      </c>
      <c r="G49" s="71"/>
      <c r="H49" s="53">
        <v>371.0</v>
      </c>
      <c r="I49" s="53">
        <v>369.0</v>
      </c>
      <c r="J49" s="53">
        <v>368.0</v>
      </c>
      <c r="K49" s="54">
        <f t="shared" si="2"/>
        <v>369.3333333</v>
      </c>
      <c r="L49" s="55">
        <f t="shared" si="3"/>
        <v>0.003171849549</v>
      </c>
      <c r="M49" s="37"/>
      <c r="N49" s="56">
        <v>1227.121812</v>
      </c>
      <c r="O49" s="43"/>
      <c r="P49" s="57">
        <v>1306.88472978</v>
      </c>
      <c r="Q49" s="43"/>
      <c r="R49" s="57">
        <v>1333.0224243756002</v>
      </c>
      <c r="S49" s="58">
        <f t="shared" si="4"/>
        <v>3.665506208</v>
      </c>
      <c r="T49" s="241"/>
      <c r="U49" s="57">
        <f t="shared" si="5"/>
        <v>1373.013097</v>
      </c>
      <c r="V49" s="57">
        <f t="shared" si="6"/>
        <v>39.99067273</v>
      </c>
      <c r="W49" s="62">
        <f t="shared" si="7"/>
        <v>0.03</v>
      </c>
      <c r="X49" s="43"/>
      <c r="Y49" s="88" t="str">
        <f t="shared" si="8"/>
        <v>#REF!</v>
      </c>
      <c r="Z49" s="249" t="str">
        <f t="shared" si="9"/>
        <v>#REF!</v>
      </c>
      <c r="AA49" s="58" t="str">
        <f t="shared" si="10"/>
        <v>#REF!</v>
      </c>
      <c r="AB49" s="43"/>
      <c r="AC49" s="250">
        <v>695.8285553573209</v>
      </c>
      <c r="AD49" s="249">
        <f t="shared" si="11"/>
        <v>-677.1845417</v>
      </c>
      <c r="AE49" s="58">
        <f t="shared" si="12"/>
        <v>1.91336908</v>
      </c>
      <c r="AF49" s="58">
        <f t="shared" si="13"/>
        <v>1.884012334</v>
      </c>
      <c r="AG49" s="251"/>
      <c r="AH49" s="250" t="str">
        <f>SUM(#REF!*'FY21-22 fees'!$AH$3)</f>
        <v>#REF!</v>
      </c>
      <c r="AI49" s="249" t="str">
        <f t="shared" si="14"/>
        <v>#REF!</v>
      </c>
      <c r="AJ49" s="43"/>
      <c r="AK49" s="88" t="str">
        <f t="shared" si="15"/>
        <v>#REF!</v>
      </c>
      <c r="AL49" s="249" t="str">
        <f t="shared" si="16"/>
        <v>#REF!</v>
      </c>
      <c r="AM49" s="43"/>
      <c r="AN49" s="88" t="str">
        <f t="shared" si="17"/>
        <v>#REF!</v>
      </c>
      <c r="AO49" s="249" t="str">
        <f t="shared" si="18"/>
        <v>#REF!</v>
      </c>
      <c r="AP49" s="43"/>
      <c r="AQ49" s="88" t="str">
        <f t="shared" si="19"/>
        <v>#REF!</v>
      </c>
      <c r="AR49" s="249" t="str">
        <f t="shared" si="20"/>
        <v>#REF!</v>
      </c>
      <c r="AS49" s="43"/>
      <c r="AT49" s="88" t="str">
        <f t="shared" si="21"/>
        <v>#REF!</v>
      </c>
      <c r="AU49" s="249" t="str">
        <f t="shared" si="22"/>
        <v>#REF!</v>
      </c>
      <c r="AV49" s="43"/>
      <c r="AW49" s="88" t="str">
        <f t="shared" si="23"/>
        <v>#REF!</v>
      </c>
      <c r="AX49" s="249" t="str">
        <f t="shared" si="24"/>
        <v>#REF!</v>
      </c>
      <c r="AY49" s="249"/>
      <c r="AZ49" s="88">
        <v>1416.6661937672977</v>
      </c>
      <c r="BA49" s="249">
        <v>83.64376939169756</v>
      </c>
      <c r="BB49" s="249"/>
      <c r="BC49" s="249">
        <v>1288.6898254341647</v>
      </c>
      <c r="BD49" s="249">
        <v>-44.332598941435435</v>
      </c>
      <c r="BE49" s="249"/>
      <c r="BF49" s="88">
        <v>1610.7364381390114</v>
      </c>
      <c r="BG49" s="249">
        <v>277.71401376341123</v>
      </c>
      <c r="BH49" s="249"/>
      <c r="BI49" s="88">
        <v>1575.712528583781</v>
      </c>
      <c r="BJ49" s="249">
        <v>242.69010420818086</v>
      </c>
      <c r="BK49" s="88">
        <v>2025.5167605387956</v>
      </c>
      <c r="BL49" s="249">
        <v>692.4943361631954</v>
      </c>
      <c r="BM49" s="249"/>
      <c r="BN49" s="88">
        <v>2028.4694599586578</v>
      </c>
      <c r="BO49" s="249">
        <v>695.4470355830576</v>
      </c>
      <c r="BP49" s="249"/>
      <c r="BQ49" s="43"/>
      <c r="BR49" s="88" t="str">
        <f t="shared" si="25"/>
        <v>#REF!</v>
      </c>
      <c r="BS49" s="249" t="str">
        <f t="shared" si="26"/>
        <v>#REF!</v>
      </c>
      <c r="BT49" s="43"/>
      <c r="BU49" s="88">
        <v>1317.3267449028797</v>
      </c>
      <c r="BV49" s="249">
        <v>-15.695679472720485</v>
      </c>
      <c r="BW49" s="43"/>
      <c r="BX49" s="88">
        <v>1172.7938017590106</v>
      </c>
      <c r="BY49" s="249">
        <v>-160.22862261658952</v>
      </c>
      <c r="BZ49" s="43"/>
      <c r="CA49" s="88">
        <v>1494.8404144638573</v>
      </c>
      <c r="CB49" s="249">
        <v>161.81799008825715</v>
      </c>
      <c r="CC49" s="43"/>
      <c r="CD49" s="88">
        <v>1492.9296545300992</v>
      </c>
      <c r="CE49" s="249">
        <v>159.90723015449908</v>
      </c>
      <c r="CF49" s="43"/>
      <c r="CG49" s="88">
        <v>1860.3164014180331</v>
      </c>
      <c r="CH49" s="249">
        <v>527.293977042433</v>
      </c>
      <c r="CI49" s="43"/>
      <c r="CJ49" s="88">
        <v>1862.538322864694</v>
      </c>
      <c r="CK49" s="249">
        <v>529.5158984890938</v>
      </c>
    </row>
    <row r="50" ht="15.75" customHeight="1">
      <c r="A50" s="69" t="s">
        <v>120</v>
      </c>
      <c r="B50" s="48" t="s">
        <v>121</v>
      </c>
      <c r="C50" s="107" t="s">
        <v>107</v>
      </c>
      <c r="D50" s="71"/>
      <c r="E50" s="51">
        <f>'Avg master'!J40</f>
        <v>10915</v>
      </c>
      <c r="F50" s="55">
        <f t="shared" si="1"/>
        <v>0.04173724844</v>
      </c>
      <c r="G50" s="71"/>
      <c r="H50" s="53">
        <v>4494.0</v>
      </c>
      <c r="I50" s="53">
        <v>3364.0</v>
      </c>
      <c r="J50" s="53">
        <v>2719.0</v>
      </c>
      <c r="K50" s="54">
        <f t="shared" si="2"/>
        <v>3525.666667</v>
      </c>
      <c r="L50" s="55">
        <f t="shared" si="3"/>
        <v>0.0302785674</v>
      </c>
      <c r="M50" s="37"/>
      <c r="N50" s="56">
        <v>9793.600747200002</v>
      </c>
      <c r="O50" s="43"/>
      <c r="P50" s="57">
        <v>10430.184795768002</v>
      </c>
      <c r="Q50" s="43"/>
      <c r="R50" s="57">
        <v>10638.788491683363</v>
      </c>
      <c r="S50" s="58">
        <f t="shared" si="4"/>
        <v>0.974694319</v>
      </c>
      <c r="T50" s="241"/>
      <c r="U50" s="57">
        <f t="shared" si="5"/>
        <v>10957.95215</v>
      </c>
      <c r="V50" s="57">
        <f t="shared" si="6"/>
        <v>319.1636548</v>
      </c>
      <c r="W50" s="62">
        <f t="shared" si="7"/>
        <v>0.03</v>
      </c>
      <c r="X50" s="43"/>
      <c r="Y50" s="88" t="str">
        <f t="shared" si="8"/>
        <v>#REF!</v>
      </c>
      <c r="Z50" s="249" t="str">
        <f t="shared" si="9"/>
        <v>#REF!</v>
      </c>
      <c r="AA50" s="58" t="str">
        <f t="shared" si="10"/>
        <v>#REF!</v>
      </c>
      <c r="AB50" s="43"/>
      <c r="AC50" s="250">
        <v>6642.399485572548</v>
      </c>
      <c r="AD50" s="249">
        <f t="shared" si="11"/>
        <v>-4315.552661</v>
      </c>
      <c r="AE50" s="58">
        <f t="shared" si="12"/>
        <v>0.6085569845</v>
      </c>
      <c r="AF50" s="58">
        <f t="shared" si="13"/>
        <v>1.884012334</v>
      </c>
      <c r="AG50" s="251"/>
      <c r="AH50" s="250" t="str">
        <f>SUM(#REF!*'FY21-22 fees'!$AH$3)</f>
        <v>#REF!</v>
      </c>
      <c r="AI50" s="249" t="str">
        <f t="shared" si="14"/>
        <v>#REF!</v>
      </c>
      <c r="AJ50" s="43"/>
      <c r="AK50" s="88" t="str">
        <f t="shared" si="15"/>
        <v>#REF!</v>
      </c>
      <c r="AL50" s="249" t="str">
        <f t="shared" si="16"/>
        <v>#REF!</v>
      </c>
      <c r="AM50" s="43"/>
      <c r="AN50" s="88" t="str">
        <f t="shared" si="17"/>
        <v>#REF!</v>
      </c>
      <c r="AO50" s="249" t="str">
        <f t="shared" si="18"/>
        <v>#REF!</v>
      </c>
      <c r="AP50" s="43"/>
      <c r="AQ50" s="88" t="str">
        <f t="shared" si="19"/>
        <v>#REF!</v>
      </c>
      <c r="AR50" s="249" t="str">
        <f t="shared" si="20"/>
        <v>#REF!</v>
      </c>
      <c r="AS50" s="43"/>
      <c r="AT50" s="88" t="str">
        <f t="shared" si="21"/>
        <v>#REF!</v>
      </c>
      <c r="AU50" s="249" t="str">
        <f t="shared" si="22"/>
        <v>#REF!</v>
      </c>
      <c r="AV50" s="43"/>
      <c r="AW50" s="88" t="str">
        <f t="shared" si="23"/>
        <v>#REF!</v>
      </c>
      <c r="AX50" s="249" t="str">
        <f t="shared" si="24"/>
        <v>#REF!</v>
      </c>
      <c r="AY50" s="249"/>
      <c r="AZ50" s="88">
        <v>6235.728411619019</v>
      </c>
      <c r="BA50" s="249">
        <v>-4403.060080064343</v>
      </c>
      <c r="BB50" s="249"/>
      <c r="BC50" s="249">
        <v>6593.18569885101</v>
      </c>
      <c r="BD50" s="249">
        <v>-4045.602792832353</v>
      </c>
      <c r="BE50" s="249"/>
      <c r="BF50" s="88">
        <v>6552.689680551666</v>
      </c>
      <c r="BG50" s="249">
        <v>-4086.0988111316965</v>
      </c>
      <c r="BH50" s="249"/>
      <c r="BI50" s="88">
        <v>6373.242138072971</v>
      </c>
      <c r="BJ50" s="249">
        <v>-4265.546353610392</v>
      </c>
      <c r="BK50" s="88">
        <v>6068.456705681595</v>
      </c>
      <c r="BL50" s="249">
        <v>-4570.331786001768</v>
      </c>
      <c r="BM50" s="249"/>
      <c r="BN50" s="88">
        <v>6236.597702894616</v>
      </c>
      <c r="BO50" s="249">
        <v>-4402.190788788746</v>
      </c>
      <c r="BP50" s="249"/>
      <c r="BQ50" s="43"/>
      <c r="BR50" s="88" t="str">
        <f t="shared" si="25"/>
        <v>#REF!</v>
      </c>
      <c r="BS50" s="249" t="str">
        <f t="shared" si="26"/>
        <v>#REF!</v>
      </c>
      <c r="BT50" s="43"/>
      <c r="BU50" s="88">
        <v>6595.6901290958685</v>
      </c>
      <c r="BV50" s="249">
        <v>-4043.098362587494</v>
      </c>
      <c r="BW50" s="43"/>
      <c r="BX50" s="88">
        <v>7013.1410359073325</v>
      </c>
      <c r="BY50" s="249">
        <v>-3625.6474557760303</v>
      </c>
      <c r="BZ50" s="43"/>
      <c r="CA50" s="88">
        <v>6972.645017607989</v>
      </c>
      <c r="CB50" s="249">
        <v>-3666.143474075374</v>
      </c>
      <c r="CC50" s="43"/>
      <c r="CD50" s="88">
        <v>6673.210235970344</v>
      </c>
      <c r="CE50" s="249">
        <v>-3965.5782557130187</v>
      </c>
      <c r="CF50" s="43"/>
      <c r="CG50" s="88">
        <v>6667.06889526665</v>
      </c>
      <c r="CH50" s="249">
        <v>-3971.719596416713</v>
      </c>
      <c r="CI50" s="43"/>
      <c r="CJ50" s="88">
        <v>6837.857904899056</v>
      </c>
      <c r="CK50" s="249">
        <v>-3800.930586784307</v>
      </c>
    </row>
    <row r="51" ht="15.75" customHeight="1">
      <c r="A51" s="66" t="s">
        <v>122</v>
      </c>
      <c r="B51" s="48" t="s">
        <v>123</v>
      </c>
      <c r="C51" s="70" t="s">
        <v>42</v>
      </c>
      <c r="D51" s="68"/>
      <c r="E51" s="51">
        <f>'Avg master'!J41</f>
        <v>23837.33333</v>
      </c>
      <c r="F51" s="55">
        <f t="shared" si="1"/>
        <v>0.09115022478</v>
      </c>
      <c r="G51" s="68"/>
      <c r="H51" s="53">
        <v>8020.0</v>
      </c>
      <c r="I51" s="53">
        <v>7378.0</v>
      </c>
      <c r="J51" s="53">
        <v>6220.0</v>
      </c>
      <c r="K51" s="54">
        <f t="shared" si="2"/>
        <v>7206</v>
      </c>
      <c r="L51" s="55">
        <f t="shared" si="3"/>
        <v>0.06188541837</v>
      </c>
      <c r="M51" s="37"/>
      <c r="N51" s="56">
        <v>12271.218120000003</v>
      </c>
      <c r="O51" s="43"/>
      <c r="P51" s="57">
        <v>13068.847297800003</v>
      </c>
      <c r="Q51" s="43"/>
      <c r="R51" s="57">
        <v>13330.224243756003</v>
      </c>
      <c r="S51" s="58">
        <f t="shared" si="4"/>
        <v>0.5592162537</v>
      </c>
      <c r="T51" s="241"/>
      <c r="U51" s="57">
        <f t="shared" si="5"/>
        <v>13730.13097</v>
      </c>
      <c r="V51" s="57">
        <f t="shared" si="6"/>
        <v>399.9067273</v>
      </c>
      <c r="W51" s="62">
        <f t="shared" si="7"/>
        <v>0.03</v>
      </c>
      <c r="X51" s="43"/>
      <c r="Y51" s="88" t="str">
        <f t="shared" si="8"/>
        <v>#REF!</v>
      </c>
      <c r="Z51" s="249" t="str">
        <f t="shared" si="9"/>
        <v>#REF!</v>
      </c>
      <c r="AA51" s="58" t="str">
        <f t="shared" si="10"/>
        <v>#REF!</v>
      </c>
      <c r="AB51" s="43"/>
      <c r="AC51" s="250">
        <v>13576.192878803757</v>
      </c>
      <c r="AD51" s="249">
        <f t="shared" si="11"/>
        <v>-153.9380923</v>
      </c>
      <c r="AE51" s="58">
        <f t="shared" si="12"/>
        <v>0.5695348842</v>
      </c>
      <c r="AF51" s="58">
        <f t="shared" si="13"/>
        <v>1.884012334</v>
      </c>
      <c r="AG51" s="251"/>
      <c r="AH51" s="250" t="str">
        <f>SUM(#REF!*'FY21-22 fees'!$AH$3)</f>
        <v>#REF!</v>
      </c>
      <c r="AI51" s="249" t="str">
        <f t="shared" si="14"/>
        <v>#REF!</v>
      </c>
      <c r="AJ51" s="43"/>
      <c r="AK51" s="88" t="str">
        <f t="shared" si="15"/>
        <v>#REF!</v>
      </c>
      <c r="AL51" s="249" t="str">
        <f t="shared" si="16"/>
        <v>#REF!</v>
      </c>
      <c r="AM51" s="43"/>
      <c r="AN51" s="88" t="str">
        <f t="shared" si="17"/>
        <v>#REF!</v>
      </c>
      <c r="AO51" s="249" t="str">
        <f t="shared" si="18"/>
        <v>#REF!</v>
      </c>
      <c r="AP51" s="43"/>
      <c r="AQ51" s="88" t="str">
        <f t="shared" si="19"/>
        <v>#REF!</v>
      </c>
      <c r="AR51" s="249" t="str">
        <f t="shared" si="20"/>
        <v>#REF!</v>
      </c>
      <c r="AS51" s="43"/>
      <c r="AT51" s="88" t="str">
        <f t="shared" si="21"/>
        <v>#REF!</v>
      </c>
      <c r="AU51" s="249" t="str">
        <f t="shared" si="22"/>
        <v>#REF!</v>
      </c>
      <c r="AV51" s="43"/>
      <c r="AW51" s="88" t="str">
        <f t="shared" si="23"/>
        <v>#REF!</v>
      </c>
      <c r="AX51" s="249" t="str">
        <f t="shared" si="24"/>
        <v>#REF!</v>
      </c>
      <c r="AY51" s="249"/>
      <c r="AZ51" s="88">
        <v>13411.241964012364</v>
      </c>
      <c r="BA51" s="249">
        <v>81.01772025636092</v>
      </c>
      <c r="BB51" s="249"/>
      <c r="BC51" s="249">
        <v>13688.090805092126</v>
      </c>
      <c r="BD51" s="249">
        <v>357.8665613361227</v>
      </c>
      <c r="BE51" s="249"/>
      <c r="BF51" s="88">
        <v>12645.345713250103</v>
      </c>
      <c r="BG51" s="249">
        <v>-684.8785305059009</v>
      </c>
      <c r="BH51" s="249"/>
      <c r="BI51" s="88">
        <v>12877.016763796057</v>
      </c>
      <c r="BJ51" s="249">
        <v>-453.2074799599468</v>
      </c>
      <c r="BK51" s="88">
        <v>10542.034859074703</v>
      </c>
      <c r="BL51" s="249">
        <v>-2788.1893846813</v>
      </c>
      <c r="BM51" s="249"/>
      <c r="BN51" s="88">
        <v>12090.221584023946</v>
      </c>
      <c r="BO51" s="249">
        <v>-1240.0026597320575</v>
      </c>
      <c r="BP51" s="249"/>
      <c r="BQ51" s="43"/>
      <c r="BR51" s="88" t="str">
        <f t="shared" si="25"/>
        <v>#REF!</v>
      </c>
      <c r="BS51" s="249" t="str">
        <f t="shared" si="26"/>
        <v>#REF!</v>
      </c>
      <c r="BT51" s="43"/>
      <c r="BU51" s="88">
        <v>15012.073254851546</v>
      </c>
      <c r="BV51" s="249">
        <v>1681.8490110955427</v>
      </c>
      <c r="BW51" s="43"/>
      <c r="BX51" s="88">
        <v>15555.72731107117</v>
      </c>
      <c r="BY51" s="249">
        <v>2225.503067315167</v>
      </c>
      <c r="BZ51" s="43"/>
      <c r="CA51" s="88">
        <v>14512.982219229147</v>
      </c>
      <c r="CB51" s="249">
        <v>1182.7579754731432</v>
      </c>
      <c r="CC51" s="43"/>
      <c r="CD51" s="88">
        <v>14211.042839495374</v>
      </c>
      <c r="CE51" s="249">
        <v>880.8185957393707</v>
      </c>
      <c r="CF51" s="43"/>
      <c r="CG51" s="88">
        <v>13204.198854964474</v>
      </c>
      <c r="CH51" s="249">
        <v>-126.02538879152962</v>
      </c>
      <c r="CI51" s="43"/>
      <c r="CJ51" s="88">
        <v>14764.161890931444</v>
      </c>
      <c r="CK51" s="249">
        <v>1433.9376471754404</v>
      </c>
    </row>
    <row r="52" ht="15.75" customHeight="1">
      <c r="A52" s="66" t="s">
        <v>124</v>
      </c>
      <c r="B52" s="48" t="s">
        <v>125</v>
      </c>
      <c r="C52" s="81" t="s">
        <v>62</v>
      </c>
      <c r="D52" s="68"/>
      <c r="E52" s="51">
        <f>'Avg master'!J42</f>
        <v>2028</v>
      </c>
      <c r="F52" s="55">
        <f t="shared" si="1"/>
        <v>0.007754753993</v>
      </c>
      <c r="G52" s="68"/>
      <c r="H52" s="53">
        <v>776.0</v>
      </c>
      <c r="I52" s="53">
        <v>591.0</v>
      </c>
      <c r="J52" s="53">
        <v>429.0</v>
      </c>
      <c r="K52" s="54">
        <f t="shared" si="2"/>
        <v>598.6666667</v>
      </c>
      <c r="L52" s="55">
        <f t="shared" si="3"/>
        <v>0.005141373457</v>
      </c>
      <c r="M52" s="37"/>
      <c r="N52" s="56">
        <v>1659.5361648</v>
      </c>
      <c r="O52" s="43"/>
      <c r="P52" s="57">
        <v>1767.406015512</v>
      </c>
      <c r="Q52" s="43"/>
      <c r="R52" s="57">
        <v>1802.7541358222402</v>
      </c>
      <c r="S52" s="58">
        <f t="shared" si="4"/>
        <v>0.8889320196</v>
      </c>
      <c r="T52" s="241"/>
      <c r="U52" s="57">
        <f t="shared" si="5"/>
        <v>1856.83676</v>
      </c>
      <c r="V52" s="57">
        <f t="shared" si="6"/>
        <v>54.08262407</v>
      </c>
      <c r="W52" s="62">
        <f t="shared" si="7"/>
        <v>0.03</v>
      </c>
      <c r="X52" s="43"/>
      <c r="Y52" s="88" t="str">
        <f t="shared" si="8"/>
        <v>#REF!</v>
      </c>
      <c r="Z52" s="249" t="str">
        <f t="shared" si="9"/>
        <v>#REF!</v>
      </c>
      <c r="AA52" s="58" t="str">
        <f t="shared" si="10"/>
        <v>#REF!</v>
      </c>
      <c r="AB52" s="43"/>
      <c r="AC52" s="250">
        <v>1127.8953839546464</v>
      </c>
      <c r="AD52" s="249">
        <f t="shared" si="11"/>
        <v>-728.9413759</v>
      </c>
      <c r="AE52" s="58">
        <f t="shared" si="12"/>
        <v>0.5561614319</v>
      </c>
      <c r="AF52" s="58">
        <f t="shared" si="13"/>
        <v>1.884012334</v>
      </c>
      <c r="AG52" s="251"/>
      <c r="AH52" s="250" t="str">
        <f>SUM(#REF!*'FY21-22 fees'!$AH$3)</f>
        <v>#REF!</v>
      </c>
      <c r="AI52" s="249" t="str">
        <f t="shared" si="14"/>
        <v>#REF!</v>
      </c>
      <c r="AJ52" s="43"/>
      <c r="AK52" s="88" t="str">
        <f t="shared" si="15"/>
        <v>#REF!</v>
      </c>
      <c r="AL52" s="249" t="str">
        <f t="shared" si="16"/>
        <v>#REF!</v>
      </c>
      <c r="AM52" s="43"/>
      <c r="AN52" s="88" t="str">
        <f t="shared" si="17"/>
        <v>#REF!</v>
      </c>
      <c r="AO52" s="249" t="str">
        <f t="shared" si="18"/>
        <v>#REF!</v>
      </c>
      <c r="AP52" s="43"/>
      <c r="AQ52" s="88" t="str">
        <f t="shared" si="19"/>
        <v>#REF!</v>
      </c>
      <c r="AR52" s="249" t="str">
        <f t="shared" si="20"/>
        <v>#REF!</v>
      </c>
      <c r="AS52" s="43"/>
      <c r="AT52" s="88" t="str">
        <f t="shared" si="21"/>
        <v>#REF!</v>
      </c>
      <c r="AU52" s="249" t="str">
        <f t="shared" si="22"/>
        <v>#REF!</v>
      </c>
      <c r="AV52" s="43"/>
      <c r="AW52" s="88" t="str">
        <f t="shared" si="23"/>
        <v>#REF!</v>
      </c>
      <c r="AX52" s="249" t="str">
        <f t="shared" si="24"/>
        <v>#REF!</v>
      </c>
      <c r="AY52" s="249"/>
      <c r="AZ52" s="88">
        <v>1658.3243188874626</v>
      </c>
      <c r="BA52" s="249">
        <v>-144.4298169347776</v>
      </c>
      <c r="BB52" s="249"/>
      <c r="BC52" s="249">
        <v>1468.300870084419</v>
      </c>
      <c r="BD52" s="249">
        <v>-334.4532657378211</v>
      </c>
      <c r="BE52" s="249"/>
      <c r="BF52" s="88">
        <v>1751.9964580562469</v>
      </c>
      <c r="BG52" s="249">
        <v>-50.75767776599332</v>
      </c>
      <c r="BH52" s="249"/>
      <c r="BI52" s="88">
        <v>1718.4883435812494</v>
      </c>
      <c r="BJ52" s="249">
        <v>-84.26579224099078</v>
      </c>
      <c r="BK52" s="88">
        <v>2463.444584663722</v>
      </c>
      <c r="BL52" s="249">
        <v>660.6904488414816</v>
      </c>
      <c r="BM52" s="249"/>
      <c r="BN52" s="88">
        <v>2174.960205076476</v>
      </c>
      <c r="BO52" s="249">
        <v>372.2060692542359</v>
      </c>
      <c r="BP52" s="249"/>
      <c r="BQ52" s="43"/>
      <c r="BR52" s="88" t="str">
        <f t="shared" si="25"/>
        <v>#REF!</v>
      </c>
      <c r="BS52" s="249" t="str">
        <f t="shared" si="26"/>
        <v>#REF!</v>
      </c>
      <c r="BT52" s="43"/>
      <c r="BU52" s="88">
        <v>1824.8626456011839</v>
      </c>
      <c r="BV52" s="249">
        <v>22.1085097789437</v>
      </c>
      <c r="BW52" s="43"/>
      <c r="BX52" s="88">
        <v>1662.5955845837605</v>
      </c>
      <c r="BY52" s="249">
        <v>-140.15855123847973</v>
      </c>
      <c r="BZ52" s="43"/>
      <c r="CA52" s="88">
        <v>1946.2911725555884</v>
      </c>
      <c r="CB52" s="249">
        <v>143.53703673334826</v>
      </c>
      <c r="CC52" s="43"/>
      <c r="CD52" s="88">
        <v>1857.2702825093506</v>
      </c>
      <c r="CE52" s="249">
        <v>54.51614668711045</v>
      </c>
      <c r="CF52" s="43"/>
      <c r="CG52" s="88">
        <v>2740.3959035504135</v>
      </c>
      <c r="CH52" s="249">
        <v>937.6417677281734</v>
      </c>
      <c r="CI52" s="43"/>
      <c r="CJ52" s="88">
        <v>2453.1366419021883</v>
      </c>
      <c r="CK52" s="249">
        <v>650.3825060799481</v>
      </c>
    </row>
    <row r="53" ht="15.75" customHeight="1">
      <c r="A53" s="69" t="s">
        <v>126</v>
      </c>
      <c r="B53" s="48" t="s">
        <v>127</v>
      </c>
      <c r="C53" s="104" t="s">
        <v>39</v>
      </c>
      <c r="D53" s="71"/>
      <c r="E53" s="51">
        <f>'Avg master'!J43</f>
        <v>1824.333333</v>
      </c>
      <c r="F53" s="55">
        <f t="shared" si="1"/>
        <v>0.006975964596</v>
      </c>
      <c r="G53" s="71"/>
      <c r="H53" s="53">
        <v>1383.0</v>
      </c>
      <c r="I53" s="53">
        <v>1367.0</v>
      </c>
      <c r="J53" s="53">
        <v>1141.0</v>
      </c>
      <c r="K53" s="54">
        <f t="shared" si="2"/>
        <v>1297</v>
      </c>
      <c r="L53" s="55">
        <f t="shared" si="3"/>
        <v>0.01113868826</v>
      </c>
      <c r="M53" s="37"/>
      <c r="N53" s="56">
        <v>1472.5461744000004</v>
      </c>
      <c r="O53" s="43"/>
      <c r="P53" s="57">
        <v>1568.2616757360004</v>
      </c>
      <c r="Q53" s="43"/>
      <c r="R53" s="57">
        <v>1599.6269092507205</v>
      </c>
      <c r="S53" s="58">
        <f t="shared" si="4"/>
        <v>0.876828198</v>
      </c>
      <c r="T53" s="241"/>
      <c r="U53" s="57">
        <f t="shared" si="5"/>
        <v>1647.615717</v>
      </c>
      <c r="V53" s="57">
        <f t="shared" si="6"/>
        <v>47.98880728</v>
      </c>
      <c r="W53" s="62">
        <f t="shared" si="7"/>
        <v>0.03</v>
      </c>
      <c r="X53" s="43"/>
      <c r="Y53" s="88" t="str">
        <f t="shared" si="8"/>
        <v>#REF!</v>
      </c>
      <c r="Z53" s="249" t="str">
        <f t="shared" si="9"/>
        <v>#REF!</v>
      </c>
      <c r="AA53" s="58" t="str">
        <f t="shared" si="10"/>
        <v>#REF!</v>
      </c>
      <c r="AB53" s="43"/>
      <c r="AC53" s="250">
        <v>2443.5639971979563</v>
      </c>
      <c r="AD53" s="249">
        <f t="shared" si="11"/>
        <v>795.9482807</v>
      </c>
      <c r="AE53" s="58">
        <f t="shared" si="12"/>
        <v>1.339428465</v>
      </c>
      <c r="AF53" s="58">
        <f t="shared" si="13"/>
        <v>1.884012334</v>
      </c>
      <c r="AG53" s="251"/>
      <c r="AH53" s="250" t="str">
        <f>SUM(#REF!*'FY21-22 fees'!$AH$3)</f>
        <v>#REF!</v>
      </c>
      <c r="AI53" s="249" t="str">
        <f t="shared" si="14"/>
        <v>#REF!</v>
      </c>
      <c r="AJ53" s="43"/>
      <c r="AK53" s="88" t="str">
        <f t="shared" si="15"/>
        <v>#REF!</v>
      </c>
      <c r="AL53" s="249" t="str">
        <f t="shared" si="16"/>
        <v>#REF!</v>
      </c>
      <c r="AM53" s="43"/>
      <c r="AN53" s="88" t="str">
        <f t="shared" si="17"/>
        <v>#REF!</v>
      </c>
      <c r="AO53" s="249" t="str">
        <f t="shared" si="18"/>
        <v>#REF!</v>
      </c>
      <c r="AP53" s="43"/>
      <c r="AQ53" s="88" t="str">
        <f t="shared" si="19"/>
        <v>#REF!</v>
      </c>
      <c r="AR53" s="249" t="str">
        <f t="shared" si="20"/>
        <v>#REF!</v>
      </c>
      <c r="AS53" s="43"/>
      <c r="AT53" s="88" t="str">
        <f t="shared" si="21"/>
        <v>#REF!</v>
      </c>
      <c r="AU53" s="249" t="str">
        <f t="shared" si="22"/>
        <v>#REF!</v>
      </c>
      <c r="AV53" s="43"/>
      <c r="AW53" s="88" t="str">
        <f t="shared" si="23"/>
        <v>#REF!</v>
      </c>
      <c r="AX53" s="249" t="str">
        <f t="shared" si="24"/>
        <v>#REF!</v>
      </c>
      <c r="AY53" s="249"/>
      <c r="AZ53" s="88">
        <v>2642.629018463789</v>
      </c>
      <c r="BA53" s="249">
        <v>1043.0021092130687</v>
      </c>
      <c r="BB53" s="249"/>
      <c r="BC53" s="249">
        <v>2635.5514710651682</v>
      </c>
      <c r="BD53" s="249">
        <v>1035.9245618144478</v>
      </c>
      <c r="BE53" s="249"/>
      <c r="BF53" s="88">
        <v>2796.6522140084335</v>
      </c>
      <c r="BG53" s="249">
        <v>1197.025304757713</v>
      </c>
      <c r="BH53" s="249"/>
      <c r="BI53" s="88">
        <v>2773.5735286861477</v>
      </c>
      <c r="BJ53" s="249">
        <v>1173.9466194354272</v>
      </c>
      <c r="BK53" s="88">
        <v>3002.0669610917926</v>
      </c>
      <c r="BL53" s="249">
        <v>1402.440051841072</v>
      </c>
      <c r="BM53" s="249"/>
      <c r="BN53" s="88">
        <v>2753.557973190751</v>
      </c>
      <c r="BO53" s="249">
        <v>1153.9310639400305</v>
      </c>
      <c r="BP53" s="249"/>
      <c r="BQ53" s="43"/>
      <c r="BR53" s="88" t="str">
        <f t="shared" si="25"/>
        <v>#REF!</v>
      </c>
      <c r="BS53" s="249" t="str">
        <f t="shared" si="26"/>
        <v>#REF!</v>
      </c>
      <c r="BT53" s="43"/>
      <c r="BU53" s="88">
        <v>2399.792926720586</v>
      </c>
      <c r="BV53" s="249">
        <v>800.1660174698654</v>
      </c>
      <c r="BW53" s="43"/>
      <c r="BX53" s="88">
        <v>2352.242697364765</v>
      </c>
      <c r="BY53" s="249">
        <v>752.6157881140443</v>
      </c>
      <c r="BZ53" s="43"/>
      <c r="CA53" s="88">
        <v>2513.34344030803</v>
      </c>
      <c r="CB53" s="249">
        <v>913.7165310573096</v>
      </c>
      <c r="CC53" s="43"/>
      <c r="CD53" s="88">
        <v>2571.210118900145</v>
      </c>
      <c r="CE53" s="249">
        <v>971.5832096494246</v>
      </c>
      <c r="CF53" s="43"/>
      <c r="CG53" s="88">
        <v>2598.2333378731637</v>
      </c>
      <c r="CH53" s="249">
        <v>998.6064286224432</v>
      </c>
      <c r="CI53" s="43"/>
      <c r="CJ53" s="88">
        <v>2347.9379572653693</v>
      </c>
      <c r="CK53" s="249">
        <v>748.3110480146488</v>
      </c>
    </row>
    <row r="54" ht="15.75" customHeight="1">
      <c r="A54" s="96" t="s">
        <v>128</v>
      </c>
      <c r="B54" s="48" t="s">
        <v>85</v>
      </c>
      <c r="C54" s="77" t="s">
        <v>51</v>
      </c>
      <c r="D54" s="70"/>
      <c r="E54" s="51">
        <f>'Avg master'!J44</f>
        <v>361</v>
      </c>
      <c r="F54" s="55">
        <f t="shared" si="1"/>
        <v>0.001380407392</v>
      </c>
      <c r="G54" s="70"/>
      <c r="H54" s="53">
        <v>490.0</v>
      </c>
      <c r="I54" s="53">
        <v>490.0</v>
      </c>
      <c r="J54" s="53">
        <v>490.0</v>
      </c>
      <c r="K54" s="54">
        <f t="shared" si="2"/>
        <v>490</v>
      </c>
      <c r="L54" s="55">
        <f t="shared" si="3"/>
        <v>0.004208139745</v>
      </c>
      <c r="M54" s="37"/>
      <c r="N54" s="56">
        <v>1227.121812</v>
      </c>
      <c r="O54" s="43"/>
      <c r="P54" s="57">
        <v>1306.88472978</v>
      </c>
      <c r="Q54" s="43"/>
      <c r="R54" s="57">
        <v>1333.0224243756002</v>
      </c>
      <c r="S54" s="58">
        <f t="shared" si="4"/>
        <v>3.692582893</v>
      </c>
      <c r="T54" s="241"/>
      <c r="U54" s="57">
        <f t="shared" si="5"/>
        <v>1373.013097</v>
      </c>
      <c r="V54" s="57">
        <f t="shared" si="6"/>
        <v>39.99067273</v>
      </c>
      <c r="W54" s="62">
        <f t="shared" si="7"/>
        <v>0.03</v>
      </c>
      <c r="X54" s="43"/>
      <c r="Y54" s="88" t="str">
        <f t="shared" si="8"/>
        <v>#REF!</v>
      </c>
      <c r="Z54" s="249" t="str">
        <f t="shared" si="9"/>
        <v>#REF!</v>
      </c>
      <c r="AA54" s="58" t="str">
        <f t="shared" si="10"/>
        <v>#REF!</v>
      </c>
      <c r="AB54" s="43"/>
      <c r="AC54" s="250">
        <v>923.1660436599834</v>
      </c>
      <c r="AD54" s="249">
        <f t="shared" si="11"/>
        <v>-449.8470534</v>
      </c>
      <c r="AE54" s="58">
        <f t="shared" si="12"/>
        <v>2.557246658</v>
      </c>
      <c r="AF54" s="58">
        <f t="shared" si="13"/>
        <v>1.884012334</v>
      </c>
      <c r="AG54" s="251"/>
      <c r="AH54" s="250" t="str">
        <f>SUM(#REF!*'FY21-22 fees'!$AH$3)</f>
        <v>#REF!</v>
      </c>
      <c r="AI54" s="249" t="str">
        <f t="shared" si="14"/>
        <v>#REF!</v>
      </c>
      <c r="AJ54" s="43"/>
      <c r="AK54" s="88" t="str">
        <f t="shared" si="15"/>
        <v>#REF!</v>
      </c>
      <c r="AL54" s="249" t="str">
        <f t="shared" si="16"/>
        <v>#REF!</v>
      </c>
      <c r="AM54" s="43"/>
      <c r="AN54" s="88" t="str">
        <f t="shared" si="17"/>
        <v>#REF!</v>
      </c>
      <c r="AO54" s="249" t="str">
        <f t="shared" si="18"/>
        <v>#REF!</v>
      </c>
      <c r="AP54" s="43"/>
      <c r="AQ54" s="88" t="str">
        <f t="shared" si="19"/>
        <v>#REF!</v>
      </c>
      <c r="AR54" s="249" t="str">
        <f t="shared" si="20"/>
        <v>#REF!</v>
      </c>
      <c r="AS54" s="43"/>
      <c r="AT54" s="88" t="str">
        <f t="shared" si="21"/>
        <v>#REF!</v>
      </c>
      <c r="AU54" s="249" t="str">
        <f t="shared" si="22"/>
        <v>#REF!</v>
      </c>
      <c r="AV54" s="43"/>
      <c r="AW54" s="88" t="str">
        <f t="shared" si="23"/>
        <v>#REF!</v>
      </c>
      <c r="AX54" s="249" t="str">
        <f t="shared" si="24"/>
        <v>#REF!</v>
      </c>
      <c r="AY54" s="249"/>
      <c r="AZ54" s="88">
        <v>1936.8333853525562</v>
      </c>
      <c r="BA54" s="249">
        <v>603.810960976956</v>
      </c>
      <c r="BB54" s="249"/>
      <c r="BC54" s="249">
        <v>1671.726582238339</v>
      </c>
      <c r="BD54" s="249">
        <v>338.70415786273884</v>
      </c>
      <c r="BE54" s="249"/>
      <c r="BF54" s="88">
        <v>1909.559243046966</v>
      </c>
      <c r="BG54" s="249">
        <v>576.5368186713658</v>
      </c>
      <c r="BH54" s="249"/>
      <c r="BI54" s="88">
        <v>1939.3679581578558</v>
      </c>
      <c r="BJ54" s="249">
        <v>606.3455337822556</v>
      </c>
      <c r="BK54" s="88">
        <v>2358.9120701785123</v>
      </c>
      <c r="BL54" s="249">
        <v>1025.8896458029121</v>
      </c>
      <c r="BM54" s="249"/>
      <c r="BN54" s="88">
        <v>2621.7924983766115</v>
      </c>
      <c r="BO54" s="249">
        <v>1288.7700740010114</v>
      </c>
      <c r="BP54" s="249"/>
      <c r="BQ54" s="43"/>
      <c r="BR54" s="88" t="str">
        <f t="shared" si="25"/>
        <v>#REF!</v>
      </c>
      <c r="BS54" s="249" t="str">
        <f t="shared" si="26"/>
        <v>#REF!</v>
      </c>
      <c r="BT54" s="43"/>
      <c r="BU54" s="88">
        <v>1805.0382681768394</v>
      </c>
      <c r="BV54" s="249">
        <v>472.01584380123927</v>
      </c>
      <c r="BW54" s="43"/>
      <c r="BX54" s="88">
        <v>1517.9656122000029</v>
      </c>
      <c r="BY54" s="249">
        <v>184.94318782440268</v>
      </c>
      <c r="BZ54" s="43"/>
      <c r="CA54" s="88">
        <v>1755.7982730086298</v>
      </c>
      <c r="CB54" s="249">
        <v>422.7758486330297</v>
      </c>
      <c r="CC54" s="43"/>
      <c r="CD54" s="88">
        <v>1829.5386938447584</v>
      </c>
      <c r="CE54" s="249">
        <v>496.51626946915826</v>
      </c>
      <c r="CF54" s="43"/>
      <c r="CG54" s="88">
        <v>2139.7383085291253</v>
      </c>
      <c r="CH54" s="249">
        <v>806.7158841535252</v>
      </c>
      <c r="CI54" s="43"/>
      <c r="CJ54" s="88">
        <v>2401.6492027736094</v>
      </c>
      <c r="CK54" s="249">
        <v>1068.6267783980093</v>
      </c>
    </row>
    <row r="55" ht="15.75" customHeight="1">
      <c r="A55" s="47" t="s">
        <v>129</v>
      </c>
      <c r="B55" s="48" t="s">
        <v>130</v>
      </c>
      <c r="C55" s="81" t="s">
        <v>62</v>
      </c>
      <c r="D55" s="68"/>
      <c r="E55" s="51">
        <f>'Avg master'!J45</f>
        <v>3142.666667</v>
      </c>
      <c r="F55" s="55">
        <f t="shared" si="1"/>
        <v>0.01201706454</v>
      </c>
      <c r="G55" s="68"/>
      <c r="H55" s="53">
        <v>1119.0</v>
      </c>
      <c r="I55" s="53">
        <v>999.0</v>
      </c>
      <c r="J55" s="53">
        <v>817.0</v>
      </c>
      <c r="K55" s="54">
        <f t="shared" si="2"/>
        <v>978.3333333</v>
      </c>
      <c r="L55" s="55">
        <f t="shared" si="3"/>
        <v>0.008401966089</v>
      </c>
      <c r="M55" s="37"/>
      <c r="N55" s="56">
        <v>1659.5361648</v>
      </c>
      <c r="O55" s="43"/>
      <c r="P55" s="57">
        <v>1767.406015512</v>
      </c>
      <c r="Q55" s="43"/>
      <c r="R55" s="57">
        <v>1802.7541358222402</v>
      </c>
      <c r="S55" s="58">
        <f t="shared" si="4"/>
        <v>0.5736383546</v>
      </c>
      <c r="T55" s="241"/>
      <c r="U55" s="57">
        <f t="shared" si="5"/>
        <v>1856.83676</v>
      </c>
      <c r="V55" s="57">
        <f t="shared" si="6"/>
        <v>54.08262407</v>
      </c>
      <c r="W55" s="62">
        <f t="shared" si="7"/>
        <v>0.03</v>
      </c>
      <c r="X55" s="43"/>
      <c r="Y55" s="88" t="str">
        <f t="shared" si="8"/>
        <v>#REF!</v>
      </c>
      <c r="Z55" s="249" t="str">
        <f t="shared" si="9"/>
        <v>#REF!</v>
      </c>
      <c r="AA55" s="58" t="str">
        <f t="shared" si="10"/>
        <v>#REF!</v>
      </c>
      <c r="AB55" s="43"/>
      <c r="AC55" s="250">
        <v>1843.1920667633003</v>
      </c>
      <c r="AD55" s="249">
        <f t="shared" si="11"/>
        <v>-13.64469313</v>
      </c>
      <c r="AE55" s="58">
        <f t="shared" si="12"/>
        <v>0.5865057489</v>
      </c>
      <c r="AF55" s="58">
        <f t="shared" si="13"/>
        <v>1.884012334</v>
      </c>
      <c r="AG55" s="251"/>
      <c r="AH55" s="250" t="str">
        <f>SUM(#REF!*'FY21-22 fees'!$AH$3)</f>
        <v>#REF!</v>
      </c>
      <c r="AI55" s="249" t="str">
        <f t="shared" si="14"/>
        <v>#REF!</v>
      </c>
      <c r="AJ55" s="43"/>
      <c r="AK55" s="88" t="str">
        <f t="shared" si="15"/>
        <v>#REF!</v>
      </c>
      <c r="AL55" s="249" t="str">
        <f t="shared" si="16"/>
        <v>#REF!</v>
      </c>
      <c r="AM55" s="43"/>
      <c r="AN55" s="88" t="str">
        <f t="shared" si="17"/>
        <v>#REF!</v>
      </c>
      <c r="AO55" s="249" t="str">
        <f t="shared" si="18"/>
        <v>#REF!</v>
      </c>
      <c r="AP55" s="43"/>
      <c r="AQ55" s="88" t="str">
        <f t="shared" si="19"/>
        <v>#REF!</v>
      </c>
      <c r="AR55" s="249" t="str">
        <f t="shared" si="20"/>
        <v>#REF!</v>
      </c>
      <c r="AS55" s="43"/>
      <c r="AT55" s="88" t="str">
        <f t="shared" si="21"/>
        <v>#REF!</v>
      </c>
      <c r="AU55" s="249" t="str">
        <f t="shared" si="22"/>
        <v>#REF!</v>
      </c>
      <c r="AV55" s="43"/>
      <c r="AW55" s="88" t="str">
        <f t="shared" si="23"/>
        <v>#REF!</v>
      </c>
      <c r="AX55" s="249" t="str">
        <f t="shared" si="24"/>
        <v>#REF!</v>
      </c>
      <c r="AY55" s="249"/>
      <c r="AZ55" s="88">
        <v>2126.218196825088</v>
      </c>
      <c r="BA55" s="249">
        <v>323.46406100284776</v>
      </c>
      <c r="BB55" s="249"/>
      <c r="BC55" s="249">
        <v>1886.008915511714</v>
      </c>
      <c r="BD55" s="249">
        <v>83.25477968947371</v>
      </c>
      <c r="BE55" s="249"/>
      <c r="BF55" s="88">
        <v>2083.0562770423526</v>
      </c>
      <c r="BG55" s="249">
        <v>280.3021412201124</v>
      </c>
      <c r="BH55" s="249"/>
      <c r="BI55" s="88">
        <v>2075.21480968511</v>
      </c>
      <c r="BJ55" s="249">
        <v>272.46067386286995</v>
      </c>
      <c r="BK55" s="88">
        <v>2866.712800547392</v>
      </c>
      <c r="BL55" s="249">
        <v>1063.9586647251517</v>
      </c>
      <c r="BM55" s="249"/>
      <c r="BN55" s="88">
        <v>2543.574230569018</v>
      </c>
      <c r="BO55" s="249">
        <v>740.8200947467776</v>
      </c>
      <c r="BP55" s="249"/>
      <c r="BQ55" s="43"/>
      <c r="BR55" s="88" t="str">
        <f t="shared" si="25"/>
        <v>#REF!</v>
      </c>
      <c r="BS55" s="249" t="str">
        <f t="shared" si="26"/>
        <v>#REF!</v>
      </c>
      <c r="BT55" s="43"/>
      <c r="BU55" s="88">
        <v>2291.3330718212133</v>
      </c>
      <c r="BV55" s="249">
        <v>488.57893599897307</v>
      </c>
      <c r="BW55" s="43"/>
      <c r="BX55" s="88">
        <v>2078.6429363405264</v>
      </c>
      <c r="BY55" s="249">
        <v>275.8888005182862</v>
      </c>
      <c r="BZ55" s="43"/>
      <c r="CA55" s="88">
        <v>2275.6902978711655</v>
      </c>
      <c r="CB55" s="249">
        <v>472.9361620489253</v>
      </c>
      <c r="CC55" s="43"/>
      <c r="CD55" s="88">
        <v>2212.810538848548</v>
      </c>
      <c r="CE55" s="249">
        <v>410.05640302630763</v>
      </c>
      <c r="CF55" s="43"/>
      <c r="CG55" s="88">
        <v>3141.2969356251733</v>
      </c>
      <c r="CH55" s="249">
        <v>1338.5427998029331</v>
      </c>
      <c r="CI55" s="43"/>
      <c r="CJ55" s="88">
        <v>2819.373012144987</v>
      </c>
      <c r="CK55" s="249">
        <v>1016.6188763227469</v>
      </c>
    </row>
    <row r="56" ht="15.75" customHeight="1">
      <c r="A56" s="69" t="s">
        <v>131</v>
      </c>
      <c r="B56" s="48" t="s">
        <v>132</v>
      </c>
      <c r="C56" s="50" t="s">
        <v>59</v>
      </c>
      <c r="D56" s="71"/>
      <c r="E56" s="51">
        <f>'Avg master'!J46</f>
        <v>2</v>
      </c>
      <c r="F56" s="55">
        <f t="shared" si="1"/>
        <v>0.000007647686384</v>
      </c>
      <c r="G56" s="71"/>
      <c r="H56" s="53">
        <v>2.0</v>
      </c>
      <c r="I56" s="53">
        <v>2.0</v>
      </c>
      <c r="J56" s="53">
        <v>2.0</v>
      </c>
      <c r="K56" s="54">
        <f t="shared" si="2"/>
        <v>2</v>
      </c>
      <c r="L56" s="55">
        <f t="shared" si="3"/>
        <v>0.00001717608059</v>
      </c>
      <c r="M56" s="37"/>
      <c r="N56" s="56">
        <v>368.1365436000001</v>
      </c>
      <c r="O56" s="43"/>
      <c r="P56" s="57">
        <v>392.0654189340001</v>
      </c>
      <c r="Q56" s="43"/>
      <c r="R56" s="57">
        <v>399.9067273126801</v>
      </c>
      <c r="S56" s="58">
        <f t="shared" si="4"/>
        <v>199.9533637</v>
      </c>
      <c r="T56" s="241"/>
      <c r="U56" s="57">
        <f t="shared" si="5"/>
        <v>411.9039291</v>
      </c>
      <c r="V56" s="57">
        <f t="shared" si="6"/>
        <v>11.99720182</v>
      </c>
      <c r="W56" s="62">
        <f t="shared" si="7"/>
        <v>0.03</v>
      </c>
      <c r="X56" s="43"/>
      <c r="Y56" s="88" t="str">
        <f t="shared" si="8"/>
        <v>#REF!</v>
      </c>
      <c r="Z56" s="249" t="str">
        <f t="shared" si="9"/>
        <v>#REF!</v>
      </c>
      <c r="AA56" s="58" t="str">
        <f t="shared" si="10"/>
        <v>#REF!</v>
      </c>
      <c r="AB56" s="43"/>
      <c r="AC56" s="250">
        <v>3.7680246679999327</v>
      </c>
      <c r="AD56" s="249">
        <f t="shared" si="11"/>
        <v>-408.1359045</v>
      </c>
      <c r="AE56" s="58">
        <f t="shared" si="12"/>
        <v>1.884012334</v>
      </c>
      <c r="AF56" s="58">
        <f t="shared" si="13"/>
        <v>1.884012334</v>
      </c>
      <c r="AG56" s="251"/>
      <c r="AH56" s="250" t="str">
        <f>SUM(#REF!*'FY21-22 fees'!$AH$3)</f>
        <v>#REF!</v>
      </c>
      <c r="AI56" s="249" t="str">
        <f t="shared" si="14"/>
        <v>#REF!</v>
      </c>
      <c r="AJ56" s="43"/>
      <c r="AK56" s="88" t="str">
        <f t="shared" si="15"/>
        <v>#REF!</v>
      </c>
      <c r="AL56" s="249" t="str">
        <f t="shared" si="16"/>
        <v>#REF!</v>
      </c>
      <c r="AM56" s="43"/>
      <c r="AN56" s="88" t="str">
        <f t="shared" si="17"/>
        <v>#REF!</v>
      </c>
      <c r="AO56" s="249" t="str">
        <f t="shared" si="18"/>
        <v>#REF!</v>
      </c>
      <c r="AP56" s="43"/>
      <c r="AQ56" s="88" t="str">
        <f t="shared" si="19"/>
        <v>#REF!</v>
      </c>
      <c r="AR56" s="249" t="str">
        <f t="shared" si="20"/>
        <v>#REF!</v>
      </c>
      <c r="AS56" s="43"/>
      <c r="AT56" s="88" t="str">
        <f t="shared" si="21"/>
        <v>#REF!</v>
      </c>
      <c r="AU56" s="249" t="str">
        <f t="shared" si="22"/>
        <v>#REF!</v>
      </c>
      <c r="AV56" s="43"/>
      <c r="AW56" s="252" t="str">
        <f t="shared" si="23"/>
        <v>#REF!</v>
      </c>
      <c r="AX56" s="249" t="str">
        <f t="shared" si="24"/>
        <v>#REF!</v>
      </c>
      <c r="AY56" s="249"/>
      <c r="AZ56" s="252">
        <v>916.1708167793055</v>
      </c>
      <c r="BA56" s="249">
        <v>516.2640894666254</v>
      </c>
      <c r="BB56" s="249"/>
      <c r="BC56" s="249">
        <v>585.4726107843398</v>
      </c>
      <c r="BD56" s="249">
        <v>185.56588347165973</v>
      </c>
      <c r="BE56" s="249"/>
      <c r="BF56" s="252">
        <v>930.8165749625152</v>
      </c>
      <c r="BG56" s="249">
        <v>530.9098476498351</v>
      </c>
      <c r="BH56" s="249"/>
      <c r="BI56" s="252">
        <v>931.4959288719932</v>
      </c>
      <c r="BJ56" s="249">
        <v>531.5892015593131</v>
      </c>
      <c r="BK56" s="252">
        <v>1744.868562725974</v>
      </c>
      <c r="BL56" s="249">
        <v>1344.961835413294</v>
      </c>
      <c r="BM56" s="249"/>
      <c r="BN56" s="252">
        <v>1766.5191706717562</v>
      </c>
      <c r="BO56" s="249">
        <v>1366.6124433590762</v>
      </c>
      <c r="BP56" s="249"/>
      <c r="BQ56" s="43"/>
      <c r="BR56" s="88" t="str">
        <f t="shared" si="25"/>
        <v>#REF!</v>
      </c>
      <c r="BS56" s="249" t="str">
        <f t="shared" si="26"/>
        <v>#REF!</v>
      </c>
      <c r="BT56" s="43"/>
      <c r="BU56" s="88">
        <v>915.6328775255271</v>
      </c>
      <c r="BV56" s="249">
        <v>515.726150212847</v>
      </c>
      <c r="BW56" s="43"/>
      <c r="BX56" s="88">
        <v>584.845014988265</v>
      </c>
      <c r="BY56" s="249">
        <v>184.9382876755849</v>
      </c>
      <c r="BZ56" s="43"/>
      <c r="CA56" s="88">
        <v>930.1889791664404</v>
      </c>
      <c r="CB56" s="249">
        <v>530.2822518537603</v>
      </c>
      <c r="CC56" s="43"/>
      <c r="CD56" s="88">
        <v>931.0476461605111</v>
      </c>
      <c r="CE56" s="249">
        <v>531.140918847831</v>
      </c>
      <c r="CF56" s="43"/>
      <c r="CG56" s="88">
        <v>1743.9739759437316</v>
      </c>
      <c r="CH56" s="249">
        <v>1344.0672486310514</v>
      </c>
      <c r="CI56" s="43"/>
      <c r="CJ56" s="88">
        <v>1765.6206266080706</v>
      </c>
      <c r="CK56" s="249">
        <v>1365.7138992953905</v>
      </c>
    </row>
    <row r="57" ht="15.75" customHeight="1">
      <c r="A57" s="80" t="s">
        <v>133</v>
      </c>
      <c r="B57" s="48" t="s">
        <v>134</v>
      </c>
      <c r="C57" s="50" t="s">
        <v>59</v>
      </c>
      <c r="D57" s="50"/>
      <c r="E57" s="51">
        <f>'Avg master'!J47</f>
        <v>1</v>
      </c>
      <c r="F57" s="55">
        <f t="shared" si="1"/>
        <v>0.000003823843192</v>
      </c>
      <c r="G57" s="50"/>
      <c r="H57" s="53">
        <v>1.0</v>
      </c>
      <c r="I57" s="53">
        <v>1.0</v>
      </c>
      <c r="J57" s="53">
        <v>1.0</v>
      </c>
      <c r="K57" s="54">
        <f t="shared" si="2"/>
        <v>1</v>
      </c>
      <c r="L57" s="55">
        <f t="shared" si="3"/>
        <v>0.000008588040295</v>
      </c>
      <c r="M57" s="37"/>
      <c r="N57" s="56">
        <v>368.1365436000001</v>
      </c>
      <c r="O57" s="43"/>
      <c r="P57" s="57">
        <v>392.0654189340001</v>
      </c>
      <c r="Q57" s="43"/>
      <c r="R57" s="57">
        <v>399.9067273126801</v>
      </c>
      <c r="S57" s="58">
        <f t="shared" si="4"/>
        <v>399.9067273</v>
      </c>
      <c r="T57" s="241"/>
      <c r="U57" s="57">
        <f t="shared" si="5"/>
        <v>411.9039291</v>
      </c>
      <c r="V57" s="57">
        <f t="shared" si="6"/>
        <v>11.99720182</v>
      </c>
      <c r="W57" s="62">
        <f t="shared" si="7"/>
        <v>0.03</v>
      </c>
      <c r="X57" s="43"/>
      <c r="Y57" s="88" t="str">
        <f t="shared" si="8"/>
        <v>#REF!</v>
      </c>
      <c r="Z57" s="249" t="str">
        <f t="shared" si="9"/>
        <v>#REF!</v>
      </c>
      <c r="AA57" s="58" t="str">
        <f t="shared" si="10"/>
        <v>#REF!</v>
      </c>
      <c r="AB57" s="43"/>
      <c r="AC57" s="250">
        <v>1.8840123339999664</v>
      </c>
      <c r="AD57" s="249">
        <f t="shared" si="11"/>
        <v>-410.0199168</v>
      </c>
      <c r="AE57" s="58">
        <f t="shared" si="12"/>
        <v>1.884012334</v>
      </c>
      <c r="AF57" s="58">
        <f t="shared" si="13"/>
        <v>1.884012334</v>
      </c>
      <c r="AG57" s="251"/>
      <c r="AH57" s="250" t="str">
        <f>SUM(#REF!*'FY21-22 fees'!$AH$3)</f>
        <v>#REF!</v>
      </c>
      <c r="AI57" s="249" t="str">
        <f t="shared" si="14"/>
        <v>#REF!</v>
      </c>
      <c r="AJ57" s="43"/>
      <c r="AK57" s="88" t="str">
        <f t="shared" si="15"/>
        <v>#REF!</v>
      </c>
      <c r="AL57" s="249" t="str">
        <f t="shared" si="16"/>
        <v>#REF!</v>
      </c>
      <c r="AM57" s="43"/>
      <c r="AN57" s="88" t="str">
        <f t="shared" si="17"/>
        <v>#REF!</v>
      </c>
      <c r="AO57" s="249" t="str">
        <f t="shared" si="18"/>
        <v>#REF!</v>
      </c>
      <c r="AP57" s="43"/>
      <c r="AQ57" s="88" t="str">
        <f t="shared" si="19"/>
        <v>#REF!</v>
      </c>
      <c r="AR57" s="249" t="str">
        <f t="shared" si="20"/>
        <v>#REF!</v>
      </c>
      <c r="AS57" s="43"/>
      <c r="AT57" s="88" t="str">
        <f t="shared" si="21"/>
        <v>#REF!</v>
      </c>
      <c r="AU57" s="249" t="str">
        <f t="shared" si="22"/>
        <v>#REF!</v>
      </c>
      <c r="AV57" s="43"/>
      <c r="AW57" s="252" t="str">
        <f t="shared" si="23"/>
        <v>#REF!</v>
      </c>
      <c r="AX57" s="249" t="str">
        <f t="shared" si="24"/>
        <v>#REF!</v>
      </c>
      <c r="AY57" s="249"/>
      <c r="AZ57" s="252">
        <v>896.9737146240886</v>
      </c>
      <c r="BA57" s="249">
        <v>497.0669873114085</v>
      </c>
      <c r="BB57" s="249"/>
      <c r="BC57" s="249">
        <v>571.1297814577398</v>
      </c>
      <c r="BD57" s="249">
        <v>171.22305414505968</v>
      </c>
      <c r="BE57" s="249"/>
      <c r="BF57" s="252">
        <v>917.4743370132952</v>
      </c>
      <c r="BG57" s="249">
        <v>517.5676097006151</v>
      </c>
      <c r="BH57" s="249"/>
      <c r="BI57" s="252">
        <v>917.3137182793441</v>
      </c>
      <c r="BJ57" s="249">
        <v>517.406990966664</v>
      </c>
      <c r="BK57" s="252">
        <v>1728.702339831458</v>
      </c>
      <c r="BL57" s="249">
        <v>1328.795612518778</v>
      </c>
      <c r="BM57" s="249"/>
      <c r="BN57" s="252">
        <v>1736.3494030636084</v>
      </c>
      <c r="BO57" s="249">
        <v>1336.4426757509282</v>
      </c>
      <c r="BP57" s="249"/>
      <c r="BQ57" s="43"/>
      <c r="BR57" s="88" t="str">
        <f t="shared" si="25"/>
        <v>#REF!</v>
      </c>
      <c r="BS57" s="249" t="str">
        <f t="shared" si="26"/>
        <v>#REF!</v>
      </c>
      <c r="BT57" s="43"/>
      <c r="BU57" s="88">
        <v>896.7047449971994</v>
      </c>
      <c r="BV57" s="249">
        <v>496.7980176845193</v>
      </c>
      <c r="BW57" s="43"/>
      <c r="BX57" s="88">
        <v>570.8159835597023</v>
      </c>
      <c r="BY57" s="249">
        <v>170.9092562470222</v>
      </c>
      <c r="BZ57" s="43"/>
      <c r="CA57" s="88">
        <v>917.1605391152578</v>
      </c>
      <c r="CB57" s="249">
        <v>517.2538118025777</v>
      </c>
      <c r="CC57" s="43"/>
      <c r="CD57" s="88">
        <v>917.0895769236032</v>
      </c>
      <c r="CE57" s="249">
        <v>517.1828496109231</v>
      </c>
      <c r="CF57" s="43"/>
      <c r="CG57" s="88">
        <v>1728.2550464403369</v>
      </c>
      <c r="CH57" s="249">
        <v>1328.3483191276569</v>
      </c>
      <c r="CI57" s="43"/>
      <c r="CJ57" s="88">
        <v>1735.9001310317656</v>
      </c>
      <c r="CK57" s="249">
        <v>1335.9934037190856</v>
      </c>
    </row>
    <row r="58" ht="15.75" customHeight="1">
      <c r="A58" s="69" t="s">
        <v>135</v>
      </c>
      <c r="B58" s="48" t="s">
        <v>136</v>
      </c>
      <c r="C58" s="71" t="s">
        <v>42</v>
      </c>
      <c r="D58" s="71"/>
      <c r="E58" s="51">
        <f>'Avg master'!J48</f>
        <v>26907</v>
      </c>
      <c r="F58" s="55">
        <f t="shared" si="1"/>
        <v>0.1028881488</v>
      </c>
      <c r="G58" s="71"/>
      <c r="H58" s="53">
        <v>19304.0</v>
      </c>
      <c r="I58" s="53">
        <v>16605.0</v>
      </c>
      <c r="J58" s="53">
        <v>9120.0</v>
      </c>
      <c r="K58" s="54">
        <f t="shared" si="2"/>
        <v>15009.66667</v>
      </c>
      <c r="L58" s="55">
        <f t="shared" si="3"/>
        <v>0.1289036221</v>
      </c>
      <c r="M58" s="37"/>
      <c r="N58" s="56">
        <v>12271.218120000003</v>
      </c>
      <c r="O58" s="43"/>
      <c r="P58" s="57">
        <v>13068.847297800003</v>
      </c>
      <c r="Q58" s="43"/>
      <c r="R58" s="57">
        <v>13330.224243756003</v>
      </c>
      <c r="S58" s="58">
        <f t="shared" si="4"/>
        <v>0.4954184504</v>
      </c>
      <c r="T58" s="241"/>
      <c r="U58" s="57">
        <f t="shared" si="5"/>
        <v>13730.13097</v>
      </c>
      <c r="V58" s="57">
        <f t="shared" si="6"/>
        <v>399.9067273</v>
      </c>
      <c r="W58" s="62">
        <f t="shared" si="7"/>
        <v>0.03</v>
      </c>
      <c r="X58" s="43"/>
      <c r="Y58" s="88" t="str">
        <f t="shared" si="8"/>
        <v>#REF!</v>
      </c>
      <c r="Z58" s="249" t="str">
        <f t="shared" si="9"/>
        <v>#REF!</v>
      </c>
      <c r="AA58" s="58" t="str">
        <f t="shared" si="10"/>
        <v>#REF!</v>
      </c>
      <c r="AB58" s="43"/>
      <c r="AC58" s="250">
        <v>28278.39712922816</v>
      </c>
      <c r="AD58" s="249">
        <f t="shared" si="11"/>
        <v>14548.26616</v>
      </c>
      <c r="AE58" s="58">
        <f t="shared" si="12"/>
        <v>1.050968043</v>
      </c>
      <c r="AF58" s="58">
        <f t="shared" si="13"/>
        <v>1.884012334</v>
      </c>
      <c r="AG58" s="251"/>
      <c r="AH58" s="250" t="str">
        <f>SUM(#REF!*'FY21-22 fees'!$AH$3)</f>
        <v>#REF!</v>
      </c>
      <c r="AI58" s="249" t="str">
        <f t="shared" si="14"/>
        <v>#REF!</v>
      </c>
      <c r="AJ58" s="43"/>
      <c r="AK58" s="88" t="str">
        <f t="shared" si="15"/>
        <v>#REF!</v>
      </c>
      <c r="AL58" s="249" t="str">
        <f t="shared" si="16"/>
        <v>#REF!</v>
      </c>
      <c r="AM58" s="43"/>
      <c r="AN58" s="88" t="str">
        <f t="shared" si="17"/>
        <v>#REF!</v>
      </c>
      <c r="AO58" s="249" t="str">
        <f t="shared" si="18"/>
        <v>#REF!</v>
      </c>
      <c r="AP58" s="43"/>
      <c r="AQ58" s="88" t="str">
        <f t="shared" si="19"/>
        <v>#REF!</v>
      </c>
      <c r="AR58" s="249" t="str">
        <f t="shared" si="20"/>
        <v>#REF!</v>
      </c>
      <c r="AS58" s="43"/>
      <c r="AT58" s="88" t="str">
        <f t="shared" si="21"/>
        <v>#REF!</v>
      </c>
      <c r="AU58" s="249" t="str">
        <f t="shared" si="22"/>
        <v>#REF!</v>
      </c>
      <c r="AV58" s="43"/>
      <c r="AW58" s="88" t="str">
        <f t="shared" si="23"/>
        <v>#REF!</v>
      </c>
      <c r="AX58" s="249" t="str">
        <f t="shared" si="24"/>
        <v>#REF!</v>
      </c>
      <c r="AY58" s="249"/>
      <c r="AZ58" s="88">
        <v>23060.17266550392</v>
      </c>
      <c r="BA58" s="249">
        <v>9729.948421747917</v>
      </c>
      <c r="BB58" s="249"/>
      <c r="BC58" s="249">
        <v>23674.223449970184</v>
      </c>
      <c r="BD58" s="249">
        <v>10343.999206214181</v>
      </c>
      <c r="BE58" s="249"/>
      <c r="BF58" s="88">
        <v>20503.743195428753</v>
      </c>
      <c r="BG58" s="249">
        <v>7173.51895167275</v>
      </c>
      <c r="BH58" s="249"/>
      <c r="BI58" s="88">
        <v>21609.734348497717</v>
      </c>
      <c r="BJ58" s="249">
        <v>8279.510104741714</v>
      </c>
      <c r="BK58" s="88">
        <v>17225.841319043164</v>
      </c>
      <c r="BL58" s="249">
        <v>3895.6170752871603</v>
      </c>
      <c r="BM58" s="249"/>
      <c r="BN58" s="88">
        <v>14628.439807603732</v>
      </c>
      <c r="BO58" s="249">
        <v>1298.2155638477288</v>
      </c>
      <c r="BP58" s="249"/>
      <c r="BQ58" s="43"/>
      <c r="BR58" s="88" t="str">
        <f t="shared" si="25"/>
        <v>#REF!</v>
      </c>
      <c r="BS58" s="249" t="str">
        <f t="shared" si="26"/>
        <v>#REF!</v>
      </c>
      <c r="BT58" s="43"/>
      <c r="BU58" s="88">
        <v>20866.625961628004</v>
      </c>
      <c r="BV58" s="249">
        <v>7536.4017178720005</v>
      </c>
      <c r="BW58" s="43"/>
      <c r="BX58" s="88">
        <v>21115.08562878161</v>
      </c>
      <c r="BY58" s="249">
        <v>7784.861385025606</v>
      </c>
      <c r="BZ58" s="43"/>
      <c r="CA58" s="88">
        <v>17944.60537424018</v>
      </c>
      <c r="CB58" s="249">
        <v>4614.381130484175</v>
      </c>
      <c r="CC58" s="43"/>
      <c r="CD58" s="88">
        <v>19781.77876193445</v>
      </c>
      <c r="CE58" s="249">
        <v>6451.5545181784455</v>
      </c>
      <c r="CF58" s="43"/>
      <c r="CG58" s="88">
        <v>13577.998419058393</v>
      </c>
      <c r="CH58" s="249">
        <v>247.77417530238927</v>
      </c>
      <c r="CI58" s="43"/>
      <c r="CJ58" s="88">
        <v>10964.460361335434</v>
      </c>
      <c r="CK58" s="249">
        <v>-2365.7638824205696</v>
      </c>
    </row>
    <row r="59" ht="15.75" customHeight="1">
      <c r="A59" s="72" t="s">
        <v>137</v>
      </c>
      <c r="B59" s="75" t="s">
        <v>138</v>
      </c>
      <c r="C59" s="71" t="s">
        <v>45</v>
      </c>
      <c r="D59" s="74"/>
      <c r="E59" s="51">
        <f>'Avg master'!J49</f>
        <v>1737.666667</v>
      </c>
      <c r="F59" s="55">
        <f t="shared" si="1"/>
        <v>0.006644564853</v>
      </c>
      <c r="G59" s="74"/>
      <c r="H59" s="53">
        <v>4283.0</v>
      </c>
      <c r="I59" s="53">
        <v>1955.0</v>
      </c>
      <c r="J59" s="53">
        <v>1223.0</v>
      </c>
      <c r="K59" s="54">
        <f t="shared" si="2"/>
        <v>2487</v>
      </c>
      <c r="L59" s="55">
        <f t="shared" si="3"/>
        <v>0.02135845621</v>
      </c>
      <c r="M59" s="37"/>
      <c r="N59" s="56">
        <v>6135.609060000002</v>
      </c>
      <c r="O59" s="43"/>
      <c r="P59" s="57">
        <v>6534.423648900001</v>
      </c>
      <c r="Q59" s="43"/>
      <c r="R59" s="57">
        <v>6665.112121878002</v>
      </c>
      <c r="S59" s="58">
        <f t="shared" si="4"/>
        <v>3.835667824</v>
      </c>
      <c r="T59" s="241"/>
      <c r="U59" s="57">
        <f t="shared" si="5"/>
        <v>6865.065486</v>
      </c>
      <c r="V59" s="57">
        <f t="shared" si="6"/>
        <v>199.9533637</v>
      </c>
      <c r="W59" s="62">
        <f t="shared" si="7"/>
        <v>0.03</v>
      </c>
      <c r="X59" s="43"/>
      <c r="Y59" s="88" t="str">
        <f t="shared" si="8"/>
        <v>#REF!</v>
      </c>
      <c r="Z59" s="249" t="str">
        <f t="shared" si="9"/>
        <v>#REF!</v>
      </c>
      <c r="AA59" s="58" t="str">
        <f t="shared" si="10"/>
        <v>#REF!</v>
      </c>
      <c r="AB59" s="43"/>
      <c r="AC59" s="250">
        <v>4685.538674657916</v>
      </c>
      <c r="AD59" s="249">
        <f t="shared" si="11"/>
        <v>-2179.526811</v>
      </c>
      <c r="AE59" s="58">
        <f t="shared" si="12"/>
        <v>2.696454254</v>
      </c>
      <c r="AF59" s="58">
        <f t="shared" si="13"/>
        <v>1.884012334</v>
      </c>
      <c r="AG59" s="251"/>
      <c r="AH59" s="250" t="str">
        <f>SUM(#REF!*'FY21-22 fees'!$AH$3)</f>
        <v>#REF!</v>
      </c>
      <c r="AI59" s="249" t="str">
        <f t="shared" si="14"/>
        <v>#REF!</v>
      </c>
      <c r="AJ59" s="43"/>
      <c r="AK59" s="88" t="str">
        <f t="shared" si="15"/>
        <v>#REF!</v>
      </c>
      <c r="AL59" s="249" t="str">
        <f t="shared" si="16"/>
        <v>#REF!</v>
      </c>
      <c r="AM59" s="43"/>
      <c r="AN59" s="88" t="str">
        <f t="shared" si="17"/>
        <v>#REF!</v>
      </c>
      <c r="AO59" s="249" t="str">
        <f t="shared" si="18"/>
        <v>#REF!</v>
      </c>
      <c r="AP59" s="43"/>
      <c r="AQ59" s="88" t="str">
        <f t="shared" si="19"/>
        <v>#REF!</v>
      </c>
      <c r="AR59" s="249" t="str">
        <f t="shared" si="20"/>
        <v>#REF!</v>
      </c>
      <c r="AS59" s="43"/>
      <c r="AT59" s="88" t="str">
        <f t="shared" si="21"/>
        <v>#REF!</v>
      </c>
      <c r="AU59" s="249" t="str">
        <f t="shared" si="22"/>
        <v>#REF!</v>
      </c>
      <c r="AV59" s="43"/>
      <c r="AW59" s="88" t="str">
        <f t="shared" si="23"/>
        <v>#REF!</v>
      </c>
      <c r="AX59" s="249" t="str">
        <f t="shared" si="24"/>
        <v>#REF!</v>
      </c>
      <c r="AY59" s="249"/>
      <c r="AZ59" s="88">
        <v>3037.150196337511</v>
      </c>
      <c r="BA59" s="249">
        <v>-3627.961925540491</v>
      </c>
      <c r="BB59" s="249"/>
      <c r="BC59" s="249">
        <v>3364.4620061931973</v>
      </c>
      <c r="BD59" s="249">
        <v>-3300.6501156848044</v>
      </c>
      <c r="BE59" s="249"/>
      <c r="BF59" s="88">
        <v>3622.0824815544916</v>
      </c>
      <c r="BG59" s="249">
        <v>-3043.02964032351</v>
      </c>
      <c r="BH59" s="249"/>
      <c r="BI59" s="88">
        <v>3311.347770412368</v>
      </c>
      <c r="BJ59" s="249">
        <v>-3353.764351465634</v>
      </c>
      <c r="BK59" s="88">
        <v>3901.8438018957177</v>
      </c>
      <c r="BL59" s="249">
        <v>-2763.268319982284</v>
      </c>
      <c r="BM59" s="249"/>
      <c r="BN59" s="88">
        <v>3414.8030232165142</v>
      </c>
      <c r="BO59" s="249">
        <v>-3250.3090986614875</v>
      </c>
      <c r="BP59" s="249"/>
      <c r="BQ59" s="43"/>
      <c r="BR59" s="88" t="str">
        <f t="shared" si="25"/>
        <v>#REF!</v>
      </c>
      <c r="BS59" s="249" t="str">
        <f t="shared" si="26"/>
        <v>#REF!</v>
      </c>
      <c r="BT59" s="43"/>
      <c r="BU59" s="88">
        <v>2368.222734264026</v>
      </c>
      <c r="BV59" s="249">
        <v>-4296.8893876139755</v>
      </c>
      <c r="BW59" s="43"/>
      <c r="BX59" s="88">
        <v>2584.046633774132</v>
      </c>
      <c r="BY59" s="249">
        <v>-4081.06548810387</v>
      </c>
      <c r="BZ59" s="43"/>
      <c r="CA59" s="88">
        <v>2841.667109135426</v>
      </c>
      <c r="CB59" s="249">
        <v>-3823.4450127425757</v>
      </c>
      <c r="CC59" s="43"/>
      <c r="CD59" s="88">
        <v>2753.908218684464</v>
      </c>
      <c r="CE59" s="249">
        <v>-3911.203903193538</v>
      </c>
      <c r="CF59" s="43"/>
      <c r="CG59" s="88">
        <v>2789.425138177299</v>
      </c>
      <c r="CH59" s="249">
        <v>-3875.686983700703</v>
      </c>
      <c r="CI59" s="43"/>
      <c r="CJ59" s="88">
        <v>2297.463480023316</v>
      </c>
      <c r="CK59" s="249">
        <v>-4367.648641854686</v>
      </c>
    </row>
    <row r="60" ht="15.75" customHeight="1">
      <c r="A60" s="66" t="s">
        <v>139</v>
      </c>
      <c r="B60" s="48" t="s">
        <v>140</v>
      </c>
      <c r="C60" s="49" t="s">
        <v>34</v>
      </c>
      <c r="D60" s="50"/>
      <c r="E60" s="51">
        <f>'Avg master'!J50</f>
        <v>299</v>
      </c>
      <c r="F60" s="55">
        <f t="shared" si="1"/>
        <v>0.001143329114</v>
      </c>
      <c r="G60" s="50"/>
      <c r="H60" s="53">
        <v>105.0</v>
      </c>
      <c r="I60" s="53">
        <v>95.0</v>
      </c>
      <c r="J60" s="53">
        <v>78.0</v>
      </c>
      <c r="K60" s="54">
        <f t="shared" si="2"/>
        <v>92.66666667</v>
      </c>
      <c r="L60" s="55">
        <f t="shared" si="3"/>
        <v>0.0007958250673</v>
      </c>
      <c r="M60" s="37"/>
      <c r="N60" s="56">
        <v>1227.121812</v>
      </c>
      <c r="O60" s="43"/>
      <c r="P60" s="57">
        <v>1306.88472978</v>
      </c>
      <c r="Q60" s="43"/>
      <c r="R60" s="57">
        <v>1333.0224243756002</v>
      </c>
      <c r="S60" s="58">
        <f t="shared" si="4"/>
        <v>4.458268978</v>
      </c>
      <c r="T60" s="241"/>
      <c r="U60" s="57">
        <f t="shared" si="5"/>
        <v>1373.013097</v>
      </c>
      <c r="V60" s="57">
        <f t="shared" si="6"/>
        <v>39.99067273</v>
      </c>
      <c r="W60" s="62">
        <f t="shared" si="7"/>
        <v>0.03</v>
      </c>
      <c r="X60" s="43"/>
      <c r="Y60" s="88" t="str">
        <f t="shared" si="8"/>
        <v>#REF!</v>
      </c>
      <c r="Z60" s="249" t="str">
        <f t="shared" si="9"/>
        <v>#REF!</v>
      </c>
      <c r="AA60" s="58" t="str">
        <f t="shared" si="10"/>
        <v>#REF!</v>
      </c>
      <c r="AB60" s="43"/>
      <c r="AC60" s="250">
        <v>174.58514295066354</v>
      </c>
      <c r="AD60" s="249">
        <f t="shared" si="11"/>
        <v>-1198.427954</v>
      </c>
      <c r="AE60" s="58">
        <f t="shared" si="12"/>
        <v>0.5838967992</v>
      </c>
      <c r="AF60" s="58">
        <f t="shared" si="13"/>
        <v>1.884012334</v>
      </c>
      <c r="AG60" s="251"/>
      <c r="AH60" s="250" t="str">
        <f>SUM(#REF!*'FY21-22 fees'!$AH$3)</f>
        <v>#REF!</v>
      </c>
      <c r="AI60" s="249" t="str">
        <f t="shared" si="14"/>
        <v>#REF!</v>
      </c>
      <c r="AJ60" s="43"/>
      <c r="AK60" s="88" t="str">
        <f t="shared" si="15"/>
        <v>#REF!</v>
      </c>
      <c r="AL60" s="249" t="str">
        <f t="shared" si="16"/>
        <v>#REF!</v>
      </c>
      <c r="AM60" s="43"/>
      <c r="AN60" s="88" t="str">
        <f t="shared" si="17"/>
        <v>#REF!</v>
      </c>
      <c r="AO60" s="249" t="str">
        <f t="shared" si="18"/>
        <v>#REF!</v>
      </c>
      <c r="AP60" s="43"/>
      <c r="AQ60" s="88" t="str">
        <f t="shared" si="19"/>
        <v>#REF!</v>
      </c>
      <c r="AR60" s="249" t="str">
        <f t="shared" si="20"/>
        <v>#REF!</v>
      </c>
      <c r="AS60" s="43"/>
      <c r="AT60" s="88" t="str">
        <f t="shared" si="21"/>
        <v>#REF!</v>
      </c>
      <c r="AU60" s="249" t="str">
        <f t="shared" si="22"/>
        <v>#REF!</v>
      </c>
      <c r="AV60" s="43"/>
      <c r="AW60" s="88" t="str">
        <f t="shared" si="23"/>
        <v>#REF!</v>
      </c>
      <c r="AX60" s="249" t="str">
        <f t="shared" si="24"/>
        <v>#REF!</v>
      </c>
      <c r="AY60" s="249"/>
      <c r="AZ60" s="88">
        <v>1366.1483908527764</v>
      </c>
      <c r="BA60" s="249">
        <v>33.125966477176235</v>
      </c>
      <c r="BB60" s="249"/>
      <c r="BC60" s="249">
        <v>1158.4418635654174</v>
      </c>
      <c r="BD60" s="249">
        <v>-174.58056081018276</v>
      </c>
      <c r="BE60" s="249"/>
      <c r="BF60" s="88">
        <v>1469.855326110642</v>
      </c>
      <c r="BG60" s="249">
        <v>136.8329017350418</v>
      </c>
      <c r="BH60" s="249"/>
      <c r="BI60" s="88">
        <v>1489.9024164415043</v>
      </c>
      <c r="BJ60" s="249">
        <v>156.87999206590416</v>
      </c>
      <c r="BK60" s="88">
        <v>1952.5061482616347</v>
      </c>
      <c r="BL60" s="249">
        <v>619.4837238860346</v>
      </c>
      <c r="BM60" s="249"/>
      <c r="BN60" s="88">
        <v>1915.4781435767</v>
      </c>
      <c r="BO60" s="249">
        <v>582.4557192010998</v>
      </c>
      <c r="BP60" s="249"/>
      <c r="BQ60" s="43"/>
      <c r="BR60" s="88" t="str">
        <f t="shared" si="25"/>
        <v>#REF!</v>
      </c>
      <c r="BS60" s="249" t="str">
        <f t="shared" si="26"/>
        <v>#REF!</v>
      </c>
      <c r="BT60" s="43"/>
      <c r="BU60" s="88">
        <v>1401.825583767484</v>
      </c>
      <c r="BV60" s="249">
        <v>68.80315939188381</v>
      </c>
      <c r="BW60" s="43"/>
      <c r="BX60" s="88">
        <v>1200.065255299243</v>
      </c>
      <c r="BY60" s="249">
        <v>-132.9571690763571</v>
      </c>
      <c r="BZ60" s="43"/>
      <c r="CA60" s="88">
        <v>1511.4787178444674</v>
      </c>
      <c r="CB60" s="249">
        <v>178.45629346886722</v>
      </c>
      <c r="CC60" s="43"/>
      <c r="CD60" s="88">
        <v>1519.633410537094</v>
      </c>
      <c r="CE60" s="249">
        <v>186.61098616149388</v>
      </c>
      <c r="CF60" s="43"/>
      <c r="CG60" s="88">
        <v>2011.8369090953756</v>
      </c>
      <c r="CH60" s="249">
        <v>678.8144847197755</v>
      </c>
      <c r="CI60" s="43"/>
      <c r="CJ60" s="88">
        <v>1975.0713591253175</v>
      </c>
      <c r="CK60" s="249">
        <v>642.0489347497173</v>
      </c>
    </row>
    <row r="61" ht="15.75" customHeight="1">
      <c r="A61" s="66" t="s">
        <v>141</v>
      </c>
      <c r="B61" s="48" t="s">
        <v>142</v>
      </c>
      <c r="C61" s="108" t="s">
        <v>107</v>
      </c>
      <c r="D61" s="68"/>
      <c r="E61" s="51">
        <f>'Avg master'!J51</f>
        <v>10556.33333</v>
      </c>
      <c r="F61" s="55">
        <f t="shared" si="1"/>
        <v>0.04036576335</v>
      </c>
      <c r="G61" s="68"/>
      <c r="H61" s="53">
        <v>2094.0</v>
      </c>
      <c r="I61" s="53">
        <v>1296.0</v>
      </c>
      <c r="J61" s="53">
        <v>908.0</v>
      </c>
      <c r="K61" s="54">
        <f t="shared" si="2"/>
        <v>1432.666667</v>
      </c>
      <c r="L61" s="55">
        <f t="shared" si="3"/>
        <v>0.01230379906</v>
      </c>
      <c r="M61" s="37"/>
      <c r="N61" s="56">
        <v>9793.600747200002</v>
      </c>
      <c r="O61" s="43"/>
      <c r="P61" s="57">
        <v>10430.184795768002</v>
      </c>
      <c r="Q61" s="43"/>
      <c r="R61" s="57">
        <v>10638.788491683363</v>
      </c>
      <c r="S61" s="58">
        <f t="shared" si="4"/>
        <v>1.007810966</v>
      </c>
      <c r="T61" s="241"/>
      <c r="U61" s="57">
        <f t="shared" si="5"/>
        <v>10957.95215</v>
      </c>
      <c r="V61" s="57">
        <f t="shared" si="6"/>
        <v>319.1636548</v>
      </c>
      <c r="W61" s="62">
        <f t="shared" si="7"/>
        <v>0.03</v>
      </c>
      <c r="X61" s="43"/>
      <c r="Y61" s="88" t="str">
        <f t="shared" si="8"/>
        <v>#REF!</v>
      </c>
      <c r="Z61" s="249" t="str">
        <f t="shared" si="9"/>
        <v>#REF!</v>
      </c>
      <c r="AA61" s="58" t="str">
        <f t="shared" si="10"/>
        <v>#REF!</v>
      </c>
      <c r="AB61" s="43"/>
      <c r="AC61" s="250">
        <v>2699.1616705106185</v>
      </c>
      <c r="AD61" s="249">
        <f t="shared" si="11"/>
        <v>-8258.790476</v>
      </c>
      <c r="AE61" s="58">
        <f t="shared" si="12"/>
        <v>0.2556912126</v>
      </c>
      <c r="AF61" s="58">
        <f t="shared" si="13"/>
        <v>1.884012334</v>
      </c>
      <c r="AG61" s="251"/>
      <c r="AH61" s="250" t="str">
        <f>SUM(#REF!*'FY21-22 fees'!$AH$3)</f>
        <v>#REF!</v>
      </c>
      <c r="AI61" s="249" t="str">
        <f t="shared" si="14"/>
        <v>#REF!</v>
      </c>
      <c r="AJ61" s="43"/>
      <c r="AK61" s="88" t="str">
        <f t="shared" si="15"/>
        <v>#REF!</v>
      </c>
      <c r="AL61" s="249" t="str">
        <f t="shared" si="16"/>
        <v>#REF!</v>
      </c>
      <c r="AM61" s="43"/>
      <c r="AN61" s="88" t="str">
        <f t="shared" si="17"/>
        <v>#REF!</v>
      </c>
      <c r="AO61" s="249" t="str">
        <f t="shared" si="18"/>
        <v>#REF!</v>
      </c>
      <c r="AP61" s="43"/>
      <c r="AQ61" s="88" t="str">
        <f t="shared" si="19"/>
        <v>#REF!</v>
      </c>
      <c r="AR61" s="249" t="str">
        <f t="shared" si="20"/>
        <v>#REF!</v>
      </c>
      <c r="AS61" s="43"/>
      <c r="AT61" s="88" t="str">
        <f t="shared" si="21"/>
        <v>#REF!</v>
      </c>
      <c r="AU61" s="249" t="str">
        <f t="shared" si="22"/>
        <v>#REF!</v>
      </c>
      <c r="AV61" s="43"/>
      <c r="AW61" s="88" t="str">
        <f t="shared" si="23"/>
        <v>#REF!</v>
      </c>
      <c r="AX61" s="249" t="str">
        <f t="shared" si="24"/>
        <v>#REF!</v>
      </c>
      <c r="AY61" s="249"/>
      <c r="AZ61" s="88">
        <v>2873.6056782760497</v>
      </c>
      <c r="BA61" s="249">
        <v>-7765.182813407313</v>
      </c>
      <c r="BB61" s="249"/>
      <c r="BC61" s="249">
        <v>2898.517598177556</v>
      </c>
      <c r="BD61" s="249">
        <v>-7740.270893505807</v>
      </c>
      <c r="BE61" s="249"/>
      <c r="BF61" s="88">
        <v>3010.917916021766</v>
      </c>
      <c r="BG61" s="249">
        <v>-7627.870575661596</v>
      </c>
      <c r="BH61" s="249"/>
      <c r="BI61" s="88">
        <v>3014.74904755917</v>
      </c>
      <c r="BJ61" s="249">
        <v>-7624.039444124193</v>
      </c>
      <c r="BK61" s="88">
        <v>3306.991548749305</v>
      </c>
      <c r="BL61" s="249">
        <v>-7331.796942934057</v>
      </c>
      <c r="BM61" s="249"/>
      <c r="BN61" s="88">
        <v>2569.213460330977</v>
      </c>
      <c r="BO61" s="249">
        <v>-8069.575031352386</v>
      </c>
      <c r="BP61" s="249"/>
      <c r="BQ61" s="43"/>
      <c r="BR61" s="88" t="str">
        <f t="shared" si="25"/>
        <v>#REF!</v>
      </c>
      <c r="BS61" s="249" t="str">
        <f t="shared" si="26"/>
        <v>#REF!</v>
      </c>
      <c r="BT61" s="43"/>
      <c r="BU61" s="88">
        <v>4321.002383351873</v>
      </c>
      <c r="BV61" s="249">
        <v>-6317.78610833149</v>
      </c>
      <c r="BW61" s="43"/>
      <c r="BX61" s="88">
        <v>4587.147087432682</v>
      </c>
      <c r="BY61" s="249">
        <v>-6051.64140425068</v>
      </c>
      <c r="BZ61" s="43"/>
      <c r="CA61" s="88">
        <v>4699.547405276892</v>
      </c>
      <c r="CB61" s="249">
        <v>-5939.2410864064705</v>
      </c>
      <c r="CC61" s="43"/>
      <c r="CD61" s="88">
        <v>4220.912968455689</v>
      </c>
      <c r="CE61" s="249">
        <v>-6417.8755232276735</v>
      </c>
      <c r="CF61" s="43"/>
      <c r="CG61" s="88">
        <v>5713.995596004297</v>
      </c>
      <c r="CH61" s="249">
        <v>-4924.792895679066</v>
      </c>
      <c r="CI61" s="43"/>
      <c r="CJ61" s="88">
        <v>4986.86509666206</v>
      </c>
      <c r="CK61" s="249">
        <v>-5651.923395021303</v>
      </c>
    </row>
    <row r="62" ht="15.75" customHeight="1">
      <c r="A62" s="69" t="s">
        <v>143</v>
      </c>
      <c r="B62" s="48" t="s">
        <v>144</v>
      </c>
      <c r="C62" s="79" t="s">
        <v>62</v>
      </c>
      <c r="D62" s="71"/>
      <c r="E62" s="51">
        <f>'Avg master'!J52</f>
        <v>3535</v>
      </c>
      <c r="F62" s="55">
        <f t="shared" si="1"/>
        <v>0.01351728568</v>
      </c>
      <c r="G62" s="71"/>
      <c r="H62" s="53">
        <v>2081.0</v>
      </c>
      <c r="I62" s="53">
        <v>930.0</v>
      </c>
      <c r="J62" s="53">
        <v>713.0</v>
      </c>
      <c r="K62" s="54">
        <f t="shared" si="2"/>
        <v>1241.333333</v>
      </c>
      <c r="L62" s="55">
        <f t="shared" si="3"/>
        <v>0.01066062069</v>
      </c>
      <c r="M62" s="37"/>
      <c r="N62" s="56">
        <v>1659.5361648</v>
      </c>
      <c r="O62" s="43"/>
      <c r="P62" s="57">
        <v>1767.406015512</v>
      </c>
      <c r="Q62" s="43"/>
      <c r="R62" s="57">
        <v>1802.7541358222402</v>
      </c>
      <c r="S62" s="58">
        <f t="shared" si="4"/>
        <v>0.5099728814</v>
      </c>
      <c r="T62" s="241"/>
      <c r="U62" s="57">
        <f t="shared" si="5"/>
        <v>1856.83676</v>
      </c>
      <c r="V62" s="57">
        <f t="shared" si="6"/>
        <v>54.08262407</v>
      </c>
      <c r="W62" s="62">
        <f t="shared" si="7"/>
        <v>0.03</v>
      </c>
      <c r="X62" s="43"/>
      <c r="Y62" s="88" t="str">
        <f t="shared" si="8"/>
        <v>#REF!</v>
      </c>
      <c r="Z62" s="249" t="str">
        <f t="shared" si="9"/>
        <v>#REF!</v>
      </c>
      <c r="AA62" s="58" t="str">
        <f t="shared" si="10"/>
        <v>#REF!</v>
      </c>
      <c r="AB62" s="43"/>
      <c r="AC62" s="250">
        <v>2338.6873106052913</v>
      </c>
      <c r="AD62" s="249">
        <f t="shared" si="11"/>
        <v>481.8505507</v>
      </c>
      <c r="AE62" s="58">
        <f t="shared" si="12"/>
        <v>0.6615805688</v>
      </c>
      <c r="AF62" s="58">
        <f t="shared" si="13"/>
        <v>1.884012334</v>
      </c>
      <c r="AG62" s="251"/>
      <c r="AH62" s="250" t="str">
        <f>SUM(#REF!*'FY21-22 fees'!$AH$3)</f>
        <v>#REF!</v>
      </c>
      <c r="AI62" s="249" t="str">
        <f t="shared" si="14"/>
        <v>#REF!</v>
      </c>
      <c r="AJ62" s="43"/>
      <c r="AK62" s="88" t="str">
        <f t="shared" si="15"/>
        <v>#REF!</v>
      </c>
      <c r="AL62" s="249" t="str">
        <f t="shared" si="16"/>
        <v>#REF!</v>
      </c>
      <c r="AM62" s="43"/>
      <c r="AN62" s="88" t="str">
        <f t="shared" si="17"/>
        <v>#REF!</v>
      </c>
      <c r="AO62" s="249" t="str">
        <f t="shared" si="18"/>
        <v>#REF!</v>
      </c>
      <c r="AP62" s="43"/>
      <c r="AQ62" s="88" t="str">
        <f t="shared" si="19"/>
        <v>#REF!</v>
      </c>
      <c r="AR62" s="249" t="str">
        <f t="shared" si="20"/>
        <v>#REF!</v>
      </c>
      <c r="AS62" s="43"/>
      <c r="AT62" s="88" t="str">
        <f t="shared" si="21"/>
        <v>#REF!</v>
      </c>
      <c r="AU62" s="249" t="str">
        <f t="shared" si="22"/>
        <v>#REF!</v>
      </c>
      <c r="AV62" s="43"/>
      <c r="AW62" s="88" t="str">
        <f t="shared" si="23"/>
        <v>#REF!</v>
      </c>
      <c r="AX62" s="249" t="str">
        <f t="shared" si="24"/>
        <v>#REF!</v>
      </c>
      <c r="AY62" s="249"/>
      <c r="AZ62" s="88">
        <v>2816.1334183503677</v>
      </c>
      <c r="BA62" s="249">
        <v>1013.3792825281275</v>
      </c>
      <c r="BB62" s="249"/>
      <c r="BC62" s="249">
        <v>2773.4522920841923</v>
      </c>
      <c r="BD62" s="249">
        <v>970.6981562619521</v>
      </c>
      <c r="BE62" s="249"/>
      <c r="BF62" s="88">
        <v>2904.9086486976125</v>
      </c>
      <c r="BG62" s="249">
        <v>1102.1545128753723</v>
      </c>
      <c r="BH62" s="249"/>
      <c r="BI62" s="88">
        <v>2920.4154592284494</v>
      </c>
      <c r="BJ62" s="249">
        <v>1117.6613234062092</v>
      </c>
      <c r="BK62" s="88">
        <v>3143.6958905498564</v>
      </c>
      <c r="BL62" s="249">
        <v>1340.9417547276162</v>
      </c>
      <c r="BM62" s="249"/>
      <c r="BN62" s="88">
        <v>2794.239580256645</v>
      </c>
      <c r="BO62" s="249">
        <v>991.4854444344046</v>
      </c>
      <c r="BP62" s="249"/>
      <c r="BQ62" s="43"/>
      <c r="BR62" s="88" t="str">
        <f t="shared" si="25"/>
        <v>#REF!</v>
      </c>
      <c r="BS62" s="249" t="str">
        <f t="shared" si="26"/>
        <v>#REF!</v>
      </c>
      <c r="BT62" s="43"/>
      <c r="BU62" s="88">
        <v>2917.2506896818245</v>
      </c>
      <c r="BV62" s="249">
        <v>1114.4965538595843</v>
      </c>
      <c r="BW62" s="43"/>
      <c r="BX62" s="88">
        <v>2891.422441970892</v>
      </c>
      <c r="BY62" s="249">
        <v>1088.668306148652</v>
      </c>
      <c r="BZ62" s="43"/>
      <c r="CA62" s="88">
        <v>3022.8787985843123</v>
      </c>
      <c r="CB62" s="249">
        <v>1220.1246627620721</v>
      </c>
      <c r="CC62" s="43"/>
      <c r="CD62" s="88">
        <v>3004.6798520046636</v>
      </c>
      <c r="CE62" s="249">
        <v>1201.9257161824235</v>
      </c>
      <c r="CF62" s="43"/>
      <c r="CG62" s="88">
        <v>3311.8527479536788</v>
      </c>
      <c r="CH62" s="249">
        <v>1509.0986121314386</v>
      </c>
      <c r="CI62" s="43"/>
      <c r="CJ62" s="88">
        <v>2963.140293957678</v>
      </c>
      <c r="CK62" s="249">
        <v>1160.3861581354377</v>
      </c>
    </row>
    <row r="63" ht="15.75" customHeight="1">
      <c r="A63" s="64" t="s">
        <v>145</v>
      </c>
      <c r="B63" s="48" t="s">
        <v>146</v>
      </c>
      <c r="C63" s="67" t="s">
        <v>39</v>
      </c>
      <c r="D63" s="50"/>
      <c r="E63" s="51">
        <f>'Avg master'!J53</f>
        <v>1888</v>
      </c>
      <c r="F63" s="55">
        <f t="shared" si="1"/>
        <v>0.007219415946</v>
      </c>
      <c r="G63" s="50"/>
      <c r="H63" s="53">
        <v>1469.0</v>
      </c>
      <c r="I63" s="53">
        <v>1093.0</v>
      </c>
      <c r="J63" s="53">
        <v>743.0</v>
      </c>
      <c r="K63" s="54">
        <f t="shared" si="2"/>
        <v>1101.666667</v>
      </c>
      <c r="L63" s="55">
        <f t="shared" si="3"/>
        <v>0.009461157725</v>
      </c>
      <c r="M63" s="37"/>
      <c r="N63" s="102"/>
      <c r="O63" s="43"/>
      <c r="P63" s="65">
        <v>1568.745</v>
      </c>
      <c r="Q63" s="43"/>
      <c r="R63" s="65">
        <v>1600.1199</v>
      </c>
      <c r="S63" s="58">
        <f t="shared" si="4"/>
        <v>0.8475211335</v>
      </c>
      <c r="T63" s="241"/>
      <c r="U63" s="57">
        <f t="shared" si="5"/>
        <v>1648.123497</v>
      </c>
      <c r="V63" s="57">
        <f t="shared" si="6"/>
        <v>48.003597</v>
      </c>
      <c r="W63" s="62">
        <f t="shared" si="7"/>
        <v>0.03</v>
      </c>
      <c r="X63" s="43"/>
      <c r="Y63" s="88" t="str">
        <f t="shared" si="8"/>
        <v>#REF!</v>
      </c>
      <c r="Z63" s="249" t="str">
        <f t="shared" si="9"/>
        <v>#REF!</v>
      </c>
      <c r="AA63" s="58" t="str">
        <f t="shared" si="10"/>
        <v>#REF!</v>
      </c>
      <c r="AB63" s="43"/>
      <c r="AC63" s="250">
        <v>2075.55358795663</v>
      </c>
      <c r="AD63" s="249">
        <f t="shared" si="11"/>
        <v>427.430091</v>
      </c>
      <c r="AE63" s="58">
        <f t="shared" si="12"/>
        <v>1.099339824</v>
      </c>
      <c r="AF63" s="58">
        <f t="shared" si="13"/>
        <v>1.884012334</v>
      </c>
      <c r="AG63" s="251"/>
      <c r="AH63" s="250" t="str">
        <f>SUM(#REF!*'FY21-22 fees'!$AH$3)</f>
        <v>#REF!</v>
      </c>
      <c r="AI63" s="249" t="str">
        <f t="shared" si="14"/>
        <v>#REF!</v>
      </c>
      <c r="AJ63" s="43"/>
      <c r="AK63" s="88" t="str">
        <f t="shared" si="15"/>
        <v>#REF!</v>
      </c>
      <c r="AL63" s="249" t="str">
        <f t="shared" si="16"/>
        <v>#REF!</v>
      </c>
      <c r="AM63" s="43"/>
      <c r="AN63" s="88" t="str">
        <f t="shared" si="17"/>
        <v>#REF!</v>
      </c>
      <c r="AO63" s="249" t="str">
        <f t="shared" si="18"/>
        <v>#REF!</v>
      </c>
      <c r="AP63" s="43"/>
      <c r="AQ63" s="88" t="str">
        <f t="shared" si="19"/>
        <v>#REF!</v>
      </c>
      <c r="AR63" s="249" t="str">
        <f t="shared" si="20"/>
        <v>#REF!</v>
      </c>
      <c r="AS63" s="43"/>
      <c r="AT63" s="88" t="str">
        <f t="shared" si="21"/>
        <v>#REF!</v>
      </c>
      <c r="AU63" s="249" t="str">
        <f t="shared" si="22"/>
        <v>#REF!</v>
      </c>
      <c r="AV63" s="43"/>
      <c r="AW63" s="88" t="str">
        <f t="shared" si="23"/>
        <v>#REF!</v>
      </c>
      <c r="AX63" s="249" t="str">
        <f t="shared" si="24"/>
        <v>#REF!</v>
      </c>
      <c r="AY63" s="249"/>
      <c r="AZ63" s="88">
        <v>2968.448807330883</v>
      </c>
      <c r="BA63" s="249">
        <v>1368.328907330883</v>
      </c>
      <c r="BB63" s="249"/>
      <c r="BC63" s="249">
        <v>2884.880043969329</v>
      </c>
      <c r="BD63" s="249">
        <v>1284.7601439693292</v>
      </c>
      <c r="BE63" s="249"/>
      <c r="BF63" s="88">
        <v>3106.658440140887</v>
      </c>
      <c r="BG63" s="249">
        <v>1506.5385401408869</v>
      </c>
      <c r="BH63" s="249"/>
      <c r="BI63" s="88">
        <v>3054.2762942887566</v>
      </c>
      <c r="BJ63" s="249">
        <v>1454.1563942887567</v>
      </c>
      <c r="BK63" s="88">
        <v>3167.9819439533553</v>
      </c>
      <c r="BL63" s="249">
        <v>1567.8620439533554</v>
      </c>
      <c r="BM63" s="249"/>
      <c r="BN63" s="88">
        <v>3751.2805553229027</v>
      </c>
      <c r="BO63" s="249">
        <v>2151.160655322903</v>
      </c>
      <c r="BP63" s="249"/>
      <c r="BQ63" s="43"/>
      <c r="BR63" s="88" t="str">
        <f t="shared" si="25"/>
        <v>#REF!</v>
      </c>
      <c r="BS63" s="249" t="str">
        <f t="shared" si="26"/>
        <v>#REF!</v>
      </c>
      <c r="BT63" s="43"/>
      <c r="BU63" s="88">
        <v>2840.3143292628856</v>
      </c>
      <c r="BV63" s="249">
        <v>1240.1944292628857</v>
      </c>
      <c r="BW63" s="43"/>
      <c r="BX63" s="88">
        <v>2735.3898195566653</v>
      </c>
      <c r="BY63" s="249">
        <v>1135.2699195566654</v>
      </c>
      <c r="BZ63" s="43"/>
      <c r="CA63" s="88">
        <v>2957.1682157282225</v>
      </c>
      <c r="CB63" s="249">
        <v>1357.0483157282226</v>
      </c>
      <c r="CC63" s="43"/>
      <c r="CD63" s="88">
        <v>2947.497562565425</v>
      </c>
      <c r="CE63" s="249">
        <v>1347.3776625654252</v>
      </c>
      <c r="CF63" s="43"/>
      <c r="CG63" s="88">
        <v>2954.8957829713736</v>
      </c>
      <c r="CH63" s="249">
        <v>1354.7758829713737</v>
      </c>
      <c r="CI63" s="43"/>
      <c r="CJ63" s="88">
        <v>3537.251789411559</v>
      </c>
      <c r="CK63" s="249">
        <v>1937.131889411559</v>
      </c>
    </row>
    <row r="64" ht="15.75" customHeight="1">
      <c r="A64" s="69" t="s">
        <v>147</v>
      </c>
      <c r="B64" s="76" t="s">
        <v>148</v>
      </c>
      <c r="C64" s="89" t="s">
        <v>51</v>
      </c>
      <c r="D64" s="71"/>
      <c r="E64" s="51">
        <f>'Avg master'!J54</f>
        <v>260.3333333</v>
      </c>
      <c r="F64" s="55">
        <f t="shared" si="1"/>
        <v>0.0009954738443</v>
      </c>
      <c r="G64" s="71"/>
      <c r="H64" s="53">
        <v>495.0</v>
      </c>
      <c r="I64" s="53">
        <v>438.0</v>
      </c>
      <c r="J64" s="53">
        <v>417.0</v>
      </c>
      <c r="K64" s="54">
        <f t="shared" si="2"/>
        <v>450</v>
      </c>
      <c r="L64" s="55">
        <f t="shared" si="3"/>
        <v>0.003864618133</v>
      </c>
      <c r="M64" s="37"/>
      <c r="N64" s="56">
        <v>1227.121812</v>
      </c>
      <c r="O64" s="43"/>
      <c r="P64" s="57">
        <v>1306.88472978</v>
      </c>
      <c r="Q64" s="43"/>
      <c r="R64" s="57">
        <v>1333.0224243756002</v>
      </c>
      <c r="S64" s="58">
        <f t="shared" si="4"/>
        <v>5.120444652</v>
      </c>
      <c r="T64" s="241"/>
      <c r="U64" s="57">
        <f t="shared" si="5"/>
        <v>1373.013097</v>
      </c>
      <c r="V64" s="57">
        <f t="shared" si="6"/>
        <v>39.99067273</v>
      </c>
      <c r="W64" s="62">
        <f t="shared" si="7"/>
        <v>0.03</v>
      </c>
      <c r="X64" s="43"/>
      <c r="Y64" s="88" t="str">
        <f t="shared" si="8"/>
        <v>#REF!</v>
      </c>
      <c r="Z64" s="249" t="str">
        <f t="shared" si="9"/>
        <v>#REF!</v>
      </c>
      <c r="AA64" s="58" t="str">
        <f t="shared" si="10"/>
        <v>#REF!</v>
      </c>
      <c r="AB64" s="43"/>
      <c r="AC64" s="250">
        <v>847.8055502999848</v>
      </c>
      <c r="AD64" s="249">
        <f t="shared" si="11"/>
        <v>-525.2075468</v>
      </c>
      <c r="AE64" s="58">
        <f t="shared" si="12"/>
        <v>3.25661543</v>
      </c>
      <c r="AF64" s="58">
        <f t="shared" si="13"/>
        <v>1.884012334</v>
      </c>
      <c r="AG64" s="251"/>
      <c r="AH64" s="250" t="str">
        <f>SUM(#REF!*'FY21-22 fees'!$AH$3)</f>
        <v>#REF!</v>
      </c>
      <c r="AI64" s="249" t="str">
        <f t="shared" si="14"/>
        <v>#REF!</v>
      </c>
      <c r="AJ64" s="43"/>
      <c r="AK64" s="88" t="str">
        <f t="shared" si="15"/>
        <v>#REF!</v>
      </c>
      <c r="AL64" s="249" t="str">
        <f t="shared" si="16"/>
        <v>#REF!</v>
      </c>
      <c r="AM64" s="43"/>
      <c r="AN64" s="88" t="str">
        <f t="shared" si="17"/>
        <v>#REF!</v>
      </c>
      <c r="AO64" s="249" t="str">
        <f t="shared" si="18"/>
        <v>#REF!</v>
      </c>
      <c r="AP64" s="43"/>
      <c r="AQ64" s="88" t="str">
        <f t="shared" si="19"/>
        <v>#REF!</v>
      </c>
      <c r="AR64" s="249" t="str">
        <f t="shared" si="20"/>
        <v>#REF!</v>
      </c>
      <c r="AS64" s="43"/>
      <c r="AT64" s="88" t="str">
        <f t="shared" si="21"/>
        <v>#REF!</v>
      </c>
      <c r="AU64" s="249" t="str">
        <f t="shared" si="22"/>
        <v>#REF!</v>
      </c>
      <c r="AV64" s="43"/>
      <c r="AW64" s="88" t="str">
        <f t="shared" si="23"/>
        <v>#REF!</v>
      </c>
      <c r="AX64" s="249" t="str">
        <f t="shared" si="24"/>
        <v>#REF!</v>
      </c>
      <c r="AY64" s="249"/>
      <c r="AZ64" s="88">
        <v>1384.6236079907867</v>
      </c>
      <c r="BA64" s="249">
        <v>51.60118361518653</v>
      </c>
      <c r="BB64" s="249"/>
      <c r="BC64" s="249">
        <v>1212.6079448437715</v>
      </c>
      <c r="BD64" s="249">
        <v>-120.41447953182865</v>
      </c>
      <c r="BE64" s="249"/>
      <c r="BF64" s="88">
        <v>1533.4896899749515</v>
      </c>
      <c r="BG64" s="249">
        <v>200.46726559935132</v>
      </c>
      <c r="BH64" s="249"/>
      <c r="BI64" s="88">
        <v>1486.674070121332</v>
      </c>
      <c r="BJ64" s="249">
        <v>153.6516457457319</v>
      </c>
      <c r="BK64" s="88">
        <v>2091.4024826135287</v>
      </c>
      <c r="BL64" s="249">
        <v>758.3800582379286</v>
      </c>
      <c r="BM64" s="249"/>
      <c r="BN64" s="88">
        <v>2093.141122266356</v>
      </c>
      <c r="BO64" s="249">
        <v>760.1186978907558</v>
      </c>
      <c r="BP64" s="249"/>
      <c r="BQ64" s="43"/>
      <c r="BR64" s="88" t="str">
        <f t="shared" si="25"/>
        <v>#REF!</v>
      </c>
      <c r="BS64" s="249" t="str">
        <f t="shared" si="26"/>
        <v>#REF!</v>
      </c>
      <c r="BT64" s="43"/>
      <c r="BU64" s="88">
        <v>1263.5872758906385</v>
      </c>
      <c r="BV64" s="249">
        <v>-69.4351484849617</v>
      </c>
      <c r="BW64" s="43"/>
      <c r="BX64" s="88">
        <v>1071.3988907269322</v>
      </c>
      <c r="BY64" s="249">
        <v>-261.62353364866794</v>
      </c>
      <c r="BZ64" s="43"/>
      <c r="CA64" s="88">
        <v>1392.2806358581122</v>
      </c>
      <c r="CB64" s="249">
        <v>59.258211482512024</v>
      </c>
      <c r="CC64" s="43"/>
      <c r="CD64" s="88">
        <v>1385.8104600378756</v>
      </c>
      <c r="CE64" s="249">
        <v>52.78803566227543</v>
      </c>
      <c r="CF64" s="43"/>
      <c r="CG64" s="88">
        <v>1890.1204566089896</v>
      </c>
      <c r="CH64" s="249">
        <v>557.0980322333894</v>
      </c>
      <c r="CI64" s="43"/>
      <c r="CJ64" s="88">
        <v>1890.9687079370678</v>
      </c>
      <c r="CK64" s="249">
        <v>557.9462835614677</v>
      </c>
    </row>
    <row r="65" ht="15.75" customHeight="1">
      <c r="A65" s="69" t="s">
        <v>149</v>
      </c>
      <c r="B65" s="48" t="s">
        <v>150</v>
      </c>
      <c r="C65" s="104" t="s">
        <v>39</v>
      </c>
      <c r="D65" s="71"/>
      <c r="E65" s="51">
        <f>'Avg master'!J55</f>
        <v>826.3333333</v>
      </c>
      <c r="F65" s="55">
        <f t="shared" si="1"/>
        <v>0.003159769091</v>
      </c>
      <c r="G65" s="71"/>
      <c r="H65" s="53">
        <v>820.0</v>
      </c>
      <c r="I65" s="53">
        <v>635.0</v>
      </c>
      <c r="J65" s="53">
        <v>528.0</v>
      </c>
      <c r="K65" s="54">
        <f t="shared" si="2"/>
        <v>661</v>
      </c>
      <c r="L65" s="55">
        <f t="shared" si="3"/>
        <v>0.005676694635</v>
      </c>
      <c r="M65" s="37"/>
      <c r="N65" s="56">
        <v>1472.5461744000004</v>
      </c>
      <c r="O65" s="43"/>
      <c r="P65" s="57">
        <v>1568.2616757360004</v>
      </c>
      <c r="Q65" s="43"/>
      <c r="R65" s="57">
        <v>1599.6269092507205</v>
      </c>
      <c r="S65" s="58">
        <f t="shared" si="4"/>
        <v>1.935813121</v>
      </c>
      <c r="T65" s="241"/>
      <c r="U65" s="57">
        <f t="shared" si="5"/>
        <v>1647.615717</v>
      </c>
      <c r="V65" s="57">
        <f t="shared" si="6"/>
        <v>47.98880728</v>
      </c>
      <c r="W65" s="62">
        <f t="shared" si="7"/>
        <v>0.03</v>
      </c>
      <c r="X65" s="43"/>
      <c r="Y65" s="88" t="str">
        <f t="shared" si="8"/>
        <v>#REF!</v>
      </c>
      <c r="Z65" s="249" t="str">
        <f t="shared" si="9"/>
        <v>#REF!</v>
      </c>
      <c r="AA65" s="58" t="str">
        <f t="shared" si="10"/>
        <v>#REF!</v>
      </c>
      <c r="AB65" s="43"/>
      <c r="AC65" s="250">
        <v>1245.3321527739777</v>
      </c>
      <c r="AD65" s="249">
        <f t="shared" si="11"/>
        <v>-402.2835638</v>
      </c>
      <c r="AE65" s="58">
        <f t="shared" si="12"/>
        <v>1.507057869</v>
      </c>
      <c r="AF65" s="58">
        <f t="shared" si="13"/>
        <v>1.884012334</v>
      </c>
      <c r="AG65" s="251"/>
      <c r="AH65" s="250" t="str">
        <f>SUM(#REF!*'FY21-22 fees'!$AH$3)</f>
        <v>#REF!</v>
      </c>
      <c r="AI65" s="249" t="str">
        <f t="shared" si="14"/>
        <v>#REF!</v>
      </c>
      <c r="AJ65" s="43"/>
      <c r="AK65" s="88" t="str">
        <f t="shared" si="15"/>
        <v>#REF!</v>
      </c>
      <c r="AL65" s="249" t="str">
        <f t="shared" si="16"/>
        <v>#REF!</v>
      </c>
      <c r="AM65" s="43"/>
      <c r="AN65" s="88" t="str">
        <f t="shared" si="17"/>
        <v>#REF!</v>
      </c>
      <c r="AO65" s="249" t="str">
        <f t="shared" si="18"/>
        <v>#REF!</v>
      </c>
      <c r="AP65" s="43"/>
      <c r="AQ65" s="88" t="str">
        <f t="shared" si="19"/>
        <v>#REF!</v>
      </c>
      <c r="AR65" s="249" t="str">
        <f t="shared" si="20"/>
        <v>#REF!</v>
      </c>
      <c r="AS65" s="43"/>
      <c r="AT65" s="88" t="str">
        <f t="shared" si="21"/>
        <v>#REF!</v>
      </c>
      <c r="AU65" s="249" t="str">
        <f t="shared" si="22"/>
        <v>#REF!</v>
      </c>
      <c r="AV65" s="43"/>
      <c r="AW65" s="88" t="str">
        <f t="shared" si="23"/>
        <v>#REF!</v>
      </c>
      <c r="AX65" s="249" t="str">
        <f t="shared" si="24"/>
        <v>#REF!</v>
      </c>
      <c r="AY65" s="249"/>
      <c r="AZ65" s="88">
        <v>1929.4808266217012</v>
      </c>
      <c r="BA65" s="249">
        <v>329.85391737098075</v>
      </c>
      <c r="BB65" s="249"/>
      <c r="BC65" s="249">
        <v>1795.5543619964053</v>
      </c>
      <c r="BD65" s="249">
        <v>195.92745274568483</v>
      </c>
      <c r="BE65" s="249"/>
      <c r="BF65" s="88">
        <v>2057.102531868908</v>
      </c>
      <c r="BG65" s="249">
        <v>457.4756226181876</v>
      </c>
      <c r="BH65" s="249"/>
      <c r="BI65" s="88">
        <v>2035.7299344102842</v>
      </c>
      <c r="BJ65" s="249">
        <v>436.1030251595637</v>
      </c>
      <c r="BK65" s="88">
        <v>2457.325049328797</v>
      </c>
      <c r="BL65" s="249">
        <v>857.6981400780764</v>
      </c>
      <c r="BM65" s="249"/>
      <c r="BN65" s="88">
        <v>2444.061623557933</v>
      </c>
      <c r="BO65" s="249">
        <v>844.4347143072127</v>
      </c>
      <c r="BP65" s="249"/>
      <c r="BQ65" s="43"/>
      <c r="BR65" s="88" t="str">
        <f t="shared" si="25"/>
        <v>#REF!</v>
      </c>
      <c r="BS65" s="249" t="str">
        <f t="shared" si="26"/>
        <v>#REF!</v>
      </c>
      <c r="BT65" s="43"/>
      <c r="BU65" s="88">
        <v>1821.5186998361469</v>
      </c>
      <c r="BV65" s="249">
        <v>221.8917905854264</v>
      </c>
      <c r="BW65" s="43"/>
      <c r="BX65" s="88">
        <v>1669.5985474132588</v>
      </c>
      <c r="BY65" s="249">
        <v>69.97163816253828</v>
      </c>
      <c r="BZ65" s="43"/>
      <c r="CA65" s="88">
        <v>1931.1467172857615</v>
      </c>
      <c r="CB65" s="249">
        <v>331.519808035041</v>
      </c>
      <c r="CC65" s="43"/>
      <c r="CD65" s="88">
        <v>1945.761495422322</v>
      </c>
      <c r="CE65" s="249">
        <v>346.13458617160154</v>
      </c>
      <c r="CF65" s="43"/>
      <c r="CG65" s="88">
        <v>2277.785276154121</v>
      </c>
      <c r="CH65" s="249">
        <v>678.1583669034007</v>
      </c>
      <c r="CI65" s="43"/>
      <c r="CJ65" s="88">
        <v>2263.727640780761</v>
      </c>
      <c r="CK65" s="249">
        <v>664.1007315300403</v>
      </c>
    </row>
    <row r="66" ht="15.75" customHeight="1">
      <c r="A66" s="109" t="s">
        <v>151</v>
      </c>
      <c r="B66" s="48" t="s">
        <v>152</v>
      </c>
      <c r="C66" s="67" t="s">
        <v>39</v>
      </c>
      <c r="D66" s="110"/>
      <c r="E66" s="51">
        <f>'Avg master'!J56</f>
        <v>974.3333333</v>
      </c>
      <c r="F66" s="55">
        <f t="shared" si="1"/>
        <v>0.003725697883</v>
      </c>
      <c r="G66" s="110"/>
      <c r="H66" s="53">
        <v>480.0</v>
      </c>
      <c r="I66" s="53">
        <v>344.0</v>
      </c>
      <c r="J66" s="53">
        <v>284.0</v>
      </c>
      <c r="K66" s="54">
        <f t="shared" si="2"/>
        <v>369.3333333</v>
      </c>
      <c r="L66" s="55">
        <f t="shared" si="3"/>
        <v>0.003171849549</v>
      </c>
      <c r="M66" s="37"/>
      <c r="N66" s="56">
        <v>1473.0</v>
      </c>
      <c r="O66" s="43"/>
      <c r="P66" s="57">
        <v>1568.745</v>
      </c>
      <c r="Q66" s="43"/>
      <c r="R66" s="57">
        <v>1600.1199</v>
      </c>
      <c r="S66" s="58">
        <f t="shared" si="4"/>
        <v>1.642271536</v>
      </c>
      <c r="T66" s="241"/>
      <c r="U66" s="57">
        <f t="shared" si="5"/>
        <v>1648.123497</v>
      </c>
      <c r="V66" s="57">
        <f t="shared" si="6"/>
        <v>48.003597</v>
      </c>
      <c r="W66" s="62">
        <f t="shared" si="7"/>
        <v>0.03</v>
      </c>
      <c r="X66" s="43"/>
      <c r="Y66" s="88" t="str">
        <f t="shared" si="8"/>
        <v>#REF!</v>
      </c>
      <c r="Z66" s="249" t="str">
        <f t="shared" si="9"/>
        <v>#REF!</v>
      </c>
      <c r="AA66" s="58" t="str">
        <f t="shared" si="10"/>
        <v>#REF!</v>
      </c>
      <c r="AB66" s="43"/>
      <c r="AC66" s="250">
        <v>695.8285553573209</v>
      </c>
      <c r="AD66" s="249">
        <f t="shared" si="11"/>
        <v>-952.2949416</v>
      </c>
      <c r="AE66" s="58">
        <f t="shared" si="12"/>
        <v>0.7141586268</v>
      </c>
      <c r="AF66" s="58">
        <f t="shared" si="13"/>
        <v>1.884012334</v>
      </c>
      <c r="AG66" s="251"/>
      <c r="AH66" s="250" t="str">
        <f>SUM(#REF!*'FY21-22 fees'!$AH$3)</f>
        <v>#REF!</v>
      </c>
      <c r="AI66" s="249" t="str">
        <f t="shared" si="14"/>
        <v>#REF!</v>
      </c>
      <c r="AJ66" s="43"/>
      <c r="AK66" s="88" t="str">
        <f t="shared" si="15"/>
        <v>#REF!</v>
      </c>
      <c r="AL66" s="249" t="str">
        <f t="shared" si="16"/>
        <v>#REF!</v>
      </c>
      <c r="AM66" s="43"/>
      <c r="AN66" s="88" t="str">
        <f t="shared" si="17"/>
        <v>#REF!</v>
      </c>
      <c r="AO66" s="249" t="str">
        <f t="shared" si="18"/>
        <v>#REF!</v>
      </c>
      <c r="AP66" s="43"/>
      <c r="AQ66" s="88" t="str">
        <f t="shared" si="19"/>
        <v>#REF!</v>
      </c>
      <c r="AR66" s="249" t="str">
        <f t="shared" si="20"/>
        <v>#REF!</v>
      </c>
      <c r="AS66" s="43"/>
      <c r="AT66" s="88" t="str">
        <f t="shared" si="21"/>
        <v>#REF!</v>
      </c>
      <c r="AU66" s="249" t="str">
        <f t="shared" si="22"/>
        <v>#REF!</v>
      </c>
      <c r="AV66" s="43"/>
      <c r="AW66" s="88" t="str">
        <f t="shared" si="23"/>
        <v>#REF!</v>
      </c>
      <c r="AX66" s="249" t="str">
        <f t="shared" si="24"/>
        <v>#REF!</v>
      </c>
      <c r="AY66" s="249"/>
      <c r="AZ66" s="88">
        <v>1482.6173371084967</v>
      </c>
      <c r="BA66" s="249">
        <v>-117.5025628915032</v>
      </c>
      <c r="BB66" s="249"/>
      <c r="BC66" s="249">
        <v>1276.2817687597594</v>
      </c>
      <c r="BD66" s="249">
        <v>-323.8381312402405</v>
      </c>
      <c r="BE66" s="249"/>
      <c r="BF66" s="88">
        <v>1568.5943899367865</v>
      </c>
      <c r="BG66" s="249">
        <v>-31.52551006321346</v>
      </c>
      <c r="BH66" s="249"/>
      <c r="BI66" s="88">
        <v>1563.3044719093753</v>
      </c>
      <c r="BJ66" s="249">
        <v>-36.815428090624664</v>
      </c>
      <c r="BK66" s="88">
        <v>2154.254235674079</v>
      </c>
      <c r="BL66" s="249">
        <v>554.1343356740792</v>
      </c>
      <c r="BM66" s="249"/>
      <c r="BN66" s="88">
        <v>2043.7069350939412</v>
      </c>
      <c r="BO66" s="249">
        <v>443.58703509394127</v>
      </c>
      <c r="BP66" s="249"/>
      <c r="BQ66" s="43"/>
      <c r="BR66" s="88" t="str">
        <f t="shared" si="25"/>
        <v>#REF!</v>
      </c>
      <c r="BS66" s="249" t="str">
        <f t="shared" si="26"/>
        <v>#REF!</v>
      </c>
      <c r="BT66" s="43"/>
      <c r="BU66" s="88">
        <v>1510.3002113059808</v>
      </c>
      <c r="BV66" s="249">
        <v>-89.81968869401908</v>
      </c>
      <c r="BW66" s="43"/>
      <c r="BX66" s="88">
        <v>1308.5784553234905</v>
      </c>
      <c r="BY66" s="249">
        <v>-291.5414446765094</v>
      </c>
      <c r="BZ66" s="43"/>
      <c r="CA66" s="88">
        <v>1600.8910765005178</v>
      </c>
      <c r="CB66" s="249">
        <v>0.7711765005178677</v>
      </c>
      <c r="CC66" s="43"/>
      <c r="CD66" s="88">
        <v>1586.3735337406122</v>
      </c>
      <c r="CE66" s="249">
        <v>-13.746366259387742</v>
      </c>
      <c r="CF66" s="43"/>
      <c r="CG66" s="88">
        <v>2200.2905365716306</v>
      </c>
      <c r="CH66" s="249">
        <v>600.1706365716307</v>
      </c>
      <c r="CI66" s="43"/>
      <c r="CJ66" s="88">
        <v>2089.9468815213368</v>
      </c>
      <c r="CK66" s="249">
        <v>489.82698152133685</v>
      </c>
    </row>
    <row r="67" ht="15.75" customHeight="1">
      <c r="A67" s="111"/>
      <c r="B67" s="111"/>
      <c r="C67" s="10"/>
      <c r="D67" s="10"/>
      <c r="E67" s="112"/>
      <c r="F67" s="113"/>
      <c r="G67" s="10"/>
      <c r="H67" s="111"/>
      <c r="I67" s="111"/>
      <c r="J67" s="111"/>
      <c r="K67" s="43"/>
      <c r="L67" s="113"/>
      <c r="M67" s="37"/>
      <c r="N67" s="114"/>
      <c r="O67" s="43"/>
      <c r="P67" s="115"/>
      <c r="Q67" s="43"/>
      <c r="R67" s="115"/>
      <c r="S67" s="40"/>
      <c r="T67" s="241"/>
      <c r="U67" s="43"/>
      <c r="V67" s="43"/>
      <c r="W67" s="43"/>
      <c r="X67" s="43"/>
      <c r="Y67" s="43"/>
      <c r="Z67" s="43"/>
      <c r="AA67" s="43"/>
      <c r="AB67" s="43"/>
      <c r="AC67" s="113"/>
      <c r="AD67" s="113"/>
      <c r="AE67" s="43"/>
      <c r="AF67" s="43"/>
      <c r="AG67" s="113"/>
      <c r="AH67" s="113"/>
      <c r="AI67" s="113"/>
      <c r="AJ67" s="43"/>
      <c r="AK67" s="43"/>
      <c r="AL67" s="113"/>
      <c r="AM67" s="43"/>
      <c r="AN67" s="43"/>
      <c r="AO67" s="113"/>
      <c r="AP67" s="43"/>
      <c r="AQ67" s="43"/>
      <c r="AR67" s="113"/>
      <c r="AS67" s="43"/>
      <c r="AT67" s="43"/>
      <c r="AU67" s="113"/>
      <c r="AV67" s="43"/>
      <c r="AW67" s="43"/>
      <c r="AX67" s="113"/>
      <c r="AY67" s="113"/>
      <c r="AZ67" s="43"/>
      <c r="BA67" s="113"/>
      <c r="BB67" s="113"/>
      <c r="BC67" s="113"/>
      <c r="BD67" s="113"/>
      <c r="BE67" s="113"/>
      <c r="BF67" s="43"/>
      <c r="BG67" s="113"/>
      <c r="BH67" s="113"/>
      <c r="BI67" s="43"/>
      <c r="BJ67" s="113"/>
      <c r="BK67" s="43"/>
      <c r="BL67" s="113"/>
      <c r="BM67" s="113"/>
      <c r="BN67" s="43"/>
      <c r="BO67" s="113"/>
      <c r="BP67" s="113"/>
      <c r="BQ67" s="43"/>
      <c r="BR67" s="43"/>
      <c r="BS67" s="113"/>
      <c r="BT67" s="43"/>
      <c r="BU67" s="43"/>
      <c r="BV67" s="113"/>
      <c r="BW67" s="43"/>
      <c r="BX67" s="43"/>
      <c r="BY67" s="113"/>
      <c r="BZ67" s="43"/>
      <c r="CA67" s="43"/>
      <c r="CB67" s="113"/>
      <c r="CC67" s="43"/>
      <c r="CD67" s="43"/>
      <c r="CE67" s="113"/>
      <c r="CF67" s="43"/>
      <c r="CG67" s="43"/>
      <c r="CH67" s="113"/>
      <c r="CI67" s="43"/>
      <c r="CJ67" s="43"/>
      <c r="CK67" s="113"/>
    </row>
    <row r="68" ht="15.75" customHeight="1">
      <c r="A68" s="117"/>
      <c r="B68" s="117"/>
      <c r="C68" s="118"/>
      <c r="D68" s="118"/>
      <c r="E68" s="119"/>
      <c r="F68" s="120"/>
      <c r="G68" s="118"/>
      <c r="H68" s="117"/>
      <c r="I68" s="117"/>
      <c r="J68" s="117"/>
      <c r="K68" s="121"/>
      <c r="L68" s="120"/>
      <c r="M68" s="120"/>
      <c r="N68" s="57"/>
      <c r="O68" s="122"/>
      <c r="P68" s="57"/>
      <c r="Q68" s="122"/>
      <c r="R68" s="57"/>
      <c r="S68" s="123"/>
      <c r="T68" s="131"/>
      <c r="U68" s="122"/>
      <c r="V68" s="122"/>
      <c r="W68" s="122"/>
      <c r="X68" s="122"/>
      <c r="Y68" s="122"/>
      <c r="Z68" s="122"/>
      <c r="AA68" s="122"/>
      <c r="AB68" s="122"/>
      <c r="AC68" s="120"/>
      <c r="AD68" s="120"/>
      <c r="AE68" s="122"/>
      <c r="AF68" s="122"/>
      <c r="AG68" s="120"/>
      <c r="AH68" s="120"/>
      <c r="AI68" s="120"/>
      <c r="AJ68" s="43"/>
      <c r="AK68" s="43"/>
      <c r="AL68" s="120"/>
      <c r="AM68" s="43"/>
      <c r="AN68" s="43"/>
      <c r="AO68" s="120"/>
      <c r="AP68" s="43"/>
      <c r="AQ68" s="43"/>
      <c r="AR68" s="120"/>
      <c r="AS68" s="43"/>
      <c r="AT68" s="43"/>
      <c r="AU68" s="120"/>
      <c r="AV68" s="43"/>
      <c r="AW68" s="43"/>
      <c r="AX68" s="120"/>
      <c r="AY68" s="120"/>
      <c r="AZ68" s="43"/>
      <c r="BA68" s="120"/>
      <c r="BB68" s="120"/>
      <c r="BC68" s="120"/>
      <c r="BD68" s="120"/>
      <c r="BE68" s="120"/>
      <c r="BF68" s="43"/>
      <c r="BG68" s="120"/>
      <c r="BH68" s="120"/>
      <c r="BI68" s="43"/>
      <c r="BJ68" s="120"/>
      <c r="BK68" s="43"/>
      <c r="BL68" s="120"/>
      <c r="BM68" s="120"/>
      <c r="BN68" s="43"/>
      <c r="BO68" s="120"/>
      <c r="BP68" s="120"/>
      <c r="BQ68" s="43"/>
      <c r="BR68" s="43"/>
      <c r="BS68" s="120"/>
      <c r="BT68" s="43"/>
      <c r="BU68" s="43"/>
      <c r="BV68" s="120"/>
      <c r="BW68" s="43"/>
      <c r="BX68" s="43"/>
      <c r="BY68" s="120"/>
      <c r="BZ68" s="43"/>
      <c r="CA68" s="43"/>
      <c r="CB68" s="120"/>
      <c r="CC68" s="43"/>
      <c r="CD68" s="43"/>
      <c r="CE68" s="120"/>
      <c r="CF68" s="43"/>
      <c r="CG68" s="43"/>
      <c r="CH68" s="120"/>
      <c r="CI68" s="43"/>
      <c r="CJ68" s="43"/>
      <c r="CK68" s="120"/>
    </row>
    <row r="69" ht="15.75" customHeight="1">
      <c r="A69" s="125" t="s">
        <v>153</v>
      </c>
      <c r="B69" s="125"/>
      <c r="C69" s="126"/>
      <c r="D69" s="126"/>
      <c r="E69" s="127">
        <f>SUM(E13:E66)</f>
        <v>261517</v>
      </c>
      <c r="F69" s="128">
        <f>SUM(F13:F68)</f>
        <v>1</v>
      </c>
      <c r="G69" s="126"/>
      <c r="H69" s="125"/>
      <c r="I69" s="125"/>
      <c r="J69" s="125"/>
      <c r="K69" s="127">
        <f>SUM(K13:K66)</f>
        <v>116441</v>
      </c>
      <c r="L69" s="128">
        <f>SUM(L13:L68)</f>
        <v>1</v>
      </c>
      <c r="M69" s="128"/>
      <c r="N69" s="130">
        <f>SUM(N13:N67)</f>
        <v>198229.7067</v>
      </c>
      <c r="O69" s="131"/>
      <c r="P69" s="132">
        <f>SUM(P13:P67)</f>
        <v>217127.6277</v>
      </c>
      <c r="Q69" s="131"/>
      <c r="R69" s="132">
        <f>SUM(R13:R67)</f>
        <v>221470.1802</v>
      </c>
      <c r="S69" s="133"/>
      <c r="T69" s="131"/>
      <c r="U69" s="132">
        <f>SUM(U13:U67)</f>
        <v>228114.2856</v>
      </c>
      <c r="V69" s="132"/>
      <c r="W69" s="132"/>
      <c r="X69" s="138"/>
      <c r="Y69" s="254" t="str">
        <f>SUM(Y13:Y67)</f>
        <v>#REF!</v>
      </c>
      <c r="Z69" s="138"/>
      <c r="AA69" s="138"/>
      <c r="AB69" s="138"/>
      <c r="AC69" s="254">
        <f>SUM(AC13:AC67)</f>
        <v>219376.2802</v>
      </c>
      <c r="AD69" s="254"/>
      <c r="AE69" s="138"/>
      <c r="AF69" s="138"/>
      <c r="AG69" s="254"/>
      <c r="AH69" s="254" t="str">
        <f>SUM(AH13:AH67)</f>
        <v>#REF!</v>
      </c>
      <c r="AI69" s="254"/>
      <c r="AJ69" s="255"/>
      <c r="AK69" s="254" t="str">
        <f>SUM(AK13:AK67)</f>
        <v>#REF!</v>
      </c>
      <c r="AL69" s="254"/>
      <c r="AM69" s="254"/>
      <c r="AN69" s="254" t="str">
        <f>SUM(AN13:AN67)</f>
        <v>#REF!</v>
      </c>
      <c r="AO69" s="254"/>
      <c r="AP69" s="254"/>
      <c r="AQ69" s="254" t="str">
        <f>SUM(AQ13:AQ67)</f>
        <v>#REF!</v>
      </c>
      <c r="AR69" s="254"/>
      <c r="AS69" s="254"/>
      <c r="AT69" s="254" t="str">
        <f>SUM(AT13:AT67)</f>
        <v>#REF!</v>
      </c>
      <c r="AU69" s="254"/>
      <c r="AV69" s="254"/>
      <c r="AW69" s="254" t="str">
        <f>SUM(AW13:AW67)</f>
        <v>#REF!</v>
      </c>
      <c r="AX69" s="254"/>
      <c r="AY69" s="254"/>
      <c r="AZ69" s="254">
        <v>221614.31000000003</v>
      </c>
      <c r="BA69" s="254"/>
      <c r="BB69" s="254"/>
      <c r="BC69" s="254">
        <v>221614.31000000003</v>
      </c>
      <c r="BD69" s="254"/>
      <c r="BE69" s="254"/>
      <c r="BF69" s="254">
        <v>221614.31000000003</v>
      </c>
      <c r="BG69" s="254"/>
      <c r="BH69" s="254"/>
      <c r="BI69" s="254">
        <v>221614.30999999997</v>
      </c>
      <c r="BJ69" s="254"/>
      <c r="BK69" s="254">
        <v>221614.31000000003</v>
      </c>
      <c r="BL69" s="254"/>
      <c r="BM69" s="254"/>
      <c r="BN69" s="254">
        <v>221614.30999999997</v>
      </c>
      <c r="BO69" s="254"/>
      <c r="BP69" s="254"/>
      <c r="BQ69" s="254"/>
      <c r="BR69" s="254" t="str">
        <f>SUM(BR13:BR67)</f>
        <v>#REF!</v>
      </c>
      <c r="BS69" s="254"/>
      <c r="BT69" s="43"/>
      <c r="BU69" s="254">
        <v>221614.31000000003</v>
      </c>
      <c r="BV69" s="254"/>
      <c r="BW69" s="43"/>
      <c r="BX69" s="254">
        <v>221614.31000000006</v>
      </c>
      <c r="BY69" s="254"/>
      <c r="BZ69" s="43"/>
      <c r="CA69" s="254">
        <v>221614.30999999997</v>
      </c>
      <c r="CB69" s="254"/>
      <c r="CC69" s="43"/>
      <c r="CD69" s="254">
        <v>221614.31</v>
      </c>
      <c r="CE69" s="254"/>
      <c r="CF69" s="43"/>
      <c r="CG69" s="254">
        <v>221614.31</v>
      </c>
      <c r="CH69" s="254"/>
      <c r="CI69" s="43"/>
      <c r="CJ69" s="254">
        <v>221614.30999999997</v>
      </c>
      <c r="CK69" s="254"/>
    </row>
    <row r="70" ht="15.75" customHeight="1">
      <c r="A70" s="69" t="s">
        <v>154</v>
      </c>
      <c r="B70" s="69">
        <f>COUNTIF(B13:B66,"*")</f>
        <v>54</v>
      </c>
      <c r="C70" s="71"/>
      <c r="D70" s="71"/>
      <c r="E70" s="43">
        <f>COUNTIF(E13:E67,"&gt;1")</f>
        <v>52</v>
      </c>
      <c r="F70" s="139"/>
      <c r="G70" s="71"/>
      <c r="H70" s="69"/>
      <c r="I70" s="69"/>
      <c r="J70" s="69"/>
      <c r="K70" s="61"/>
      <c r="L70" s="139"/>
      <c r="M70" s="139"/>
      <c r="N70" s="43">
        <f>COUNTIF(N13:N67,"&gt;1")</f>
        <v>50</v>
      </c>
      <c r="O70" s="43"/>
      <c r="P70" s="43">
        <f>COUNTIF(P13:P67,"&gt;1")</f>
        <v>54</v>
      </c>
      <c r="Q70" s="43"/>
      <c r="R70" s="43">
        <f>COUNTIF(R13:R67,"&gt;1")</f>
        <v>54</v>
      </c>
      <c r="S70" s="40"/>
      <c r="T70" s="241"/>
      <c r="U70" s="69">
        <f>COUNTIF(U13:U66,"&gt;0")</f>
        <v>54</v>
      </c>
      <c r="V70" s="69"/>
      <c r="W70" s="69"/>
      <c r="X70" s="43"/>
      <c r="Y70" s="256" t="str">
        <f>SUM(U73)*Y71</f>
        <v>#REF!</v>
      </c>
      <c r="Z70" s="43"/>
      <c r="AA70" s="43"/>
      <c r="AB70" s="43"/>
      <c r="AC70" s="256" t="str">
        <f>SUM(U73)*AC71</f>
        <v>#REF!</v>
      </c>
      <c r="AD70" s="256"/>
      <c r="AE70" s="43"/>
      <c r="AF70" s="43"/>
      <c r="AG70" s="256"/>
      <c r="AH70" s="256"/>
      <c r="AI70" s="256"/>
      <c r="AJ70" s="43"/>
      <c r="AK70" s="43"/>
      <c r="AL70" s="256"/>
      <c r="AM70" s="43"/>
      <c r="AN70" s="43"/>
      <c r="AO70" s="256"/>
      <c r="AP70" s="43"/>
      <c r="AQ70" s="43"/>
      <c r="AR70" s="256"/>
      <c r="AS70" s="43"/>
      <c r="AT70" s="43"/>
      <c r="AU70" s="256"/>
      <c r="AV70" s="43"/>
      <c r="AW70" s="43"/>
      <c r="AX70" s="256"/>
      <c r="AY70" s="256"/>
      <c r="AZ70" s="43"/>
      <c r="BA70" s="256"/>
      <c r="BB70" s="256"/>
      <c r="BC70" s="256"/>
      <c r="BD70" s="256"/>
      <c r="BE70" s="256"/>
      <c r="BF70" s="43"/>
      <c r="BG70" s="256"/>
      <c r="BH70" s="256"/>
      <c r="BI70" s="43"/>
      <c r="BJ70" s="256"/>
      <c r="BK70" s="43"/>
      <c r="BL70" s="256"/>
      <c r="BM70" s="256"/>
      <c r="BN70" s="43"/>
      <c r="BO70" s="256"/>
      <c r="BP70" s="256"/>
      <c r="BQ70" s="43"/>
      <c r="BR70" s="43"/>
      <c r="BS70" s="256"/>
      <c r="BT70" s="43"/>
      <c r="BU70" s="43"/>
      <c r="BV70" s="256"/>
      <c r="BW70" s="43"/>
      <c r="BX70" s="43"/>
      <c r="BY70" s="256"/>
      <c r="BZ70" s="43"/>
      <c r="CA70" s="43"/>
      <c r="CB70" s="256"/>
      <c r="CC70" s="43"/>
      <c r="CD70" s="43"/>
      <c r="CE70" s="256"/>
      <c r="CF70" s="43"/>
      <c r="CG70" s="43"/>
      <c r="CH70" s="256"/>
      <c r="CI70" s="43"/>
      <c r="CJ70" s="43"/>
      <c r="CK70" s="256"/>
    </row>
    <row r="71" ht="15.75" customHeight="1">
      <c r="A71" s="83" t="s">
        <v>155</v>
      </c>
      <c r="B71" s="69"/>
      <c r="C71" s="71"/>
      <c r="D71" s="71"/>
      <c r="E71" s="142"/>
      <c r="F71" s="139"/>
      <c r="G71" s="71"/>
      <c r="H71" s="69"/>
      <c r="I71" s="69"/>
      <c r="J71" s="69"/>
      <c r="K71" s="61"/>
      <c r="L71" s="139"/>
      <c r="M71" s="139"/>
      <c r="N71" s="144"/>
      <c r="O71" s="43"/>
      <c r="P71" s="43"/>
      <c r="Q71" s="43"/>
      <c r="R71" s="43"/>
      <c r="S71" s="40"/>
      <c r="T71" s="241"/>
      <c r="U71" s="43"/>
      <c r="V71" s="43"/>
      <c r="W71" s="43"/>
      <c r="X71" s="43"/>
      <c r="Y71" s="257">
        <v>1.0</v>
      </c>
      <c r="Z71" s="258"/>
      <c r="AA71" s="43"/>
      <c r="AB71" s="258"/>
      <c r="AC71" s="257">
        <v>1.0</v>
      </c>
      <c r="AD71" s="244"/>
      <c r="AE71" s="43"/>
      <c r="AF71" s="43"/>
      <c r="AG71" s="244"/>
      <c r="AH71" s="244"/>
      <c r="AI71" s="244"/>
      <c r="AJ71" s="43"/>
      <c r="AK71" s="43"/>
      <c r="AL71" s="244"/>
      <c r="AM71" s="43"/>
      <c r="AN71" s="43"/>
      <c r="AO71" s="244"/>
      <c r="AP71" s="43"/>
      <c r="AQ71" s="43"/>
      <c r="AR71" s="244"/>
      <c r="AS71" s="43"/>
      <c r="AT71" s="43"/>
      <c r="AU71" s="244"/>
      <c r="AV71" s="43"/>
      <c r="AW71" s="43"/>
      <c r="AX71" s="244"/>
      <c r="AY71" s="244"/>
      <c r="AZ71" s="43"/>
      <c r="BA71" s="244"/>
      <c r="BB71" s="244"/>
      <c r="BC71" s="244"/>
      <c r="BD71" s="244"/>
      <c r="BE71" s="244"/>
      <c r="BF71" s="43"/>
      <c r="BG71" s="244"/>
      <c r="BH71" s="244"/>
      <c r="BI71" s="43"/>
      <c r="BJ71" s="244"/>
      <c r="BK71" s="43"/>
      <c r="BL71" s="244"/>
      <c r="BM71" s="244"/>
      <c r="BN71" s="43"/>
      <c r="BO71" s="244"/>
      <c r="BP71" s="244"/>
      <c r="BQ71" s="43"/>
      <c r="BR71" s="43"/>
      <c r="BS71" s="244"/>
      <c r="BT71" s="43"/>
      <c r="BU71" s="43"/>
      <c r="BV71" s="244"/>
      <c r="BW71" s="43"/>
      <c r="BX71" s="43"/>
      <c r="BY71" s="244"/>
      <c r="BZ71" s="43"/>
      <c r="CA71" s="43"/>
      <c r="CB71" s="244"/>
      <c r="CC71" s="43"/>
      <c r="CD71" s="43"/>
      <c r="CE71" s="244"/>
      <c r="CF71" s="43"/>
      <c r="CG71" s="43"/>
      <c r="CH71" s="244"/>
      <c r="CI71" s="43"/>
      <c r="CJ71" s="43"/>
      <c r="CK71" s="244"/>
    </row>
    <row r="72" ht="15.75" customHeight="1">
      <c r="A72" s="69"/>
      <c r="B72" s="69"/>
      <c r="C72" s="71"/>
      <c r="D72" s="71"/>
      <c r="E72" s="142"/>
      <c r="F72" s="139"/>
      <c r="G72" s="71"/>
      <c r="H72" s="69"/>
      <c r="I72" s="69"/>
      <c r="J72" s="69"/>
      <c r="K72" s="61"/>
      <c r="L72" s="139"/>
      <c r="M72" s="139"/>
      <c r="N72" s="144"/>
      <c r="O72" s="43"/>
      <c r="P72" s="43"/>
      <c r="Q72" s="43"/>
      <c r="R72" s="43"/>
      <c r="S72" s="40"/>
      <c r="T72" s="241"/>
      <c r="U72" s="43"/>
      <c r="V72" s="43"/>
      <c r="W72" s="43"/>
      <c r="X72" s="43"/>
      <c r="Y72" s="43"/>
      <c r="Z72" s="43"/>
      <c r="AA72" s="43"/>
      <c r="AB72" s="43"/>
      <c r="AC72" s="244"/>
      <c r="AD72" s="244"/>
      <c r="AE72" s="43"/>
      <c r="AF72" s="43"/>
      <c r="AG72" s="244"/>
      <c r="AH72" s="244"/>
      <c r="AI72" s="244"/>
      <c r="AJ72" s="43"/>
      <c r="AK72" s="43"/>
      <c r="AL72" s="244"/>
      <c r="AM72" s="43"/>
      <c r="AN72" s="43"/>
      <c r="AO72" s="244"/>
      <c r="AP72" s="43"/>
      <c r="AQ72" s="43"/>
      <c r="AR72" s="244"/>
      <c r="AS72" s="43"/>
      <c r="AT72" s="43"/>
      <c r="AU72" s="244"/>
      <c r="AV72" s="43"/>
      <c r="AW72" s="43"/>
      <c r="AX72" s="244"/>
      <c r="AY72" s="244"/>
      <c r="AZ72" s="43"/>
      <c r="BA72" s="244"/>
      <c r="BB72" s="244"/>
      <c r="BC72" s="244"/>
      <c r="BD72" s="244"/>
      <c r="BE72" s="244"/>
      <c r="BF72" s="43"/>
      <c r="BG72" s="244"/>
      <c r="BH72" s="244"/>
      <c r="BI72" s="43"/>
      <c r="BJ72" s="244"/>
      <c r="BK72" s="43"/>
      <c r="BL72" s="244"/>
      <c r="BM72" s="244"/>
      <c r="BN72" s="43"/>
      <c r="BO72" s="244"/>
      <c r="BP72" s="244"/>
      <c r="BQ72" s="43"/>
      <c r="BR72" s="43"/>
      <c r="BS72" s="244"/>
      <c r="BT72" s="43"/>
      <c r="BU72" s="43"/>
      <c r="BV72" s="244"/>
      <c r="BW72" s="43"/>
      <c r="BX72" s="43"/>
      <c r="BY72" s="244"/>
      <c r="BZ72" s="43"/>
      <c r="CA72" s="43"/>
      <c r="CB72" s="244"/>
      <c r="CC72" s="43"/>
      <c r="CD72" s="43"/>
      <c r="CE72" s="244"/>
      <c r="CF72" s="43"/>
      <c r="CG72" s="43"/>
      <c r="CH72" s="244"/>
      <c r="CI72" s="43"/>
      <c r="CJ72" s="43"/>
      <c r="CK72" s="244"/>
    </row>
    <row r="73" ht="15.75" customHeight="1">
      <c r="A73" s="69" t="s">
        <v>156</v>
      </c>
      <c r="B73" s="69"/>
      <c r="C73" s="71"/>
      <c r="D73" s="71"/>
      <c r="E73" s="142"/>
      <c r="F73" s="139"/>
      <c r="G73" s="71"/>
      <c r="H73" s="69"/>
      <c r="I73" s="69"/>
      <c r="J73" s="69"/>
      <c r="K73" s="61"/>
      <c r="L73" s="139"/>
      <c r="M73" s="139"/>
      <c r="N73" s="145">
        <v>218234.62</v>
      </c>
      <c r="O73" s="43"/>
      <c r="P73" s="88">
        <v>213467.59999999998</v>
      </c>
      <c r="Q73" s="43"/>
      <c r="R73" s="88">
        <v>213467.59999999998</v>
      </c>
      <c r="S73" s="40"/>
      <c r="T73" s="241"/>
      <c r="U73" s="88" t="str">
        <f>#REF!</f>
        <v>#REF!</v>
      </c>
      <c r="V73" s="88"/>
      <c r="W73" s="88"/>
      <c r="X73" s="43"/>
      <c r="Y73" s="43"/>
      <c r="Z73" s="43"/>
      <c r="AA73" s="43"/>
      <c r="AB73" s="43"/>
      <c r="AC73" s="139"/>
      <c r="AD73" s="139"/>
      <c r="AE73" s="43"/>
      <c r="AF73" s="43"/>
      <c r="AG73" s="139"/>
      <c r="AH73" s="139"/>
      <c r="AI73" s="139"/>
      <c r="AJ73" s="43"/>
      <c r="AK73" s="43"/>
      <c r="AL73" s="139"/>
      <c r="AM73" s="43"/>
      <c r="AN73" s="43"/>
      <c r="AO73" s="139"/>
      <c r="AP73" s="43"/>
      <c r="AQ73" s="43"/>
      <c r="AR73" s="139"/>
      <c r="AS73" s="43"/>
      <c r="AT73" s="43"/>
      <c r="AU73" s="139"/>
      <c r="AV73" s="43"/>
      <c r="AW73" s="43"/>
      <c r="AX73" s="139"/>
      <c r="AY73" s="139"/>
      <c r="AZ73" s="43"/>
      <c r="BA73" s="139"/>
      <c r="BB73" s="139"/>
      <c r="BC73" s="139"/>
      <c r="BD73" s="139"/>
      <c r="BE73" s="139"/>
      <c r="BF73" s="43"/>
      <c r="BG73" s="139"/>
      <c r="BH73" s="139"/>
      <c r="BI73" s="43"/>
      <c r="BJ73" s="139"/>
      <c r="BK73" s="43"/>
      <c r="BL73" s="139"/>
      <c r="BM73" s="139"/>
      <c r="BN73" s="43"/>
      <c r="BO73" s="139"/>
      <c r="BP73" s="139"/>
      <c r="BQ73" s="43"/>
      <c r="BR73" s="43"/>
      <c r="BS73" s="139"/>
      <c r="BT73" s="43"/>
      <c r="BU73" s="43"/>
      <c r="BV73" s="139"/>
      <c r="BW73" s="43"/>
      <c r="BX73" s="43"/>
      <c r="BY73" s="139"/>
      <c r="BZ73" s="43"/>
      <c r="CA73" s="43"/>
      <c r="CB73" s="139"/>
      <c r="CC73" s="43"/>
      <c r="CD73" s="43"/>
      <c r="CE73" s="139"/>
      <c r="CF73" s="43"/>
      <c r="CG73" s="43"/>
      <c r="CH73" s="139"/>
      <c r="CI73" s="43"/>
      <c r="CJ73" s="43"/>
      <c r="CK73" s="139"/>
    </row>
    <row r="74" ht="15.75" customHeight="1">
      <c r="A74" s="55" t="s">
        <v>157</v>
      </c>
      <c r="B74" s="55"/>
      <c r="C74" s="71"/>
      <c r="D74" s="71"/>
      <c r="E74" s="142"/>
      <c r="F74" s="39"/>
      <c r="G74" s="71"/>
      <c r="H74" s="55"/>
      <c r="I74" s="55"/>
      <c r="J74" s="55"/>
      <c r="K74" s="39"/>
      <c r="L74" s="39"/>
      <c r="M74" s="39"/>
      <c r="N74" s="39"/>
      <c r="O74" s="39"/>
      <c r="P74" s="39">
        <f>SUM(P69-L69)/L69</f>
        <v>217126.6277</v>
      </c>
      <c r="Q74" s="39"/>
      <c r="R74" s="39">
        <f>SUM(R69-N69)/N69</f>
        <v>0.1172401144</v>
      </c>
      <c r="S74" s="40"/>
      <c r="T74" s="259"/>
      <c r="U74" s="39">
        <v>0.03</v>
      </c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43"/>
      <c r="AK74" s="43"/>
      <c r="AL74" s="39"/>
      <c r="AM74" s="43"/>
      <c r="AN74" s="43"/>
      <c r="AO74" s="39"/>
      <c r="AP74" s="43"/>
      <c r="AQ74" s="43"/>
      <c r="AR74" s="39"/>
      <c r="AS74" s="43"/>
      <c r="AT74" s="43"/>
      <c r="AU74" s="39"/>
      <c r="AV74" s="43"/>
      <c r="AW74" s="43"/>
      <c r="AX74" s="39"/>
      <c r="AY74" s="39"/>
      <c r="AZ74" s="43"/>
      <c r="BA74" s="39"/>
      <c r="BB74" s="39"/>
      <c r="BC74" s="39"/>
      <c r="BD74" s="39"/>
      <c r="BE74" s="39"/>
      <c r="BF74" s="43"/>
      <c r="BG74" s="39"/>
      <c r="BH74" s="39"/>
      <c r="BI74" s="43"/>
      <c r="BJ74" s="39"/>
      <c r="BK74" s="43"/>
      <c r="BL74" s="39"/>
      <c r="BM74" s="39"/>
      <c r="BN74" s="43"/>
      <c r="BO74" s="39"/>
      <c r="BP74" s="39"/>
      <c r="BQ74" s="43"/>
      <c r="BR74" s="43"/>
      <c r="BS74" s="39"/>
      <c r="BT74" s="43"/>
      <c r="BU74" s="43"/>
      <c r="BV74" s="39"/>
      <c r="BW74" s="43"/>
      <c r="BX74" s="43"/>
      <c r="BY74" s="39"/>
      <c r="BZ74" s="43"/>
      <c r="CA74" s="43"/>
      <c r="CB74" s="39"/>
      <c r="CC74" s="43"/>
      <c r="CD74" s="43"/>
      <c r="CE74" s="39"/>
      <c r="CF74" s="43"/>
      <c r="CG74" s="43"/>
      <c r="CH74" s="39"/>
      <c r="CI74" s="43"/>
      <c r="CJ74" s="43"/>
      <c r="CK74" s="39"/>
    </row>
    <row r="75" ht="15.75" customHeight="1">
      <c r="A75" s="43"/>
      <c r="B75" s="43"/>
      <c r="C75" s="15"/>
      <c r="D75" s="15"/>
      <c r="E75" s="146"/>
      <c r="F75" s="139"/>
      <c r="G75" s="15"/>
      <c r="H75" s="43"/>
      <c r="I75" s="43"/>
      <c r="J75" s="43"/>
      <c r="K75" s="61"/>
      <c r="L75" s="139"/>
      <c r="M75" s="139"/>
      <c r="N75" s="88">
        <f>SUM(N69-N73)</f>
        <v>-20004.91326</v>
      </c>
      <c r="O75" s="43"/>
      <c r="P75" s="88">
        <f>SUM(P69-P73)</f>
        <v>3660.027676</v>
      </c>
      <c r="Q75" s="43"/>
      <c r="R75" s="88">
        <f>SUM(R69-R73)</f>
        <v>8002.580229</v>
      </c>
      <c r="S75" s="40"/>
      <c r="T75" s="241"/>
      <c r="U75" s="88" t="str">
        <f>SUM(U69-U73)</f>
        <v>#REF!</v>
      </c>
      <c r="V75" s="88"/>
      <c r="W75" s="88"/>
      <c r="X75" s="43"/>
      <c r="Y75" s="43"/>
      <c r="Z75" s="43"/>
      <c r="AA75" s="43"/>
      <c r="AB75" s="43"/>
      <c r="AC75" s="139"/>
      <c r="AD75" s="139"/>
      <c r="AE75" s="43"/>
      <c r="AF75" s="43"/>
      <c r="AG75" s="139"/>
      <c r="AH75" s="139"/>
      <c r="AI75" s="139"/>
      <c r="AJ75" s="43"/>
      <c r="AK75" s="43"/>
      <c r="AL75" s="139"/>
      <c r="AM75" s="43"/>
      <c r="AN75" s="43"/>
      <c r="AO75" s="139"/>
      <c r="AP75" s="43"/>
      <c r="AQ75" s="43"/>
      <c r="AR75" s="139"/>
      <c r="AS75" s="43"/>
      <c r="AT75" s="43"/>
      <c r="AU75" s="139"/>
      <c r="AV75" s="43"/>
      <c r="AW75" s="43"/>
      <c r="AX75" s="139"/>
      <c r="AY75" s="139"/>
      <c r="AZ75" s="43"/>
      <c r="BA75" s="139"/>
      <c r="BB75" s="139"/>
      <c r="BC75" s="139"/>
      <c r="BD75" s="139"/>
      <c r="BE75" s="139"/>
      <c r="BF75" s="43"/>
      <c r="BG75" s="139"/>
      <c r="BH75" s="139"/>
      <c r="BI75" s="43"/>
      <c r="BJ75" s="139"/>
      <c r="BK75" s="43"/>
      <c r="BL75" s="139"/>
      <c r="BM75" s="139"/>
      <c r="BN75" s="43"/>
      <c r="BO75" s="139"/>
      <c r="BP75" s="139"/>
      <c r="BQ75" s="43"/>
      <c r="BR75" s="43"/>
      <c r="BS75" s="139"/>
      <c r="BT75" s="43"/>
      <c r="BU75" s="43"/>
      <c r="BV75" s="139"/>
      <c r="BW75" s="43"/>
      <c r="BX75" s="43"/>
      <c r="BY75" s="139"/>
      <c r="BZ75" s="43"/>
      <c r="CA75" s="43"/>
      <c r="CB75" s="139"/>
      <c r="CC75" s="43"/>
      <c r="CD75" s="43"/>
      <c r="CE75" s="139"/>
      <c r="CF75" s="43"/>
      <c r="CG75" s="43"/>
      <c r="CH75" s="139"/>
      <c r="CI75" s="43"/>
      <c r="CJ75" s="43"/>
      <c r="CK75" s="139"/>
    </row>
    <row r="76" ht="15.75" customHeight="1">
      <c r="A76" s="148" t="s">
        <v>161</v>
      </c>
      <c r="B76" s="43"/>
      <c r="C76" s="15"/>
      <c r="D76" s="15"/>
      <c r="E76" s="146"/>
      <c r="F76" s="139"/>
      <c r="G76" s="15"/>
      <c r="H76" s="43"/>
      <c r="I76" s="43"/>
      <c r="J76" s="43"/>
      <c r="K76" s="61"/>
      <c r="L76" s="139"/>
      <c r="M76" s="139"/>
      <c r="N76" s="53"/>
      <c r="O76" s="43"/>
      <c r="P76" s="43"/>
      <c r="Q76" s="43"/>
      <c r="R76" s="43"/>
      <c r="S76" s="40"/>
      <c r="T76" s="260"/>
      <c r="U76" s="40"/>
      <c r="V76" s="40"/>
      <c r="W76" s="40"/>
      <c r="X76" s="40"/>
      <c r="Y76" s="40"/>
      <c r="Z76" s="40"/>
      <c r="AA76" s="40"/>
      <c r="AB76" s="40"/>
      <c r="AC76" s="139"/>
      <c r="AD76" s="139"/>
      <c r="AE76" s="40"/>
      <c r="AF76" s="40"/>
      <c r="AG76" s="139"/>
      <c r="AH76" s="139"/>
      <c r="AI76" s="139"/>
      <c r="AJ76" s="43"/>
      <c r="AK76" s="43"/>
      <c r="AL76" s="139"/>
      <c r="AM76" s="43"/>
      <c r="AN76" s="43"/>
      <c r="AO76" s="139"/>
      <c r="AP76" s="43"/>
      <c r="AQ76" s="43"/>
      <c r="AR76" s="139"/>
      <c r="AS76" s="43"/>
      <c r="AT76" s="43"/>
      <c r="AU76" s="139"/>
      <c r="AV76" s="43"/>
      <c r="AW76" s="43"/>
      <c r="AX76" s="116">
        <f>COUNTIF(AX13:AX66,"&gt;0")</f>
        <v>0</v>
      </c>
      <c r="AY76" s="139"/>
      <c r="AZ76" s="43"/>
      <c r="BA76" s="116">
        <f>COUNTIF(BA13:BA66,"&gt;0")</f>
        <v>32</v>
      </c>
      <c r="BB76" s="139"/>
      <c r="BC76" s="139"/>
      <c r="BD76" s="116">
        <f>COUNTIF(BD13:BD66,"&gt;0")</f>
        <v>27</v>
      </c>
      <c r="BE76" s="139"/>
      <c r="BF76" s="43"/>
      <c r="BG76" s="116">
        <f>COUNTIF(BG13:BG66,"&gt;0")</f>
        <v>36</v>
      </c>
      <c r="BH76" s="139"/>
      <c r="BI76" s="43"/>
      <c r="BJ76" s="116">
        <f>COUNTIF(BJ13:BJ66,"&gt;0")</f>
        <v>35</v>
      </c>
      <c r="BK76" s="43"/>
      <c r="BL76" s="116">
        <f>COUNTIF(BL13:BL66,"&gt;0")</f>
        <v>41</v>
      </c>
      <c r="BM76" s="139"/>
      <c r="BN76" s="43"/>
      <c r="BO76" s="116">
        <f>COUNTIF(BO13:BO66,"&gt;0")</f>
        <v>40</v>
      </c>
      <c r="BP76" s="139"/>
      <c r="BQ76" s="43"/>
      <c r="BR76" s="43"/>
      <c r="BS76" s="116">
        <f>COUNTIF(BS13:BS66,"&gt;0")</f>
        <v>0</v>
      </c>
      <c r="BT76" s="43"/>
      <c r="BU76" s="43"/>
      <c r="BV76" s="116">
        <f>COUNTIF(BV13:BV66,"&gt;0")</f>
        <v>31</v>
      </c>
      <c r="BW76" s="43"/>
      <c r="BX76" s="43"/>
      <c r="BY76" s="116">
        <f>COUNTIF(BY13:BY66,"&gt;0")</f>
        <v>25</v>
      </c>
      <c r="BZ76" s="43"/>
      <c r="CA76" s="43"/>
      <c r="CB76" s="116">
        <f>COUNTIF(CB13:CB66,"&gt;0")</f>
        <v>39</v>
      </c>
      <c r="CC76" s="43"/>
      <c r="CD76" s="43"/>
      <c r="CE76" s="116">
        <f>COUNTIF(CE13:CE66,"&gt;0")</f>
        <v>37</v>
      </c>
      <c r="CF76" s="43"/>
      <c r="CG76" s="43"/>
      <c r="CH76" s="116">
        <f>COUNTIF(CH13:CH66,"&gt;0")</f>
        <v>38</v>
      </c>
      <c r="CI76" s="43"/>
      <c r="CJ76" s="43"/>
      <c r="CK76" s="116">
        <f>COUNTIF(CK13:CK66,"&gt;0")</f>
        <v>39</v>
      </c>
    </row>
    <row r="77" ht="15.75" customHeight="1">
      <c r="A77" s="148" t="s">
        <v>162</v>
      </c>
      <c r="B77" s="43"/>
      <c r="C77" s="15"/>
      <c r="D77" s="15"/>
      <c r="E77" s="146"/>
      <c r="F77" s="139"/>
      <c r="G77" s="15"/>
      <c r="H77" s="43"/>
      <c r="I77" s="43"/>
      <c r="J77" s="43"/>
      <c r="K77" s="61"/>
      <c r="L77" s="139"/>
      <c r="M77" s="139"/>
      <c r="N77" s="53"/>
      <c r="O77" s="43"/>
      <c r="P77" s="43"/>
      <c r="Q77" s="43"/>
      <c r="R77" s="43"/>
      <c r="S77" s="40"/>
      <c r="T77" s="260"/>
      <c r="U77" s="40"/>
      <c r="V77" s="40"/>
      <c r="W77" s="40"/>
      <c r="X77" s="40"/>
      <c r="Y77" s="40"/>
      <c r="Z77" s="40"/>
      <c r="AA77" s="40"/>
      <c r="AB77" s="40"/>
      <c r="AC77" s="139"/>
      <c r="AD77" s="139"/>
      <c r="AE77" s="40"/>
      <c r="AF77" s="40"/>
      <c r="AG77" s="139"/>
      <c r="AH77" s="139"/>
      <c r="AI77" s="139"/>
      <c r="AJ77" s="43"/>
      <c r="AK77" s="43"/>
      <c r="AL77" s="139"/>
      <c r="AM77" s="43"/>
      <c r="AN77" s="43"/>
      <c r="AO77" s="139"/>
      <c r="AP77" s="43"/>
      <c r="AQ77" s="43"/>
      <c r="AR77" s="139"/>
      <c r="AS77" s="43"/>
      <c r="AT77" s="43"/>
      <c r="AU77" s="139"/>
      <c r="AV77" s="43"/>
      <c r="AW77" s="43"/>
      <c r="AX77" s="116">
        <f>COUNTIF(AX11:AX66,"&lt;0")</f>
        <v>0</v>
      </c>
      <c r="AY77" s="139"/>
      <c r="AZ77" s="43"/>
      <c r="BA77" s="116">
        <f>COUNTIF(BA11:BA66,"&lt;0")</f>
        <v>22</v>
      </c>
      <c r="BB77" s="139"/>
      <c r="BC77" s="139"/>
      <c r="BD77" s="116">
        <f>COUNTIF(BD11:BD66,"&lt;0")</f>
        <v>27</v>
      </c>
      <c r="BE77" s="139"/>
      <c r="BF77" s="43"/>
      <c r="BG77" s="116">
        <f>COUNTIF(BG11:BG66,"&lt;0")</f>
        <v>18</v>
      </c>
      <c r="BH77" s="139"/>
      <c r="BI77" s="43"/>
      <c r="BJ77" s="116">
        <f>COUNTIF(BJ11:BJ66,"&lt;0")</f>
        <v>19</v>
      </c>
      <c r="BK77" s="43"/>
      <c r="BL77" s="116">
        <f>COUNTIF(BL11:BL66,"&lt;0")</f>
        <v>13</v>
      </c>
      <c r="BM77" s="139"/>
      <c r="BN77" s="43"/>
      <c r="BO77" s="116">
        <f>COUNTIF(BO11:BO66,"&lt;0")</f>
        <v>14</v>
      </c>
      <c r="BP77" s="139"/>
      <c r="BQ77" s="43"/>
      <c r="BR77" s="43"/>
      <c r="BS77" s="116">
        <f>COUNTIF(BS11:BS66,"&lt;0")</f>
        <v>0</v>
      </c>
      <c r="BT77" s="43"/>
      <c r="BU77" s="43"/>
      <c r="BV77" s="116">
        <f>COUNTIF(BV11:BV66,"&lt;0")</f>
        <v>23</v>
      </c>
      <c r="BW77" s="43"/>
      <c r="BX77" s="43"/>
      <c r="BY77" s="116">
        <f>COUNTIF(BY11:BY66,"&lt;0")</f>
        <v>29</v>
      </c>
      <c r="BZ77" s="43"/>
      <c r="CA77" s="43"/>
      <c r="CB77" s="116">
        <f>COUNTIF(CB11:CB66,"&lt;0")</f>
        <v>15</v>
      </c>
      <c r="CC77" s="43"/>
      <c r="CD77" s="43"/>
      <c r="CE77" s="116">
        <f>COUNTIF(CE11:CE66,"&lt;0")</f>
        <v>17</v>
      </c>
      <c r="CF77" s="43"/>
      <c r="CG77" s="43"/>
      <c r="CH77" s="116">
        <f>COUNTIF(CH11:CH66,"&lt;0")</f>
        <v>16</v>
      </c>
      <c r="CI77" s="43"/>
      <c r="CJ77" s="43"/>
      <c r="CK77" s="116">
        <f>COUNTIF(CK11:CK66,"&lt;0")</f>
        <v>15</v>
      </c>
    </row>
    <row r="78" ht="15.75" customHeight="1">
      <c r="A78" s="148" t="s">
        <v>158</v>
      </c>
      <c r="B78" s="43"/>
      <c r="C78" s="15"/>
      <c r="D78" s="15"/>
      <c r="E78" s="146"/>
      <c r="F78" s="139"/>
      <c r="G78" s="15"/>
      <c r="H78" s="43"/>
      <c r="I78" s="43"/>
      <c r="J78" s="43"/>
      <c r="K78" s="61"/>
      <c r="L78" s="139"/>
      <c r="M78" s="139"/>
      <c r="N78" s="53"/>
      <c r="O78" s="43"/>
      <c r="P78" s="43"/>
      <c r="Q78" s="43"/>
      <c r="R78" s="43"/>
      <c r="S78" s="40"/>
      <c r="T78" s="260"/>
      <c r="U78" s="40"/>
      <c r="V78" s="40"/>
      <c r="W78" s="40"/>
      <c r="X78" s="40"/>
      <c r="Y78" s="40"/>
      <c r="Z78" s="40"/>
      <c r="AA78" s="40"/>
      <c r="AB78" s="40"/>
      <c r="AC78" s="139"/>
      <c r="AD78" s="139"/>
      <c r="AE78" s="40"/>
      <c r="AF78" s="40"/>
      <c r="AG78" s="139"/>
      <c r="AH78" s="139"/>
      <c r="AI78" s="139"/>
      <c r="AJ78" s="43"/>
      <c r="AK78" s="43"/>
      <c r="AL78" s="139"/>
      <c r="AM78" s="43"/>
      <c r="AN78" s="43"/>
      <c r="AO78" s="139"/>
      <c r="AP78" s="43"/>
      <c r="AQ78" s="43"/>
      <c r="AR78" s="139"/>
      <c r="AS78" s="43"/>
      <c r="AT78" s="43"/>
      <c r="AU78" s="139"/>
      <c r="AV78" s="43"/>
      <c r="AW78" s="43"/>
      <c r="AX78" s="116" t="str">
        <f>MEDIAN(AX13:AX66)</f>
        <v>#REF!</v>
      </c>
      <c r="AY78" s="139"/>
      <c r="AZ78" s="43"/>
      <c r="BA78" s="116">
        <f>MEDIAN(BA13:BA66)</f>
        <v>78.55431114</v>
      </c>
      <c r="BB78" s="139"/>
      <c r="BC78" s="139"/>
      <c r="BD78" s="116">
        <f>MEDIAN(BD13:BD66)</f>
        <v>-9.739882721</v>
      </c>
      <c r="BE78" s="139"/>
      <c r="BF78" s="43"/>
      <c r="BG78" s="116">
        <f>MEDIAN(BG13:BG66)</f>
        <v>248.4354315</v>
      </c>
      <c r="BH78" s="139"/>
      <c r="BI78" s="43"/>
      <c r="BJ78" s="116">
        <f>MEDIAN(BJ13:BJ66)</f>
        <v>155.2658189</v>
      </c>
      <c r="BK78" s="43"/>
      <c r="BL78" s="116">
        <f>MEDIAN(BL13:BL66)</f>
        <v>721.8531725</v>
      </c>
      <c r="BM78" s="139"/>
      <c r="BN78" s="43"/>
      <c r="BO78" s="116">
        <f>MEDIAN(BO13:BO66)</f>
        <v>780.0570095</v>
      </c>
      <c r="BP78" s="139"/>
      <c r="BQ78" s="43"/>
      <c r="BR78" s="43"/>
      <c r="BS78" s="116" t="str">
        <f>MEDIAN(BS13:BS66)</f>
        <v>#REF!</v>
      </c>
      <c r="BT78" s="43"/>
      <c r="BU78" s="43"/>
      <c r="BV78" s="116">
        <f>MEDIAN(BV13:BV66)</f>
        <v>60.60311198</v>
      </c>
      <c r="BW78" s="43"/>
      <c r="BX78" s="43"/>
      <c r="BY78" s="116">
        <f>MEDIAN(BY13:BY66)</f>
        <v>-96.10238554</v>
      </c>
      <c r="BZ78" s="43"/>
      <c r="CA78" s="43"/>
      <c r="CB78" s="116">
        <f>MEDIAN(CB13:CB66)</f>
        <v>217.9544303</v>
      </c>
      <c r="CC78" s="43"/>
      <c r="CD78" s="43"/>
      <c r="CE78" s="116">
        <f>MEDIAN(CE13:CE66)</f>
        <v>224.4592404</v>
      </c>
      <c r="CF78" s="43"/>
      <c r="CG78" s="43"/>
      <c r="CH78" s="116">
        <f>MEDIAN(CH13:CH66)</f>
        <v>665.3477233</v>
      </c>
      <c r="CI78" s="43"/>
      <c r="CJ78" s="43"/>
      <c r="CK78" s="116">
        <f>MEDIAN(CK13:CK66)</f>
        <v>657.2416188</v>
      </c>
    </row>
    <row r="79" ht="15.75" customHeight="1">
      <c r="A79" s="149" t="s">
        <v>163</v>
      </c>
      <c r="B79" s="150" t="s">
        <v>164</v>
      </c>
      <c r="C79" s="151"/>
      <c r="D79" s="151"/>
      <c r="E79" s="61">
        <f>SUM(E13,E15,E21,E30,E44,E51,E52,E55,E61,E66,E60)</f>
        <v>54326</v>
      </c>
      <c r="F79" s="139"/>
      <c r="G79" s="151"/>
      <c r="H79" s="149"/>
      <c r="I79" s="149"/>
      <c r="J79" s="149"/>
      <c r="K79" s="61">
        <f>SUM(K13,K15,K21,K30,K44,K51,K52,K55,K61,K66,K60)</f>
        <v>16112.33333</v>
      </c>
      <c r="L79" s="139"/>
      <c r="M79" s="139"/>
      <c r="N79" s="61">
        <f>SUM(N13,N15,N21,N30,N44,N51,N52,N55,N61,N66,N60)</f>
        <v>43276.94973</v>
      </c>
      <c r="O79" s="43"/>
      <c r="P79" s="61">
        <f>SUM(P13,P15,P21,P30,P44,P51,P52,P55,P61,P66,P60)</f>
        <v>46089.95146</v>
      </c>
      <c r="Q79" s="43"/>
      <c r="R79" s="61">
        <f>SUM(R13,R15,R21,R30,R44,R51,R52,R55,R61,R66,R60)</f>
        <v>47011.75049</v>
      </c>
      <c r="S79" s="40"/>
      <c r="T79" s="260"/>
      <c r="U79" s="61">
        <f>SUM(U13,U15,U21,U30,U44,U51,U52,U55,U61,U66,U60)</f>
        <v>48422.10301</v>
      </c>
      <c r="V79" s="61"/>
      <c r="W79" s="61"/>
      <c r="X79" s="40"/>
      <c r="Y79" s="40"/>
      <c r="Z79" s="40"/>
      <c r="AA79" s="40"/>
      <c r="AB79" s="40"/>
      <c r="AC79" s="61">
        <f>SUM(AC13,AC15,AC21,AC30,AC44,AC51,AC52,AC55,AC61,AC66,AC60)</f>
        <v>30355.83473</v>
      </c>
      <c r="AD79" s="61"/>
      <c r="AE79" s="40"/>
      <c r="AF79" s="40"/>
      <c r="AG79" s="61"/>
      <c r="AH79" s="61" t="str">
        <f>SUM(AH13,AH15,AH21,AH30,AH44,AH51,AH52,AH55,AH61,AH66,AH60)</f>
        <v>#REF!</v>
      </c>
      <c r="AI79" s="61"/>
      <c r="AJ79" s="43"/>
      <c r="AK79" s="61" t="str">
        <f>SUM(AK13,AK15,AK21,AK30,AK44,AK51,AK52,AK55,AK61,AK66,AK60)</f>
        <v>#REF!</v>
      </c>
      <c r="AL79" s="61"/>
      <c r="AM79" s="43"/>
      <c r="AN79" s="61" t="str">
        <f>SUM(AN13,AN15,AN21,AN30,AN44,AN51,AN52,AN55,AN61,AN66,AN60)</f>
        <v>#REF!</v>
      </c>
      <c r="AO79" s="61"/>
      <c r="AP79" s="43"/>
      <c r="AQ79" s="61" t="str">
        <f>SUM(AQ13,AQ15,AQ21,AQ30,AQ44,AQ51,AQ52,AQ55,AQ61,AQ66,AQ60)</f>
        <v>#REF!</v>
      </c>
      <c r="AR79" s="61"/>
      <c r="AS79" s="43"/>
      <c r="AT79" s="61" t="str">
        <f>SUM(AT13,AT15,AT21,AT30,AT44,AT51,AT52,AT55,AT61,AT66,AT60)</f>
        <v>#REF!</v>
      </c>
      <c r="AU79" s="61"/>
      <c r="AV79" s="43"/>
      <c r="AW79" s="61" t="str">
        <f>SUM(AW13,AW15,AW21,AW30,AW44,AW51,AW52,AW55,AW61,AW66,AW60)</f>
        <v>#REF!</v>
      </c>
      <c r="AX79" s="249" t="str">
        <f>SUM(AW79-$U79)</f>
        <v>#REF!</v>
      </c>
      <c r="AY79" s="61"/>
      <c r="AZ79" s="61">
        <v>36463.82677673069</v>
      </c>
      <c r="BA79" s="249">
        <v>-10547.923713664764</v>
      </c>
      <c r="BB79" s="61"/>
      <c r="BC79" s="61">
        <v>35276.69202778693</v>
      </c>
      <c r="BD79" s="249">
        <v>-11735.058462608526</v>
      </c>
      <c r="BE79" s="61"/>
      <c r="BF79" s="61">
        <v>36244.20525915191</v>
      </c>
      <c r="BG79" s="249">
        <v>-10767.545231243545</v>
      </c>
      <c r="BH79" s="61"/>
      <c r="BI79" s="61">
        <v>36498.539557899945</v>
      </c>
      <c r="BJ79" s="249">
        <v>-10513.210932495509</v>
      </c>
      <c r="BK79" s="61">
        <v>38708.276654299</v>
      </c>
      <c r="BL79" s="249">
        <v>-8303.473836096455</v>
      </c>
      <c r="BM79" s="249"/>
      <c r="BN79" s="61">
        <v>38316.96896560942</v>
      </c>
      <c r="BO79" s="249">
        <v>-8694.781524786034</v>
      </c>
      <c r="BP79" s="249"/>
      <c r="BQ79" s="43"/>
      <c r="BR79" s="61" t="str">
        <f>SUM(BR13,BR15,BR21,BR30,BR44,BR51,BR52,BR55,BR61,BR66,BR60)</f>
        <v>#REF!</v>
      </c>
      <c r="BS79" s="249" t="str">
        <f>SUM(BR79-$U79)</f>
        <v>#REF!</v>
      </c>
      <c r="BT79" s="43"/>
      <c r="BU79" s="61">
        <v>40150.742127904385</v>
      </c>
      <c r="BV79" s="249">
        <v>-6861.008362491069</v>
      </c>
      <c r="BW79" s="43"/>
      <c r="BX79" s="61">
        <v>39578.09327082291</v>
      </c>
      <c r="BY79" s="249">
        <v>-7433.657219572546</v>
      </c>
      <c r="BZ79" s="43"/>
      <c r="CA79" s="61">
        <v>40545.60650218789</v>
      </c>
      <c r="CB79" s="249">
        <v>-6466.143988207565</v>
      </c>
      <c r="CC79" s="43"/>
      <c r="CD79" s="61">
        <v>39570.969017211355</v>
      </c>
      <c r="CE79" s="249">
        <v>-7440.781473184099</v>
      </c>
      <c r="CF79" s="43"/>
      <c r="CG79" s="61">
        <v>44839.57441188008</v>
      </c>
      <c r="CH79" s="249">
        <v>-2172.1760785153747</v>
      </c>
      <c r="CI79" s="43"/>
      <c r="CJ79" s="61">
        <v>44475.38904527397</v>
      </c>
      <c r="CK79" s="249">
        <v>-2536.3614451214817</v>
      </c>
    </row>
    <row r="80" ht="15.75" customHeight="1">
      <c r="A80" s="43"/>
      <c r="B80" s="43"/>
      <c r="C80" s="15"/>
      <c r="D80" s="15"/>
      <c r="E80" s="146"/>
      <c r="F80" s="139"/>
      <c r="G80" s="15"/>
      <c r="H80" s="43"/>
      <c r="I80" s="43"/>
      <c r="J80" s="43"/>
      <c r="K80" s="61"/>
      <c r="L80" s="139"/>
      <c r="M80" s="139"/>
      <c r="N80" s="53"/>
      <c r="O80" s="43"/>
      <c r="P80" s="43"/>
      <c r="Q80" s="43"/>
      <c r="R80" s="43"/>
      <c r="S80" s="40"/>
      <c r="T80" s="260"/>
      <c r="U80" s="40"/>
      <c r="V80" s="40"/>
      <c r="W80" s="40"/>
      <c r="X80" s="40"/>
      <c r="Y80" s="40"/>
      <c r="Z80" s="40"/>
      <c r="AA80" s="40"/>
      <c r="AB80" s="40"/>
      <c r="AC80" s="139"/>
      <c r="AD80" s="139"/>
      <c r="AE80" s="40"/>
      <c r="AF80" s="40"/>
      <c r="AG80" s="139"/>
      <c r="AH80" s="139"/>
      <c r="AI80" s="139"/>
      <c r="AJ80" s="43"/>
      <c r="AK80" s="43"/>
      <c r="AL80" s="139"/>
      <c r="AM80" s="43"/>
      <c r="AN80" s="43"/>
      <c r="AO80" s="139"/>
      <c r="AP80" s="43"/>
      <c r="AQ80" s="43"/>
      <c r="AR80" s="139"/>
      <c r="AS80" s="43"/>
      <c r="AT80" s="43"/>
      <c r="AU80" s="139"/>
      <c r="AV80" s="43"/>
      <c r="AW80" s="43"/>
      <c r="AX80" s="139"/>
      <c r="AY80" s="139"/>
      <c r="AZ80" s="43"/>
      <c r="BA80" s="139"/>
      <c r="BB80" s="139"/>
      <c r="BC80" s="139"/>
      <c r="BD80" s="139"/>
      <c r="BE80" s="139"/>
      <c r="BF80" s="43"/>
      <c r="BG80" s="139"/>
      <c r="BH80" s="139"/>
      <c r="BI80" s="43"/>
      <c r="BJ80" s="139"/>
      <c r="BK80" s="43"/>
      <c r="BL80" s="139"/>
      <c r="BM80" s="139"/>
      <c r="BN80" s="43"/>
      <c r="BO80" s="139"/>
      <c r="BP80" s="139"/>
      <c r="BQ80" s="43"/>
      <c r="BR80" s="43"/>
      <c r="BS80" s="139"/>
      <c r="BT80" s="43"/>
      <c r="BU80" s="43"/>
      <c r="BV80" s="139"/>
      <c r="BW80" s="43"/>
      <c r="BX80" s="43"/>
      <c r="BY80" s="139"/>
      <c r="BZ80" s="43"/>
      <c r="CA80" s="43"/>
      <c r="CB80" s="139"/>
      <c r="CC80" s="43"/>
      <c r="CD80" s="43"/>
      <c r="CE80" s="139"/>
      <c r="CF80" s="43"/>
      <c r="CG80" s="43"/>
      <c r="CH80" s="139"/>
      <c r="CI80" s="43"/>
      <c r="CJ80" s="43"/>
      <c r="CK80" s="139"/>
    </row>
    <row r="81" ht="15.75" customHeight="1">
      <c r="A81" s="43"/>
      <c r="B81" s="43"/>
      <c r="C81" s="15"/>
      <c r="D81" s="15"/>
      <c r="E81" s="146"/>
      <c r="F81" s="139"/>
      <c r="G81" s="15"/>
      <c r="H81" s="43"/>
      <c r="I81" s="43"/>
      <c r="J81" s="43"/>
      <c r="K81" s="61"/>
      <c r="L81" s="139"/>
      <c r="M81" s="139"/>
      <c r="N81" s="53"/>
      <c r="O81" s="43"/>
      <c r="P81" s="43"/>
      <c r="Q81" s="43"/>
      <c r="R81" s="43"/>
      <c r="S81" s="40"/>
      <c r="T81" s="260"/>
      <c r="U81" s="40"/>
      <c r="V81" s="40"/>
      <c r="W81" s="40"/>
      <c r="X81" s="40"/>
      <c r="Y81" s="40"/>
      <c r="Z81" s="40"/>
      <c r="AA81" s="40"/>
      <c r="AB81" s="40"/>
      <c r="AC81" s="139"/>
      <c r="AD81" s="139"/>
      <c r="AE81" s="40"/>
      <c r="AF81" s="40"/>
      <c r="AG81" s="139"/>
      <c r="AH81" s="139"/>
      <c r="AI81" s="139"/>
      <c r="AJ81" s="43"/>
      <c r="AK81" s="43"/>
      <c r="AL81" s="139"/>
      <c r="AM81" s="43"/>
      <c r="AN81" s="43"/>
      <c r="AO81" s="139"/>
      <c r="AP81" s="43"/>
      <c r="AQ81" s="43"/>
      <c r="AR81" s="139"/>
      <c r="AS81" s="43"/>
      <c r="AT81" s="43"/>
      <c r="AU81" s="139"/>
      <c r="AV81" s="43"/>
      <c r="AW81" s="43"/>
      <c r="AX81" s="139"/>
      <c r="AY81" s="139"/>
      <c r="AZ81" s="43"/>
      <c r="BA81" s="139"/>
      <c r="BB81" s="139"/>
      <c r="BC81" s="139"/>
      <c r="BD81" s="139"/>
      <c r="BE81" s="139"/>
      <c r="BF81" s="43"/>
      <c r="BG81" s="139"/>
      <c r="BH81" s="139"/>
      <c r="BI81" s="43"/>
      <c r="BJ81" s="139"/>
      <c r="BK81" s="43"/>
      <c r="BL81" s="139"/>
      <c r="BM81" s="139"/>
      <c r="BN81" s="43"/>
      <c r="BO81" s="139"/>
      <c r="BP81" s="139"/>
      <c r="BQ81" s="43"/>
      <c r="BR81" s="43"/>
      <c r="BS81" s="139"/>
      <c r="BT81" s="43"/>
      <c r="BU81" s="43"/>
      <c r="BV81" s="139"/>
      <c r="BW81" s="43"/>
      <c r="BX81" s="43"/>
      <c r="BY81" s="139"/>
      <c r="BZ81" s="43"/>
      <c r="CA81" s="43"/>
      <c r="CB81" s="139"/>
      <c r="CC81" s="43"/>
      <c r="CD81" s="43"/>
      <c r="CE81" s="139"/>
      <c r="CF81" s="43"/>
      <c r="CG81" s="43"/>
      <c r="CH81" s="139"/>
      <c r="CI81" s="43"/>
      <c r="CJ81" s="43"/>
      <c r="CK81" s="139"/>
    </row>
    <row r="82" ht="15.75" customHeight="1">
      <c r="A82" s="43"/>
      <c r="B82" s="43"/>
      <c r="C82" s="15"/>
      <c r="D82" s="15"/>
      <c r="E82" s="146"/>
      <c r="F82" s="139"/>
      <c r="G82" s="15"/>
      <c r="H82" s="43"/>
      <c r="I82" s="43"/>
      <c r="J82" s="43"/>
      <c r="K82" s="61"/>
      <c r="L82" s="139"/>
      <c r="M82" s="139"/>
      <c r="N82" s="53"/>
      <c r="O82" s="43"/>
      <c r="P82" s="43"/>
      <c r="Q82" s="43"/>
      <c r="R82" s="43"/>
      <c r="S82" s="40"/>
      <c r="T82" s="260"/>
      <c r="U82" s="40"/>
      <c r="V82" s="40"/>
      <c r="W82" s="40"/>
      <c r="X82" s="40"/>
      <c r="Y82" s="40"/>
      <c r="Z82" s="40"/>
      <c r="AA82" s="40"/>
      <c r="AB82" s="40"/>
      <c r="AC82" s="139"/>
      <c r="AD82" s="139"/>
      <c r="AE82" s="40"/>
      <c r="AF82" s="40"/>
      <c r="AG82" s="139"/>
      <c r="AH82" s="139"/>
      <c r="AI82" s="139"/>
      <c r="AJ82" s="43"/>
      <c r="AK82" s="43"/>
      <c r="AL82" s="139"/>
      <c r="AM82" s="43"/>
      <c r="AN82" s="43"/>
      <c r="AO82" s="139"/>
      <c r="AP82" s="43"/>
      <c r="AQ82" s="43"/>
      <c r="AR82" s="139"/>
      <c r="AS82" s="43"/>
      <c r="AT82" s="43"/>
      <c r="AU82" s="139"/>
      <c r="AV82" s="43"/>
      <c r="AW82" s="43"/>
      <c r="AX82" s="139"/>
      <c r="AY82" s="139"/>
      <c r="AZ82" s="43"/>
      <c r="BA82" s="139"/>
      <c r="BB82" s="139"/>
      <c r="BC82" s="139"/>
      <c r="BD82" s="139"/>
      <c r="BE82" s="139"/>
      <c r="BF82" s="43"/>
      <c r="BG82" s="139"/>
      <c r="BH82" s="139"/>
      <c r="BI82" s="43"/>
      <c r="BJ82" s="139"/>
      <c r="BK82" s="43"/>
      <c r="BL82" s="139"/>
      <c r="BM82" s="139"/>
      <c r="BN82" s="43"/>
      <c r="BO82" s="139"/>
      <c r="BP82" s="139"/>
      <c r="BQ82" s="43"/>
      <c r="BR82" s="43"/>
      <c r="BS82" s="139"/>
      <c r="BT82" s="43"/>
      <c r="BU82" s="43"/>
      <c r="BV82" s="139"/>
      <c r="BW82" s="43"/>
      <c r="BX82" s="43"/>
      <c r="BY82" s="139"/>
      <c r="BZ82" s="43"/>
      <c r="CA82" s="43"/>
      <c r="CB82" s="139"/>
      <c r="CC82" s="43"/>
      <c r="CD82" s="43"/>
      <c r="CE82" s="139"/>
      <c r="CF82" s="43"/>
      <c r="CG82" s="43"/>
      <c r="CH82" s="139"/>
      <c r="CI82" s="43"/>
      <c r="CJ82" s="43"/>
      <c r="CK82" s="139"/>
    </row>
    <row r="83" ht="15.75" customHeight="1">
      <c r="A83" s="43"/>
      <c r="B83" s="43"/>
      <c r="C83" s="15"/>
      <c r="D83" s="15"/>
      <c r="E83" s="146"/>
      <c r="F83" s="139"/>
      <c r="G83" s="15"/>
      <c r="H83" s="43"/>
      <c r="I83" s="43"/>
      <c r="J83" s="43"/>
      <c r="K83" s="61"/>
      <c r="L83" s="139"/>
      <c r="M83" s="139"/>
      <c r="N83" s="145"/>
      <c r="O83" s="43"/>
      <c r="P83" s="88"/>
      <c r="Q83" s="43"/>
      <c r="R83" s="88"/>
      <c r="S83" s="40"/>
      <c r="T83" s="260"/>
      <c r="U83" s="40"/>
      <c r="V83" s="40"/>
      <c r="W83" s="40"/>
      <c r="X83" s="40"/>
      <c r="Y83" s="40"/>
      <c r="Z83" s="40"/>
      <c r="AA83" s="40"/>
      <c r="AB83" s="40"/>
      <c r="AC83" s="139"/>
      <c r="AD83" s="139"/>
      <c r="AE83" s="40"/>
      <c r="AF83" s="40"/>
      <c r="AG83" s="139"/>
      <c r="AH83" s="139"/>
      <c r="AI83" s="139"/>
      <c r="AJ83" s="43"/>
      <c r="AK83" s="43"/>
      <c r="AL83" s="139"/>
      <c r="AM83" s="43"/>
      <c r="AN83" s="43"/>
      <c r="AO83" s="139"/>
      <c r="AP83" s="43"/>
      <c r="AQ83" s="43"/>
      <c r="AR83" s="139"/>
      <c r="AS83" s="43"/>
      <c r="AT83" s="43"/>
      <c r="AU83" s="139"/>
      <c r="AV83" s="43"/>
      <c r="AW83" s="43"/>
      <c r="AX83" s="139"/>
      <c r="AY83" s="139"/>
      <c r="AZ83" s="43"/>
      <c r="BA83" s="139"/>
      <c r="BB83" s="139"/>
      <c r="BC83" s="139"/>
      <c r="BD83" s="139"/>
      <c r="BE83" s="139"/>
      <c r="BF83" s="43"/>
      <c r="BG83" s="139"/>
      <c r="BH83" s="139"/>
      <c r="BI83" s="43"/>
      <c r="BJ83" s="139"/>
      <c r="BK83" s="43"/>
      <c r="BL83" s="139"/>
      <c r="BM83" s="139"/>
      <c r="BN83" s="43"/>
      <c r="BO83" s="139"/>
      <c r="BP83" s="139"/>
      <c r="BQ83" s="43"/>
      <c r="BR83" s="43"/>
      <c r="BS83" s="139"/>
      <c r="BT83" s="43"/>
      <c r="BU83" s="43"/>
      <c r="BV83" s="139"/>
      <c r="BW83" s="43"/>
      <c r="BX83" s="43"/>
      <c r="BY83" s="139"/>
      <c r="BZ83" s="43"/>
      <c r="CA83" s="43"/>
      <c r="CB83" s="139"/>
      <c r="CC83" s="43"/>
      <c r="CD83" s="43"/>
      <c r="CE83" s="139"/>
      <c r="CF83" s="43"/>
      <c r="CG83" s="43"/>
      <c r="CH83" s="139"/>
      <c r="CI83" s="43"/>
      <c r="CJ83" s="43"/>
      <c r="CK83" s="139"/>
    </row>
    <row r="84" ht="15.75" customHeight="1">
      <c r="A84" s="43"/>
      <c r="B84" s="43"/>
      <c r="C84" s="15"/>
      <c r="D84" s="15"/>
      <c r="E84" s="146"/>
      <c r="F84" s="139"/>
      <c r="G84" s="15"/>
      <c r="H84" s="43"/>
      <c r="I84" s="43"/>
      <c r="J84" s="43"/>
      <c r="K84" s="61"/>
      <c r="L84" s="139"/>
      <c r="M84" s="139"/>
      <c r="N84" s="145"/>
      <c r="O84" s="43"/>
      <c r="P84" s="88"/>
      <c r="Q84" s="43"/>
      <c r="R84" s="88"/>
      <c r="S84" s="40"/>
      <c r="T84" s="260"/>
      <c r="U84" s="40"/>
      <c r="V84" s="40"/>
      <c r="W84" s="40"/>
      <c r="X84" s="40"/>
      <c r="Y84" s="40"/>
      <c r="Z84" s="40"/>
      <c r="AA84" s="40"/>
      <c r="AB84" s="40"/>
      <c r="AC84" s="139"/>
      <c r="AD84" s="139"/>
      <c r="AE84" s="40"/>
      <c r="AF84" s="40"/>
      <c r="AG84" s="139"/>
      <c r="AH84" s="139"/>
      <c r="AI84" s="139"/>
      <c r="AJ84" s="43"/>
      <c r="AK84" s="43"/>
      <c r="AL84" s="139"/>
      <c r="AM84" s="43"/>
      <c r="AN84" s="43"/>
      <c r="AO84" s="139"/>
      <c r="AP84" s="43"/>
      <c r="AQ84" s="43"/>
      <c r="AR84" s="139"/>
      <c r="AS84" s="43"/>
      <c r="AT84" s="43"/>
      <c r="AU84" s="139"/>
      <c r="AV84" s="43"/>
      <c r="AW84" s="43"/>
      <c r="AX84" s="139"/>
      <c r="AY84" s="139"/>
      <c r="AZ84" s="43"/>
      <c r="BA84" s="139"/>
      <c r="BB84" s="139"/>
      <c r="BC84" s="139"/>
      <c r="BD84" s="139"/>
      <c r="BE84" s="139"/>
      <c r="BF84" s="43"/>
      <c r="BG84" s="139"/>
      <c r="BH84" s="139"/>
      <c r="BI84" s="43"/>
      <c r="BJ84" s="139"/>
      <c r="BK84" s="43"/>
      <c r="BL84" s="139"/>
      <c r="BM84" s="139"/>
      <c r="BN84" s="43"/>
      <c r="BO84" s="139"/>
      <c r="BP84" s="139"/>
      <c r="BQ84" s="43"/>
      <c r="BR84" s="43"/>
      <c r="BS84" s="139"/>
      <c r="BT84" s="43"/>
      <c r="BU84" s="43"/>
      <c r="BV84" s="139"/>
      <c r="BW84" s="43"/>
      <c r="BX84" s="43"/>
      <c r="BY84" s="139"/>
      <c r="BZ84" s="43"/>
      <c r="CA84" s="43"/>
      <c r="CB84" s="139"/>
      <c r="CC84" s="43"/>
      <c r="CD84" s="43"/>
      <c r="CE84" s="139"/>
      <c r="CF84" s="43"/>
      <c r="CG84" s="43"/>
      <c r="CH84" s="139"/>
      <c r="CI84" s="43"/>
      <c r="CJ84" s="43"/>
      <c r="CK84" s="139"/>
    </row>
    <row r="85" ht="15.75" customHeight="1">
      <c r="A85" s="43"/>
      <c r="B85" s="43"/>
      <c r="C85" s="15"/>
      <c r="D85" s="15"/>
      <c r="E85" s="146"/>
      <c r="F85" s="139"/>
      <c r="G85" s="15"/>
      <c r="H85" s="43"/>
      <c r="I85" s="43"/>
      <c r="J85" s="43"/>
      <c r="K85" s="61"/>
      <c r="L85" s="139"/>
      <c r="M85" s="139"/>
      <c r="N85" s="145"/>
      <c r="O85" s="43"/>
      <c r="P85" s="88"/>
      <c r="Q85" s="43"/>
      <c r="R85" s="88"/>
      <c r="S85" s="40"/>
      <c r="T85" s="260"/>
      <c r="U85" s="40"/>
      <c r="V85" s="40"/>
      <c r="W85" s="40"/>
      <c r="X85" s="40"/>
      <c r="Y85" s="40"/>
      <c r="Z85" s="40"/>
      <c r="AA85" s="40"/>
      <c r="AB85" s="40"/>
      <c r="AC85" s="139"/>
      <c r="AD85" s="139"/>
      <c r="AE85" s="40"/>
      <c r="AF85" s="40"/>
      <c r="AG85" s="139"/>
      <c r="AH85" s="139"/>
      <c r="AI85" s="139"/>
      <c r="AJ85" s="43"/>
      <c r="AK85" s="43"/>
      <c r="AL85" s="139"/>
      <c r="AM85" s="43"/>
      <c r="AN85" s="43"/>
      <c r="AO85" s="139"/>
      <c r="AP85" s="43"/>
      <c r="AQ85" s="43"/>
      <c r="AR85" s="139"/>
      <c r="AS85" s="43"/>
      <c r="AT85" s="43"/>
      <c r="AU85" s="139"/>
      <c r="AV85" s="43"/>
      <c r="AW85" s="43"/>
      <c r="AX85" s="139"/>
      <c r="AY85" s="139"/>
      <c r="AZ85" s="43"/>
      <c r="BA85" s="139"/>
      <c r="BB85" s="139"/>
      <c r="BC85" s="139"/>
      <c r="BD85" s="139"/>
      <c r="BE85" s="139"/>
      <c r="BF85" s="43"/>
      <c r="BG85" s="139"/>
      <c r="BH85" s="139"/>
      <c r="BI85" s="43"/>
      <c r="BJ85" s="139"/>
      <c r="BK85" s="43"/>
      <c r="BL85" s="139"/>
      <c r="BM85" s="139"/>
      <c r="BN85" s="43"/>
      <c r="BO85" s="139"/>
      <c r="BP85" s="139"/>
      <c r="BQ85" s="43"/>
      <c r="BR85" s="43"/>
      <c r="BS85" s="139"/>
      <c r="BT85" s="43"/>
      <c r="BU85" s="43"/>
      <c r="BV85" s="139"/>
      <c r="BW85" s="43"/>
      <c r="BX85" s="43"/>
      <c r="BY85" s="139"/>
      <c r="BZ85" s="43"/>
      <c r="CA85" s="43"/>
      <c r="CB85" s="139"/>
      <c r="CC85" s="43"/>
      <c r="CD85" s="43"/>
      <c r="CE85" s="139"/>
      <c r="CF85" s="43"/>
      <c r="CG85" s="43"/>
      <c r="CH85" s="139"/>
      <c r="CI85" s="43"/>
      <c r="CJ85" s="43"/>
      <c r="CK85" s="139"/>
    </row>
    <row r="86" ht="15.75" customHeight="1">
      <c r="A86" s="43"/>
      <c r="B86" s="43"/>
      <c r="C86" s="15"/>
      <c r="D86" s="15"/>
      <c r="E86" s="146"/>
      <c r="F86" s="139"/>
      <c r="G86" s="15"/>
      <c r="H86" s="43"/>
      <c r="I86" s="43"/>
      <c r="J86" s="43"/>
      <c r="K86" s="61"/>
      <c r="L86" s="139"/>
      <c r="M86" s="139"/>
      <c r="N86" s="145"/>
      <c r="O86" s="43"/>
      <c r="P86" s="88"/>
      <c r="Q86" s="43"/>
      <c r="R86" s="88"/>
      <c r="S86" s="40"/>
      <c r="T86" s="260"/>
      <c r="U86" s="40"/>
      <c r="V86" s="40"/>
      <c r="W86" s="40"/>
      <c r="X86" s="40"/>
      <c r="Y86" s="40"/>
      <c r="Z86" s="40"/>
      <c r="AA86" s="40"/>
      <c r="AB86" s="40"/>
      <c r="AC86" s="139"/>
      <c r="AD86" s="139"/>
      <c r="AE86" s="40"/>
      <c r="AF86" s="40"/>
      <c r="AG86" s="139"/>
      <c r="AH86" s="139"/>
      <c r="AI86" s="139"/>
      <c r="AJ86" s="43"/>
      <c r="AK86" s="43"/>
      <c r="AL86" s="139"/>
      <c r="AM86" s="43"/>
      <c r="AN86" s="43"/>
      <c r="AO86" s="139"/>
      <c r="AP86" s="43"/>
      <c r="AQ86" s="43"/>
      <c r="AR86" s="139"/>
      <c r="AS86" s="43"/>
      <c r="AT86" s="43"/>
      <c r="AU86" s="139"/>
      <c r="AV86" s="43"/>
      <c r="AW86" s="43"/>
      <c r="AX86" s="139"/>
      <c r="AY86" s="139"/>
      <c r="AZ86" s="43"/>
      <c r="BA86" s="139"/>
      <c r="BB86" s="139"/>
      <c r="BC86" s="139"/>
      <c r="BD86" s="139"/>
      <c r="BE86" s="139"/>
      <c r="BF86" s="43"/>
      <c r="BG86" s="139"/>
      <c r="BH86" s="139"/>
      <c r="BI86" s="43"/>
      <c r="BJ86" s="139"/>
      <c r="BK86" s="43"/>
      <c r="BL86" s="139"/>
      <c r="BM86" s="139"/>
      <c r="BN86" s="43"/>
      <c r="BO86" s="139"/>
      <c r="BP86" s="139"/>
      <c r="BQ86" s="43"/>
      <c r="BR86" s="43"/>
      <c r="BS86" s="139"/>
      <c r="BT86" s="43"/>
      <c r="BU86" s="43"/>
      <c r="BV86" s="139"/>
      <c r="BW86" s="43"/>
      <c r="BX86" s="43"/>
      <c r="BY86" s="139"/>
      <c r="BZ86" s="43"/>
      <c r="CA86" s="43"/>
      <c r="CB86" s="139"/>
      <c r="CC86" s="43"/>
      <c r="CD86" s="43"/>
      <c r="CE86" s="139"/>
      <c r="CF86" s="43"/>
      <c r="CG86" s="43"/>
      <c r="CH86" s="139"/>
      <c r="CI86" s="43"/>
      <c r="CJ86" s="43"/>
      <c r="CK86" s="139"/>
    </row>
    <row r="87" ht="15.75" customHeight="1">
      <c r="A87" s="43"/>
      <c r="B87" s="43"/>
      <c r="C87" s="15"/>
      <c r="D87" s="15"/>
      <c r="E87" s="146"/>
      <c r="F87" s="139"/>
      <c r="G87" s="15"/>
      <c r="H87" s="43"/>
      <c r="I87" s="43"/>
      <c r="J87" s="43"/>
      <c r="K87" s="61"/>
      <c r="L87" s="139"/>
      <c r="M87" s="139"/>
      <c r="N87" s="145"/>
      <c r="O87" s="43"/>
      <c r="P87" s="88"/>
      <c r="Q87" s="43"/>
      <c r="R87" s="88"/>
      <c r="S87" s="40"/>
      <c r="T87" s="260"/>
      <c r="U87" s="40"/>
      <c r="V87" s="40"/>
      <c r="W87" s="40"/>
      <c r="X87" s="40"/>
      <c r="Y87" s="40"/>
      <c r="Z87" s="40"/>
      <c r="AA87" s="40"/>
      <c r="AB87" s="40"/>
      <c r="AC87" s="139"/>
      <c r="AD87" s="139"/>
      <c r="AE87" s="40"/>
      <c r="AF87" s="40"/>
      <c r="AG87" s="139"/>
      <c r="AH87" s="139"/>
      <c r="AI87" s="139"/>
      <c r="AJ87" s="43"/>
      <c r="AK87" s="43"/>
      <c r="AL87" s="139"/>
      <c r="AM87" s="43"/>
      <c r="AN87" s="43"/>
      <c r="AO87" s="139"/>
      <c r="AP87" s="43"/>
      <c r="AQ87" s="43"/>
      <c r="AR87" s="139"/>
      <c r="AS87" s="43"/>
      <c r="AT87" s="43"/>
      <c r="AU87" s="139"/>
      <c r="AV87" s="43"/>
      <c r="AW87" s="43"/>
      <c r="AX87" s="139"/>
      <c r="AY87" s="139"/>
      <c r="AZ87" s="43"/>
      <c r="BA87" s="139"/>
      <c r="BB87" s="139"/>
      <c r="BC87" s="139"/>
      <c r="BD87" s="139"/>
      <c r="BE87" s="139"/>
      <c r="BF87" s="43"/>
      <c r="BG87" s="139"/>
      <c r="BH87" s="139"/>
      <c r="BI87" s="43"/>
      <c r="BJ87" s="139"/>
      <c r="BK87" s="43"/>
      <c r="BL87" s="139"/>
      <c r="BM87" s="139"/>
      <c r="BN87" s="43"/>
      <c r="BO87" s="139"/>
      <c r="BP87" s="139"/>
      <c r="BQ87" s="43"/>
      <c r="BR87" s="43"/>
      <c r="BS87" s="139"/>
      <c r="BT87" s="43"/>
      <c r="BU87" s="43"/>
      <c r="BV87" s="139"/>
      <c r="BW87" s="43"/>
      <c r="BX87" s="43"/>
      <c r="BY87" s="139"/>
      <c r="BZ87" s="43"/>
      <c r="CA87" s="43"/>
      <c r="CB87" s="139"/>
      <c r="CC87" s="43"/>
      <c r="CD87" s="43"/>
      <c r="CE87" s="139"/>
      <c r="CF87" s="43"/>
      <c r="CG87" s="43"/>
      <c r="CH87" s="139"/>
      <c r="CI87" s="43"/>
      <c r="CJ87" s="43"/>
      <c r="CK87" s="139"/>
    </row>
    <row r="88" ht="15.75" customHeight="1">
      <c r="A88" s="43"/>
      <c r="B88" s="43"/>
      <c r="C88" s="15"/>
      <c r="D88" s="15"/>
      <c r="E88" s="146"/>
      <c r="F88" s="139"/>
      <c r="G88" s="15"/>
      <c r="H88" s="43"/>
      <c r="I88" s="43"/>
      <c r="J88" s="43"/>
      <c r="K88" s="61"/>
      <c r="L88" s="139"/>
      <c r="M88" s="139"/>
      <c r="N88" s="145"/>
      <c r="O88" s="43"/>
      <c r="P88" s="88"/>
      <c r="Q88" s="43"/>
      <c r="R88" s="88"/>
      <c r="S88" s="40"/>
      <c r="T88" s="260"/>
      <c r="U88" s="40"/>
      <c r="V88" s="40"/>
      <c r="W88" s="40"/>
      <c r="X88" s="40"/>
      <c r="Y88" s="40"/>
      <c r="Z88" s="40"/>
      <c r="AA88" s="40"/>
      <c r="AB88" s="40"/>
      <c r="AC88" s="139"/>
      <c r="AD88" s="139"/>
      <c r="AE88" s="40"/>
      <c r="AF88" s="40"/>
      <c r="AG88" s="139"/>
      <c r="AH88" s="139"/>
      <c r="AI88" s="139"/>
      <c r="AJ88" s="43"/>
      <c r="AK88" s="43"/>
      <c r="AL88" s="139"/>
      <c r="AM88" s="43"/>
      <c r="AN88" s="43"/>
      <c r="AO88" s="139"/>
      <c r="AP88" s="43"/>
      <c r="AQ88" s="43"/>
      <c r="AR88" s="139"/>
      <c r="AS88" s="43"/>
      <c r="AT88" s="43"/>
      <c r="AU88" s="139"/>
      <c r="AV88" s="43"/>
      <c r="AW88" s="43"/>
      <c r="AX88" s="139"/>
      <c r="AY88" s="139"/>
      <c r="AZ88" s="43"/>
      <c r="BA88" s="139"/>
      <c r="BB88" s="139"/>
      <c r="BC88" s="139"/>
      <c r="BD88" s="139"/>
      <c r="BE88" s="139"/>
      <c r="BF88" s="43"/>
      <c r="BG88" s="139"/>
      <c r="BH88" s="139"/>
      <c r="BI88" s="43"/>
      <c r="BJ88" s="139"/>
      <c r="BK88" s="43"/>
      <c r="BL88" s="139"/>
      <c r="BM88" s="139"/>
      <c r="BN88" s="43"/>
      <c r="BO88" s="139"/>
      <c r="BP88" s="139"/>
      <c r="BQ88" s="43"/>
      <c r="BR88" s="43"/>
      <c r="BS88" s="139"/>
      <c r="BT88" s="43"/>
      <c r="BU88" s="43"/>
      <c r="BV88" s="139"/>
      <c r="BW88" s="43"/>
      <c r="BX88" s="43"/>
      <c r="BY88" s="139"/>
      <c r="BZ88" s="43"/>
      <c r="CA88" s="43"/>
      <c r="CB88" s="139"/>
      <c r="CC88" s="43"/>
      <c r="CD88" s="43"/>
      <c r="CE88" s="139"/>
      <c r="CF88" s="43"/>
      <c r="CG88" s="43"/>
      <c r="CH88" s="139"/>
      <c r="CI88" s="43"/>
      <c r="CJ88" s="43"/>
      <c r="CK88" s="139"/>
    </row>
    <row r="89" ht="15.75" customHeight="1">
      <c r="A89" s="43"/>
      <c r="B89" s="43"/>
      <c r="C89" s="15"/>
      <c r="D89" s="15"/>
      <c r="E89" s="146"/>
      <c r="F89" s="139"/>
      <c r="G89" s="15"/>
      <c r="H89" s="43"/>
      <c r="I89" s="43"/>
      <c r="J89" s="43"/>
      <c r="K89" s="61"/>
      <c r="L89" s="139"/>
      <c r="M89" s="139"/>
      <c r="N89" s="145"/>
      <c r="O89" s="43"/>
      <c r="P89" s="88"/>
      <c r="Q89" s="43"/>
      <c r="R89" s="88"/>
      <c r="S89" s="40"/>
      <c r="T89" s="260"/>
      <c r="U89" s="40"/>
      <c r="V89" s="40"/>
      <c r="W89" s="40"/>
      <c r="X89" s="40"/>
      <c r="Y89" s="40"/>
      <c r="Z89" s="40"/>
      <c r="AA89" s="40"/>
      <c r="AB89" s="40"/>
      <c r="AC89" s="139"/>
      <c r="AD89" s="139"/>
      <c r="AE89" s="40"/>
      <c r="AF89" s="40"/>
      <c r="AG89" s="139"/>
      <c r="AH89" s="139"/>
      <c r="AI89" s="139"/>
      <c r="AJ89" s="43"/>
      <c r="AK89" s="43"/>
      <c r="AL89" s="139"/>
      <c r="AM89" s="43"/>
      <c r="AN89" s="43"/>
      <c r="AO89" s="139"/>
      <c r="AP89" s="43"/>
      <c r="AQ89" s="43"/>
      <c r="AR89" s="139"/>
      <c r="AS89" s="43"/>
      <c r="AT89" s="43"/>
      <c r="AU89" s="139"/>
      <c r="AV89" s="43"/>
      <c r="AW89" s="43"/>
      <c r="AX89" s="139"/>
      <c r="AY89" s="139"/>
      <c r="AZ89" s="43"/>
      <c r="BA89" s="139"/>
      <c r="BB89" s="139"/>
      <c r="BC89" s="139"/>
      <c r="BD89" s="139"/>
      <c r="BE89" s="139"/>
      <c r="BF89" s="43"/>
      <c r="BG89" s="139"/>
      <c r="BH89" s="139"/>
      <c r="BI89" s="43"/>
      <c r="BJ89" s="139"/>
      <c r="BK89" s="43"/>
      <c r="BL89" s="139"/>
      <c r="BM89" s="139"/>
      <c r="BN89" s="43"/>
      <c r="BO89" s="139"/>
      <c r="BP89" s="139"/>
      <c r="BQ89" s="43"/>
      <c r="BR89" s="43"/>
      <c r="BS89" s="139"/>
      <c r="BT89" s="43"/>
      <c r="BU89" s="43"/>
      <c r="BV89" s="139"/>
      <c r="BW89" s="43"/>
      <c r="BX89" s="43"/>
      <c r="BY89" s="139"/>
      <c r="BZ89" s="43"/>
      <c r="CA89" s="43"/>
      <c r="CB89" s="139"/>
      <c r="CC89" s="43"/>
      <c r="CD89" s="43"/>
      <c r="CE89" s="139"/>
      <c r="CF89" s="43"/>
      <c r="CG89" s="43"/>
      <c r="CH89" s="139"/>
      <c r="CI89" s="43"/>
      <c r="CJ89" s="43"/>
      <c r="CK89" s="139"/>
    </row>
    <row r="90" ht="15.75" customHeight="1">
      <c r="A90" s="43"/>
      <c r="B90" s="43"/>
      <c r="C90" s="15"/>
      <c r="D90" s="15"/>
      <c r="E90" s="146"/>
      <c r="F90" s="139"/>
      <c r="G90" s="15"/>
      <c r="H90" s="43"/>
      <c r="I90" s="43"/>
      <c r="J90" s="43"/>
      <c r="K90" s="61"/>
      <c r="L90" s="139"/>
      <c r="M90" s="139"/>
      <c r="N90" s="145"/>
      <c r="O90" s="43"/>
      <c r="P90" s="88"/>
      <c r="Q90" s="43"/>
      <c r="R90" s="88"/>
      <c r="S90" s="40"/>
      <c r="T90" s="260"/>
      <c r="U90" s="40"/>
      <c r="V90" s="40"/>
      <c r="W90" s="40"/>
      <c r="X90" s="40"/>
      <c r="Y90" s="40"/>
      <c r="Z90" s="40"/>
      <c r="AA90" s="40"/>
      <c r="AB90" s="40"/>
      <c r="AC90" s="139"/>
      <c r="AD90" s="139"/>
      <c r="AE90" s="40"/>
      <c r="AF90" s="40"/>
      <c r="AG90" s="139"/>
      <c r="AH90" s="139"/>
      <c r="AI90" s="139"/>
      <c r="AJ90" s="43"/>
      <c r="AK90" s="43"/>
      <c r="AL90" s="139"/>
      <c r="AM90" s="43"/>
      <c r="AN90" s="43"/>
      <c r="AO90" s="139"/>
      <c r="AP90" s="43"/>
      <c r="AQ90" s="43"/>
      <c r="AR90" s="139"/>
      <c r="AS90" s="43"/>
      <c r="AT90" s="43"/>
      <c r="AU90" s="139"/>
      <c r="AV90" s="43"/>
      <c r="AW90" s="43"/>
      <c r="AX90" s="139"/>
      <c r="AY90" s="139"/>
      <c r="AZ90" s="43"/>
      <c r="BA90" s="139"/>
      <c r="BB90" s="139"/>
      <c r="BC90" s="139"/>
      <c r="BD90" s="139"/>
      <c r="BE90" s="139"/>
      <c r="BF90" s="43"/>
      <c r="BG90" s="139"/>
      <c r="BH90" s="139"/>
      <c r="BI90" s="43"/>
      <c r="BJ90" s="139"/>
      <c r="BK90" s="43"/>
      <c r="BL90" s="139"/>
      <c r="BM90" s="139"/>
      <c r="BN90" s="43"/>
      <c r="BO90" s="139"/>
      <c r="BP90" s="139"/>
      <c r="BQ90" s="43"/>
      <c r="BR90" s="43"/>
      <c r="BS90" s="139"/>
      <c r="BT90" s="43"/>
      <c r="BU90" s="43"/>
      <c r="BV90" s="139"/>
      <c r="BW90" s="43"/>
      <c r="BX90" s="43"/>
      <c r="BY90" s="139"/>
      <c r="BZ90" s="43"/>
      <c r="CA90" s="43"/>
      <c r="CB90" s="139"/>
      <c r="CC90" s="43"/>
      <c r="CD90" s="43"/>
      <c r="CE90" s="139"/>
      <c r="CF90" s="43"/>
      <c r="CG90" s="43"/>
      <c r="CH90" s="139"/>
      <c r="CI90" s="43"/>
      <c r="CJ90" s="43"/>
      <c r="CK90" s="139"/>
    </row>
    <row r="91" ht="15.75" customHeight="1">
      <c r="A91" s="43"/>
      <c r="B91" s="43"/>
      <c r="C91" s="15"/>
      <c r="D91" s="15"/>
      <c r="E91" s="146"/>
      <c r="F91" s="139"/>
      <c r="G91" s="15"/>
      <c r="H91" s="43"/>
      <c r="I91" s="43"/>
      <c r="J91" s="43"/>
      <c r="K91" s="61"/>
      <c r="L91" s="139"/>
      <c r="M91" s="139"/>
      <c r="N91" s="145"/>
      <c r="O91" s="43"/>
      <c r="P91" s="88"/>
      <c r="Q91" s="43"/>
      <c r="R91" s="88"/>
      <c r="S91" s="40"/>
      <c r="T91" s="260"/>
      <c r="U91" s="40"/>
      <c r="V91" s="40"/>
      <c r="W91" s="40"/>
      <c r="X91" s="40"/>
      <c r="Y91" s="40"/>
      <c r="Z91" s="40"/>
      <c r="AA91" s="40"/>
      <c r="AB91" s="40"/>
      <c r="AC91" s="139"/>
      <c r="AD91" s="139"/>
      <c r="AE91" s="40"/>
      <c r="AF91" s="40"/>
      <c r="AG91" s="139"/>
      <c r="AH91" s="139"/>
      <c r="AI91" s="139"/>
      <c r="AJ91" s="43"/>
      <c r="AK91" s="43"/>
      <c r="AL91" s="139"/>
      <c r="AM91" s="43"/>
      <c r="AN91" s="43"/>
      <c r="AO91" s="139"/>
      <c r="AP91" s="43"/>
      <c r="AQ91" s="43"/>
      <c r="AR91" s="139"/>
      <c r="AS91" s="43"/>
      <c r="AT91" s="43"/>
      <c r="AU91" s="139"/>
      <c r="AV91" s="43"/>
      <c r="AW91" s="43"/>
      <c r="AX91" s="139"/>
      <c r="AY91" s="139"/>
      <c r="AZ91" s="43"/>
      <c r="BA91" s="139"/>
      <c r="BB91" s="139"/>
      <c r="BC91" s="139"/>
      <c r="BD91" s="139"/>
      <c r="BE91" s="139"/>
      <c r="BF91" s="43"/>
      <c r="BG91" s="139"/>
      <c r="BH91" s="139"/>
      <c r="BI91" s="43"/>
      <c r="BJ91" s="139"/>
      <c r="BK91" s="43"/>
      <c r="BL91" s="139"/>
      <c r="BM91" s="139"/>
      <c r="BN91" s="43"/>
      <c r="BO91" s="139"/>
      <c r="BP91" s="139"/>
      <c r="BQ91" s="43"/>
      <c r="BR91" s="43"/>
      <c r="BS91" s="139"/>
      <c r="BT91" s="43"/>
      <c r="BU91" s="43"/>
      <c r="BV91" s="139"/>
      <c r="BW91" s="43"/>
      <c r="BX91" s="43"/>
      <c r="BY91" s="139"/>
      <c r="BZ91" s="43"/>
      <c r="CA91" s="43"/>
      <c r="CB91" s="139"/>
      <c r="CC91" s="43"/>
      <c r="CD91" s="43"/>
      <c r="CE91" s="139"/>
      <c r="CF91" s="43"/>
      <c r="CG91" s="43"/>
      <c r="CH91" s="139"/>
      <c r="CI91" s="43"/>
      <c r="CJ91" s="43"/>
      <c r="CK91" s="139"/>
    </row>
    <row r="92" ht="15.75" customHeight="1">
      <c r="A92" s="43"/>
      <c r="B92" s="43"/>
      <c r="C92" s="15"/>
      <c r="D92" s="15"/>
      <c r="E92" s="146"/>
      <c r="F92" s="139"/>
      <c r="G92" s="15"/>
      <c r="H92" s="43"/>
      <c r="I92" s="43"/>
      <c r="J92" s="43"/>
      <c r="K92" s="61"/>
      <c r="L92" s="139"/>
      <c r="M92" s="139"/>
      <c r="N92" s="145"/>
      <c r="O92" s="43"/>
      <c r="P92" s="88"/>
      <c r="Q92" s="43"/>
      <c r="R92" s="88"/>
      <c r="S92" s="40"/>
      <c r="T92" s="260"/>
      <c r="U92" s="40"/>
      <c r="V92" s="40"/>
      <c r="W92" s="40"/>
      <c r="X92" s="40"/>
      <c r="Y92" s="40"/>
      <c r="Z92" s="40"/>
      <c r="AA92" s="40"/>
      <c r="AB92" s="40"/>
      <c r="AC92" s="139"/>
      <c r="AD92" s="139"/>
      <c r="AE92" s="40"/>
      <c r="AF92" s="40"/>
      <c r="AG92" s="139"/>
      <c r="AH92" s="139"/>
      <c r="AI92" s="139"/>
      <c r="AJ92" s="43"/>
      <c r="AK92" s="43"/>
      <c r="AL92" s="139"/>
      <c r="AM92" s="43"/>
      <c r="AN92" s="43"/>
      <c r="AO92" s="139"/>
      <c r="AP92" s="43"/>
      <c r="AQ92" s="43"/>
      <c r="AR92" s="139"/>
      <c r="AS92" s="43"/>
      <c r="AT92" s="43"/>
      <c r="AU92" s="139"/>
      <c r="AV92" s="43"/>
      <c r="AW92" s="43"/>
      <c r="AX92" s="139"/>
      <c r="AY92" s="139"/>
      <c r="AZ92" s="43"/>
      <c r="BA92" s="139"/>
      <c r="BB92" s="139"/>
      <c r="BC92" s="139"/>
      <c r="BD92" s="139"/>
      <c r="BE92" s="139"/>
      <c r="BF92" s="43"/>
      <c r="BG92" s="139"/>
      <c r="BH92" s="139"/>
      <c r="BI92" s="43"/>
      <c r="BJ92" s="139"/>
      <c r="BK92" s="43"/>
      <c r="BL92" s="139"/>
      <c r="BM92" s="139"/>
      <c r="BN92" s="43"/>
      <c r="BO92" s="139"/>
      <c r="BP92" s="139"/>
      <c r="BQ92" s="43"/>
      <c r="BR92" s="43"/>
      <c r="BS92" s="139"/>
      <c r="BT92" s="43"/>
      <c r="BU92" s="43"/>
      <c r="BV92" s="139"/>
      <c r="BW92" s="43"/>
      <c r="BX92" s="43"/>
      <c r="BY92" s="139"/>
      <c r="BZ92" s="43"/>
      <c r="CA92" s="43"/>
      <c r="CB92" s="139"/>
      <c r="CC92" s="43"/>
      <c r="CD92" s="43"/>
      <c r="CE92" s="139"/>
      <c r="CF92" s="43"/>
      <c r="CG92" s="43"/>
      <c r="CH92" s="139"/>
      <c r="CI92" s="43"/>
      <c r="CJ92" s="43"/>
      <c r="CK92" s="139"/>
    </row>
    <row r="93" ht="15.75" customHeight="1">
      <c r="A93" s="43"/>
      <c r="B93" s="43"/>
      <c r="C93" s="15"/>
      <c r="D93" s="15"/>
      <c r="E93" s="146"/>
      <c r="F93" s="139"/>
      <c r="G93" s="15"/>
      <c r="H93" s="43"/>
      <c r="I93" s="43"/>
      <c r="J93" s="43"/>
      <c r="K93" s="61"/>
      <c r="L93" s="139"/>
      <c r="M93" s="139"/>
      <c r="N93" s="145"/>
      <c r="O93" s="43"/>
      <c r="P93" s="88"/>
      <c r="Q93" s="43"/>
      <c r="R93" s="88"/>
      <c r="S93" s="40"/>
      <c r="T93" s="260"/>
      <c r="U93" s="40"/>
      <c r="V93" s="40"/>
      <c r="W93" s="40"/>
      <c r="X93" s="40"/>
      <c r="Y93" s="40"/>
      <c r="Z93" s="40"/>
      <c r="AA93" s="40"/>
      <c r="AB93" s="40"/>
      <c r="AC93" s="139"/>
      <c r="AD93" s="139"/>
      <c r="AE93" s="40"/>
      <c r="AF93" s="40"/>
      <c r="AG93" s="139"/>
      <c r="AH93" s="139"/>
      <c r="AI93" s="139"/>
      <c r="AJ93" s="43"/>
      <c r="AK93" s="43"/>
      <c r="AL93" s="139"/>
      <c r="AM93" s="43"/>
      <c r="AN93" s="43"/>
      <c r="AO93" s="139"/>
      <c r="AP93" s="43"/>
      <c r="AQ93" s="43"/>
      <c r="AR93" s="139"/>
      <c r="AS93" s="43"/>
      <c r="AT93" s="43"/>
      <c r="AU93" s="139"/>
      <c r="AV93" s="43"/>
      <c r="AW93" s="43"/>
      <c r="AX93" s="139"/>
      <c r="AY93" s="139"/>
      <c r="AZ93" s="43"/>
      <c r="BA93" s="139"/>
      <c r="BB93" s="139"/>
      <c r="BC93" s="139"/>
      <c r="BD93" s="139"/>
      <c r="BE93" s="139"/>
      <c r="BF93" s="43"/>
      <c r="BG93" s="139"/>
      <c r="BH93" s="139"/>
      <c r="BI93" s="43"/>
      <c r="BJ93" s="139"/>
      <c r="BK93" s="43"/>
      <c r="BL93" s="139"/>
      <c r="BM93" s="139"/>
      <c r="BN93" s="43"/>
      <c r="BO93" s="139"/>
      <c r="BP93" s="139"/>
      <c r="BQ93" s="43"/>
      <c r="BR93" s="43"/>
      <c r="BS93" s="139"/>
      <c r="BT93" s="43"/>
      <c r="BU93" s="43"/>
      <c r="BV93" s="139"/>
      <c r="BW93" s="43"/>
      <c r="BX93" s="43"/>
      <c r="BY93" s="139"/>
      <c r="BZ93" s="43"/>
      <c r="CA93" s="43"/>
      <c r="CB93" s="139"/>
      <c r="CC93" s="43"/>
      <c r="CD93" s="43"/>
      <c r="CE93" s="139"/>
      <c r="CF93" s="43"/>
      <c r="CG93" s="43"/>
      <c r="CH93" s="139"/>
      <c r="CI93" s="43"/>
      <c r="CJ93" s="43"/>
      <c r="CK93" s="139"/>
    </row>
    <row r="94" ht="15.75" customHeight="1">
      <c r="A94" s="43"/>
      <c r="B94" s="43"/>
      <c r="C94" s="15"/>
      <c r="D94" s="15"/>
      <c r="E94" s="146"/>
      <c r="F94" s="139"/>
      <c r="G94" s="15"/>
      <c r="H94" s="43"/>
      <c r="I94" s="43"/>
      <c r="J94" s="43"/>
      <c r="K94" s="61"/>
      <c r="L94" s="139"/>
      <c r="M94" s="139"/>
      <c r="N94" s="145"/>
      <c r="O94" s="43"/>
      <c r="P94" s="88"/>
      <c r="Q94" s="43"/>
      <c r="R94" s="88"/>
      <c r="S94" s="40"/>
      <c r="T94" s="260"/>
      <c r="U94" s="40"/>
      <c r="V94" s="40"/>
      <c r="W94" s="40"/>
      <c r="X94" s="40"/>
      <c r="Y94" s="40"/>
      <c r="Z94" s="40"/>
      <c r="AA94" s="40"/>
      <c r="AB94" s="40"/>
      <c r="AC94" s="139"/>
      <c r="AD94" s="139"/>
      <c r="AE94" s="40"/>
      <c r="AF94" s="40"/>
      <c r="AG94" s="139"/>
      <c r="AH94" s="139"/>
      <c r="AI94" s="139"/>
      <c r="AJ94" s="43"/>
      <c r="AK94" s="43"/>
      <c r="AL94" s="139"/>
      <c r="AM94" s="43"/>
      <c r="AN94" s="43"/>
      <c r="AO94" s="139"/>
      <c r="AP94" s="43"/>
      <c r="AQ94" s="43"/>
      <c r="AR94" s="139"/>
      <c r="AS94" s="43"/>
      <c r="AT94" s="43"/>
      <c r="AU94" s="139"/>
      <c r="AV94" s="43"/>
      <c r="AW94" s="43"/>
      <c r="AX94" s="139"/>
      <c r="AY94" s="139"/>
      <c r="AZ94" s="43"/>
      <c r="BA94" s="139"/>
      <c r="BB94" s="139"/>
      <c r="BC94" s="139"/>
      <c r="BD94" s="139"/>
      <c r="BE94" s="139"/>
      <c r="BF94" s="43"/>
      <c r="BG94" s="139"/>
      <c r="BH94" s="139"/>
      <c r="BI94" s="43"/>
      <c r="BJ94" s="139"/>
      <c r="BK94" s="43"/>
      <c r="BL94" s="139"/>
      <c r="BM94" s="139"/>
      <c r="BN94" s="43"/>
      <c r="BO94" s="139"/>
      <c r="BP94" s="139"/>
      <c r="BQ94" s="43"/>
      <c r="BR94" s="43"/>
      <c r="BS94" s="139"/>
      <c r="BT94" s="43"/>
      <c r="BU94" s="43"/>
      <c r="BV94" s="139"/>
      <c r="BW94" s="43"/>
      <c r="BX94" s="43"/>
      <c r="BY94" s="139"/>
      <c r="BZ94" s="43"/>
      <c r="CA94" s="43"/>
      <c r="CB94" s="139"/>
      <c r="CC94" s="43"/>
      <c r="CD94" s="43"/>
      <c r="CE94" s="139"/>
      <c r="CF94" s="43"/>
      <c r="CG94" s="43"/>
      <c r="CH94" s="139"/>
      <c r="CI94" s="43"/>
      <c r="CJ94" s="43"/>
      <c r="CK94" s="139"/>
    </row>
    <row r="95" ht="15.75" customHeight="1">
      <c r="A95" s="43"/>
      <c r="B95" s="43"/>
      <c r="C95" s="15"/>
      <c r="D95" s="15"/>
      <c r="E95" s="146"/>
      <c r="F95" s="139"/>
      <c r="G95" s="15"/>
      <c r="H95" s="43"/>
      <c r="I95" s="43"/>
      <c r="J95" s="43"/>
      <c r="K95" s="61"/>
      <c r="L95" s="139"/>
      <c r="M95" s="139"/>
      <c r="N95" s="145"/>
      <c r="O95" s="43"/>
      <c r="P95" s="88"/>
      <c r="Q95" s="43"/>
      <c r="R95" s="88"/>
      <c r="S95" s="40"/>
      <c r="T95" s="260"/>
      <c r="U95" s="40"/>
      <c r="V95" s="40"/>
      <c r="W95" s="40"/>
      <c r="X95" s="40"/>
      <c r="Y95" s="40"/>
      <c r="Z95" s="40"/>
      <c r="AA95" s="40"/>
      <c r="AB95" s="40"/>
      <c r="AC95" s="139"/>
      <c r="AD95" s="139"/>
      <c r="AE95" s="40"/>
      <c r="AF95" s="40"/>
      <c r="AG95" s="139"/>
      <c r="AH95" s="139"/>
      <c r="AI95" s="139"/>
      <c r="AJ95" s="43"/>
      <c r="AK95" s="43"/>
      <c r="AL95" s="139"/>
      <c r="AM95" s="43"/>
      <c r="AN95" s="43"/>
      <c r="AO95" s="139"/>
      <c r="AP95" s="43"/>
      <c r="AQ95" s="43"/>
      <c r="AR95" s="139"/>
      <c r="AS95" s="43"/>
      <c r="AT95" s="43"/>
      <c r="AU95" s="139"/>
      <c r="AV95" s="43"/>
      <c r="AW95" s="43"/>
      <c r="AX95" s="139"/>
      <c r="AY95" s="139"/>
      <c r="AZ95" s="43"/>
      <c r="BA95" s="139"/>
      <c r="BB95" s="139"/>
      <c r="BC95" s="139"/>
      <c r="BD95" s="139"/>
      <c r="BE95" s="139"/>
      <c r="BF95" s="43"/>
      <c r="BG95" s="139"/>
      <c r="BH95" s="139"/>
      <c r="BI95" s="43"/>
      <c r="BJ95" s="139"/>
      <c r="BK95" s="43"/>
      <c r="BL95" s="139"/>
      <c r="BM95" s="139"/>
      <c r="BN95" s="43"/>
      <c r="BO95" s="139"/>
      <c r="BP95" s="139"/>
      <c r="BQ95" s="43"/>
      <c r="BR95" s="43"/>
      <c r="BS95" s="139"/>
      <c r="BT95" s="43"/>
      <c r="BU95" s="43"/>
      <c r="BV95" s="139"/>
      <c r="BW95" s="43"/>
      <c r="BX95" s="43"/>
      <c r="BY95" s="139"/>
      <c r="BZ95" s="43"/>
      <c r="CA95" s="43"/>
      <c r="CB95" s="139"/>
      <c r="CC95" s="43"/>
      <c r="CD95" s="43"/>
      <c r="CE95" s="139"/>
      <c r="CF95" s="43"/>
      <c r="CG95" s="43"/>
      <c r="CH95" s="139"/>
      <c r="CI95" s="43"/>
      <c r="CJ95" s="43"/>
      <c r="CK95" s="139"/>
    </row>
    <row r="96" ht="15.75" customHeight="1">
      <c r="A96" s="43"/>
      <c r="B96" s="43"/>
      <c r="C96" s="15"/>
      <c r="D96" s="15"/>
      <c r="E96" s="146"/>
      <c r="F96" s="139"/>
      <c r="G96" s="15"/>
      <c r="H96" s="43"/>
      <c r="I96" s="43"/>
      <c r="J96" s="43"/>
      <c r="K96" s="61"/>
      <c r="L96" s="139"/>
      <c r="M96" s="139"/>
      <c r="N96" s="145"/>
      <c r="O96" s="43"/>
      <c r="P96" s="88"/>
      <c r="Q96" s="43"/>
      <c r="R96" s="88"/>
      <c r="S96" s="40"/>
      <c r="T96" s="260"/>
      <c r="U96" s="40"/>
      <c r="V96" s="40"/>
      <c r="W96" s="40"/>
      <c r="X96" s="40"/>
      <c r="Y96" s="40"/>
      <c r="Z96" s="40"/>
      <c r="AA96" s="40"/>
      <c r="AB96" s="40"/>
      <c r="AC96" s="139"/>
      <c r="AD96" s="139"/>
      <c r="AE96" s="40"/>
      <c r="AF96" s="40"/>
      <c r="AG96" s="139"/>
      <c r="AH96" s="139"/>
      <c r="AI96" s="139"/>
      <c r="AJ96" s="43"/>
      <c r="AK96" s="43"/>
      <c r="AL96" s="139"/>
      <c r="AM96" s="43"/>
      <c r="AN96" s="43"/>
      <c r="AO96" s="139"/>
      <c r="AP96" s="43"/>
      <c r="AQ96" s="43"/>
      <c r="AR96" s="139"/>
      <c r="AS96" s="43"/>
      <c r="AT96" s="43"/>
      <c r="AU96" s="139"/>
      <c r="AV96" s="43"/>
      <c r="AW96" s="43"/>
      <c r="AX96" s="139"/>
      <c r="AY96" s="139"/>
      <c r="AZ96" s="43"/>
      <c r="BA96" s="139"/>
      <c r="BB96" s="139"/>
      <c r="BC96" s="139"/>
      <c r="BD96" s="139"/>
      <c r="BE96" s="139"/>
      <c r="BF96" s="43"/>
      <c r="BG96" s="139"/>
      <c r="BH96" s="139"/>
      <c r="BI96" s="43"/>
      <c r="BJ96" s="139"/>
      <c r="BK96" s="43"/>
      <c r="BL96" s="139"/>
      <c r="BM96" s="139"/>
      <c r="BN96" s="43"/>
      <c r="BO96" s="139"/>
      <c r="BP96" s="139"/>
      <c r="BQ96" s="43"/>
      <c r="BR96" s="43"/>
      <c r="BS96" s="139"/>
      <c r="BT96" s="43"/>
      <c r="BU96" s="43"/>
      <c r="BV96" s="139"/>
      <c r="BW96" s="43"/>
      <c r="BX96" s="43"/>
      <c r="BY96" s="139"/>
      <c r="BZ96" s="43"/>
      <c r="CA96" s="43"/>
      <c r="CB96" s="139"/>
      <c r="CC96" s="43"/>
      <c r="CD96" s="43"/>
      <c r="CE96" s="139"/>
      <c r="CF96" s="43"/>
      <c r="CG96" s="43"/>
      <c r="CH96" s="139"/>
      <c r="CI96" s="43"/>
      <c r="CJ96" s="43"/>
      <c r="CK96" s="139"/>
    </row>
    <row r="97" ht="15.75" customHeight="1">
      <c r="A97" s="43"/>
      <c r="B97" s="43"/>
      <c r="C97" s="15"/>
      <c r="D97" s="15"/>
      <c r="E97" s="146"/>
      <c r="F97" s="139"/>
      <c r="G97" s="15"/>
      <c r="H97" s="43"/>
      <c r="I97" s="43"/>
      <c r="J97" s="43"/>
      <c r="K97" s="61"/>
      <c r="L97" s="139"/>
      <c r="M97" s="139"/>
      <c r="N97" s="145"/>
      <c r="O97" s="43"/>
      <c r="P97" s="88"/>
      <c r="Q97" s="43"/>
      <c r="R97" s="88"/>
      <c r="S97" s="40"/>
      <c r="T97" s="260"/>
      <c r="U97" s="40"/>
      <c r="V97" s="40"/>
      <c r="W97" s="40"/>
      <c r="X97" s="40"/>
      <c r="Y97" s="40"/>
      <c r="Z97" s="40"/>
      <c r="AA97" s="40"/>
      <c r="AB97" s="40"/>
      <c r="AC97" s="139"/>
      <c r="AD97" s="139"/>
      <c r="AE97" s="40"/>
      <c r="AF97" s="40"/>
      <c r="AG97" s="139"/>
      <c r="AH97" s="139"/>
      <c r="AI97" s="139"/>
      <c r="AJ97" s="43"/>
      <c r="AK97" s="43"/>
      <c r="AL97" s="139"/>
      <c r="AM97" s="43"/>
      <c r="AN97" s="43"/>
      <c r="AO97" s="139"/>
      <c r="AP97" s="43"/>
      <c r="AQ97" s="43"/>
      <c r="AR97" s="139"/>
      <c r="AS97" s="43"/>
      <c r="AT97" s="43"/>
      <c r="AU97" s="139"/>
      <c r="AV97" s="43"/>
      <c r="AW97" s="43"/>
      <c r="AX97" s="139"/>
      <c r="AY97" s="139"/>
      <c r="AZ97" s="43"/>
      <c r="BA97" s="139"/>
      <c r="BB97" s="139"/>
      <c r="BC97" s="139"/>
      <c r="BD97" s="139"/>
      <c r="BE97" s="139"/>
      <c r="BF97" s="43"/>
      <c r="BG97" s="139"/>
      <c r="BH97" s="139"/>
      <c r="BI97" s="43"/>
      <c r="BJ97" s="139"/>
      <c r="BK97" s="43"/>
      <c r="BL97" s="139"/>
      <c r="BM97" s="139"/>
      <c r="BN97" s="43"/>
      <c r="BO97" s="139"/>
      <c r="BP97" s="139"/>
      <c r="BQ97" s="43"/>
      <c r="BR97" s="43"/>
      <c r="BS97" s="139"/>
      <c r="BT97" s="43"/>
      <c r="BU97" s="43"/>
      <c r="BV97" s="139"/>
      <c r="BW97" s="43"/>
      <c r="BX97" s="43"/>
      <c r="BY97" s="139"/>
      <c r="BZ97" s="43"/>
      <c r="CA97" s="43"/>
      <c r="CB97" s="139"/>
      <c r="CC97" s="43"/>
      <c r="CD97" s="43"/>
      <c r="CE97" s="139"/>
      <c r="CF97" s="43"/>
      <c r="CG97" s="43"/>
      <c r="CH97" s="139"/>
      <c r="CI97" s="43"/>
      <c r="CJ97" s="43"/>
      <c r="CK97" s="139"/>
    </row>
    <row r="98" ht="15.75" customHeight="1">
      <c r="A98" s="43"/>
      <c r="B98" s="43"/>
      <c r="C98" s="15"/>
      <c r="D98" s="15"/>
      <c r="E98" s="146"/>
      <c r="F98" s="139"/>
      <c r="G98" s="15"/>
      <c r="H98" s="43"/>
      <c r="I98" s="43"/>
      <c r="J98" s="43"/>
      <c r="K98" s="61"/>
      <c r="L98" s="139"/>
      <c r="M98" s="139"/>
      <c r="N98" s="145"/>
      <c r="O98" s="43"/>
      <c r="P98" s="88"/>
      <c r="Q98" s="43"/>
      <c r="R98" s="88"/>
      <c r="S98" s="40"/>
      <c r="T98" s="260"/>
      <c r="U98" s="40"/>
      <c r="V98" s="40"/>
      <c r="W98" s="40"/>
      <c r="X98" s="40"/>
      <c r="Y98" s="40"/>
      <c r="Z98" s="40"/>
      <c r="AA98" s="40"/>
      <c r="AB98" s="40"/>
      <c r="AC98" s="139"/>
      <c r="AD98" s="139"/>
      <c r="AE98" s="40"/>
      <c r="AF98" s="40"/>
      <c r="AG98" s="139"/>
      <c r="AH98" s="139"/>
      <c r="AI98" s="139"/>
      <c r="AJ98" s="43"/>
      <c r="AK98" s="43"/>
      <c r="AL98" s="139"/>
      <c r="AM98" s="43"/>
      <c r="AN98" s="43"/>
      <c r="AO98" s="139"/>
      <c r="AP98" s="43"/>
      <c r="AQ98" s="43"/>
      <c r="AR98" s="139"/>
      <c r="AS98" s="43"/>
      <c r="AT98" s="43"/>
      <c r="AU98" s="139"/>
      <c r="AV98" s="43"/>
      <c r="AW98" s="43"/>
      <c r="AX98" s="139"/>
      <c r="AY98" s="139"/>
      <c r="AZ98" s="43"/>
      <c r="BA98" s="139"/>
      <c r="BB98" s="139"/>
      <c r="BC98" s="139"/>
      <c r="BD98" s="139"/>
      <c r="BE98" s="139"/>
      <c r="BF98" s="43"/>
      <c r="BG98" s="139"/>
      <c r="BH98" s="139"/>
      <c r="BI98" s="43"/>
      <c r="BJ98" s="139"/>
      <c r="BK98" s="43"/>
      <c r="BL98" s="139"/>
      <c r="BM98" s="139"/>
      <c r="BN98" s="43"/>
      <c r="BO98" s="139"/>
      <c r="BP98" s="139"/>
      <c r="BQ98" s="43"/>
      <c r="BR98" s="43"/>
      <c r="BS98" s="139"/>
      <c r="BT98" s="43"/>
      <c r="BU98" s="43"/>
      <c r="BV98" s="139"/>
      <c r="BW98" s="43"/>
      <c r="BX98" s="43"/>
      <c r="BY98" s="139"/>
      <c r="BZ98" s="43"/>
      <c r="CA98" s="43"/>
      <c r="CB98" s="139"/>
      <c r="CC98" s="43"/>
      <c r="CD98" s="43"/>
      <c r="CE98" s="139"/>
      <c r="CF98" s="43"/>
      <c r="CG98" s="43"/>
      <c r="CH98" s="139"/>
      <c r="CI98" s="43"/>
      <c r="CJ98" s="43"/>
      <c r="CK98" s="139"/>
    </row>
    <row r="99" ht="15.75" customHeight="1">
      <c r="A99" s="43"/>
      <c r="B99" s="43"/>
      <c r="C99" s="15"/>
      <c r="D99" s="15"/>
      <c r="E99" s="146"/>
      <c r="F99" s="139"/>
      <c r="G99" s="15"/>
      <c r="H99" s="43"/>
      <c r="I99" s="43"/>
      <c r="J99" s="43"/>
      <c r="K99" s="61"/>
      <c r="L99" s="139"/>
      <c r="M99" s="139"/>
      <c r="N99" s="145"/>
      <c r="O99" s="43"/>
      <c r="P99" s="88"/>
      <c r="Q99" s="43"/>
      <c r="R99" s="88"/>
      <c r="S99" s="40"/>
      <c r="T99" s="260"/>
      <c r="U99" s="40"/>
      <c r="V99" s="40"/>
      <c r="W99" s="40"/>
      <c r="X99" s="40"/>
      <c r="Y99" s="40"/>
      <c r="Z99" s="40"/>
      <c r="AA99" s="40"/>
      <c r="AB99" s="40"/>
      <c r="AC99" s="139"/>
      <c r="AD99" s="139"/>
      <c r="AE99" s="40"/>
      <c r="AF99" s="40"/>
      <c r="AG99" s="139"/>
      <c r="AH99" s="139"/>
      <c r="AI99" s="139"/>
      <c r="AJ99" s="43"/>
      <c r="AK99" s="43"/>
      <c r="AL99" s="139"/>
      <c r="AM99" s="43"/>
      <c r="AN99" s="43"/>
      <c r="AO99" s="139"/>
      <c r="AP99" s="43"/>
      <c r="AQ99" s="43"/>
      <c r="AR99" s="139"/>
      <c r="AS99" s="43"/>
      <c r="AT99" s="43"/>
      <c r="AU99" s="139"/>
      <c r="AV99" s="43"/>
      <c r="AW99" s="43"/>
      <c r="AX99" s="139"/>
      <c r="AY99" s="139"/>
      <c r="AZ99" s="43"/>
      <c r="BA99" s="139"/>
      <c r="BB99" s="139"/>
      <c r="BC99" s="139"/>
      <c r="BD99" s="139"/>
      <c r="BE99" s="139"/>
      <c r="BF99" s="43"/>
      <c r="BG99" s="139"/>
      <c r="BH99" s="139"/>
      <c r="BI99" s="43"/>
      <c r="BJ99" s="139"/>
      <c r="BK99" s="43"/>
      <c r="BL99" s="139"/>
      <c r="BM99" s="139"/>
      <c r="BN99" s="43"/>
      <c r="BO99" s="139"/>
      <c r="BP99" s="139"/>
      <c r="BQ99" s="43"/>
      <c r="BR99" s="43"/>
      <c r="BS99" s="139"/>
      <c r="BT99" s="43"/>
      <c r="BU99" s="43"/>
      <c r="BV99" s="139"/>
      <c r="BW99" s="43"/>
      <c r="BX99" s="43"/>
      <c r="BY99" s="139"/>
      <c r="BZ99" s="43"/>
      <c r="CA99" s="43"/>
      <c r="CB99" s="139"/>
      <c r="CC99" s="43"/>
      <c r="CD99" s="43"/>
      <c r="CE99" s="139"/>
      <c r="CF99" s="43"/>
      <c r="CG99" s="43"/>
      <c r="CH99" s="139"/>
      <c r="CI99" s="43"/>
      <c r="CJ99" s="43"/>
      <c r="CK99" s="139"/>
    </row>
    <row r="100" ht="15.75" customHeight="1">
      <c r="A100" s="43"/>
      <c r="B100" s="43"/>
      <c r="C100" s="15"/>
      <c r="D100" s="15"/>
      <c r="E100" s="146"/>
      <c r="F100" s="139"/>
      <c r="G100" s="15"/>
      <c r="H100" s="43"/>
      <c r="I100" s="43"/>
      <c r="J100" s="43"/>
      <c r="K100" s="61"/>
      <c r="L100" s="139"/>
      <c r="M100" s="139"/>
      <c r="N100" s="145"/>
      <c r="O100" s="43"/>
      <c r="P100" s="88"/>
      <c r="Q100" s="43"/>
      <c r="R100" s="88"/>
      <c r="S100" s="40"/>
      <c r="T100" s="260"/>
      <c r="U100" s="40"/>
      <c r="V100" s="40"/>
      <c r="W100" s="40"/>
      <c r="X100" s="40"/>
      <c r="Y100" s="40"/>
      <c r="Z100" s="40"/>
      <c r="AA100" s="40"/>
      <c r="AB100" s="40"/>
      <c r="AC100" s="139"/>
      <c r="AD100" s="139"/>
      <c r="AE100" s="40"/>
      <c r="AF100" s="40"/>
      <c r="AG100" s="139"/>
      <c r="AH100" s="139"/>
      <c r="AI100" s="139"/>
      <c r="AJ100" s="43"/>
      <c r="AK100" s="43"/>
      <c r="AL100" s="139"/>
      <c r="AM100" s="43"/>
      <c r="AN100" s="43"/>
      <c r="AO100" s="139"/>
      <c r="AP100" s="43"/>
      <c r="AQ100" s="43"/>
      <c r="AR100" s="139"/>
      <c r="AS100" s="43"/>
      <c r="AT100" s="43"/>
      <c r="AU100" s="139"/>
      <c r="AV100" s="43"/>
      <c r="AW100" s="43"/>
      <c r="AX100" s="139"/>
      <c r="AY100" s="139"/>
      <c r="AZ100" s="43"/>
      <c r="BA100" s="139"/>
      <c r="BB100" s="139"/>
      <c r="BC100" s="139"/>
      <c r="BD100" s="139"/>
      <c r="BE100" s="139"/>
      <c r="BF100" s="43"/>
      <c r="BG100" s="139"/>
      <c r="BH100" s="139"/>
      <c r="BI100" s="43"/>
      <c r="BJ100" s="139"/>
      <c r="BK100" s="43"/>
      <c r="BL100" s="139"/>
      <c r="BM100" s="139"/>
      <c r="BN100" s="43"/>
      <c r="BO100" s="139"/>
      <c r="BP100" s="139"/>
      <c r="BQ100" s="43"/>
      <c r="BR100" s="43"/>
      <c r="BS100" s="139"/>
      <c r="BT100" s="43"/>
      <c r="BU100" s="43"/>
      <c r="BV100" s="139"/>
      <c r="BW100" s="43"/>
      <c r="BX100" s="43"/>
      <c r="BY100" s="139"/>
      <c r="BZ100" s="43"/>
      <c r="CA100" s="43"/>
      <c r="CB100" s="139"/>
      <c r="CC100" s="43"/>
      <c r="CD100" s="43"/>
      <c r="CE100" s="139"/>
      <c r="CF100" s="43"/>
      <c r="CG100" s="43"/>
      <c r="CH100" s="139"/>
      <c r="CI100" s="43"/>
      <c r="CJ100" s="43"/>
      <c r="CK100" s="139"/>
    </row>
    <row r="101" ht="15.75" customHeight="1">
      <c r="A101" s="43"/>
      <c r="B101" s="43"/>
      <c r="C101" s="15"/>
      <c r="D101" s="15"/>
      <c r="E101" s="146"/>
      <c r="F101" s="139"/>
      <c r="G101" s="15"/>
      <c r="H101" s="43"/>
      <c r="I101" s="43"/>
      <c r="J101" s="43"/>
      <c r="K101" s="61"/>
      <c r="L101" s="139"/>
      <c r="M101" s="139"/>
      <c r="N101" s="145"/>
      <c r="O101" s="43"/>
      <c r="P101" s="88"/>
      <c r="Q101" s="43"/>
      <c r="R101" s="88"/>
      <c r="S101" s="40"/>
      <c r="T101" s="260"/>
      <c r="U101" s="40"/>
      <c r="V101" s="40"/>
      <c r="W101" s="40"/>
      <c r="X101" s="40"/>
      <c r="Y101" s="40"/>
      <c r="Z101" s="40"/>
      <c r="AA101" s="40"/>
      <c r="AB101" s="40"/>
      <c r="AC101" s="139"/>
      <c r="AD101" s="139"/>
      <c r="AE101" s="40"/>
      <c r="AF101" s="40"/>
      <c r="AG101" s="139"/>
      <c r="AH101" s="139"/>
      <c r="AI101" s="139"/>
      <c r="AJ101" s="43"/>
      <c r="AK101" s="43"/>
      <c r="AL101" s="139"/>
      <c r="AM101" s="43"/>
      <c r="AN101" s="43"/>
      <c r="AO101" s="139"/>
      <c r="AP101" s="43"/>
      <c r="AQ101" s="43"/>
      <c r="AR101" s="139"/>
      <c r="AS101" s="43"/>
      <c r="AT101" s="43"/>
      <c r="AU101" s="139"/>
      <c r="AV101" s="43"/>
      <c r="AW101" s="43"/>
      <c r="AX101" s="139"/>
      <c r="AY101" s="139"/>
      <c r="AZ101" s="43"/>
      <c r="BA101" s="139"/>
      <c r="BB101" s="139"/>
      <c r="BC101" s="139"/>
      <c r="BD101" s="139"/>
      <c r="BE101" s="139"/>
      <c r="BF101" s="43"/>
      <c r="BG101" s="139"/>
      <c r="BH101" s="139"/>
      <c r="BI101" s="43"/>
      <c r="BJ101" s="139"/>
      <c r="BK101" s="43"/>
      <c r="BL101" s="139"/>
      <c r="BM101" s="139"/>
      <c r="BN101" s="43"/>
      <c r="BO101" s="139"/>
      <c r="BP101" s="139"/>
      <c r="BQ101" s="43"/>
      <c r="BR101" s="43"/>
      <c r="BS101" s="139"/>
      <c r="BT101" s="43"/>
      <c r="BU101" s="43"/>
      <c r="BV101" s="139"/>
      <c r="BW101" s="43"/>
      <c r="BX101" s="43"/>
      <c r="BY101" s="139"/>
      <c r="BZ101" s="43"/>
      <c r="CA101" s="43"/>
      <c r="CB101" s="139"/>
      <c r="CC101" s="43"/>
      <c r="CD101" s="43"/>
      <c r="CE101" s="139"/>
      <c r="CF101" s="43"/>
      <c r="CG101" s="43"/>
      <c r="CH101" s="139"/>
      <c r="CI101" s="43"/>
      <c r="CJ101" s="43"/>
      <c r="CK101" s="139"/>
    </row>
    <row r="102" ht="15.75" customHeight="1">
      <c r="A102" s="43"/>
      <c r="B102" s="43"/>
      <c r="C102" s="15"/>
      <c r="D102" s="15"/>
      <c r="E102" s="146"/>
      <c r="F102" s="139"/>
      <c r="G102" s="15"/>
      <c r="H102" s="43"/>
      <c r="I102" s="43"/>
      <c r="J102" s="43"/>
      <c r="K102" s="61"/>
      <c r="L102" s="139"/>
      <c r="M102" s="139"/>
      <c r="N102" s="145"/>
      <c r="O102" s="43"/>
      <c r="P102" s="88"/>
      <c r="Q102" s="43"/>
      <c r="R102" s="88"/>
      <c r="S102" s="40"/>
      <c r="T102" s="260"/>
      <c r="U102" s="40"/>
      <c r="V102" s="40"/>
      <c r="W102" s="40"/>
      <c r="X102" s="40"/>
      <c r="Y102" s="40"/>
      <c r="Z102" s="40"/>
      <c r="AA102" s="40"/>
      <c r="AB102" s="40"/>
      <c r="AC102" s="139"/>
      <c r="AD102" s="139"/>
      <c r="AE102" s="40"/>
      <c r="AF102" s="40"/>
      <c r="AG102" s="139"/>
      <c r="AH102" s="139"/>
      <c r="AI102" s="139"/>
      <c r="AJ102" s="43"/>
      <c r="AK102" s="43"/>
      <c r="AL102" s="139"/>
      <c r="AM102" s="43"/>
      <c r="AN102" s="43"/>
      <c r="AO102" s="139"/>
      <c r="AP102" s="43"/>
      <c r="AQ102" s="43"/>
      <c r="AR102" s="139"/>
      <c r="AS102" s="43"/>
      <c r="AT102" s="43"/>
      <c r="AU102" s="139"/>
      <c r="AV102" s="43"/>
      <c r="AW102" s="43"/>
      <c r="AX102" s="139"/>
      <c r="AY102" s="139"/>
      <c r="AZ102" s="43"/>
      <c r="BA102" s="139"/>
      <c r="BB102" s="139"/>
      <c r="BC102" s="139"/>
      <c r="BD102" s="139"/>
      <c r="BE102" s="139"/>
      <c r="BF102" s="43"/>
      <c r="BG102" s="139"/>
      <c r="BH102" s="139"/>
      <c r="BI102" s="43"/>
      <c r="BJ102" s="139"/>
      <c r="BK102" s="43"/>
      <c r="BL102" s="139"/>
      <c r="BM102" s="139"/>
      <c r="BN102" s="43"/>
      <c r="BO102" s="139"/>
      <c r="BP102" s="139"/>
      <c r="BQ102" s="43"/>
      <c r="BR102" s="43"/>
      <c r="BS102" s="139"/>
      <c r="BT102" s="43"/>
      <c r="BU102" s="43"/>
      <c r="BV102" s="139"/>
      <c r="BW102" s="43"/>
      <c r="BX102" s="43"/>
      <c r="BY102" s="139"/>
      <c r="BZ102" s="43"/>
      <c r="CA102" s="43"/>
      <c r="CB102" s="139"/>
      <c r="CC102" s="43"/>
      <c r="CD102" s="43"/>
      <c r="CE102" s="139"/>
      <c r="CF102" s="43"/>
      <c r="CG102" s="43"/>
      <c r="CH102" s="139"/>
      <c r="CI102" s="43"/>
      <c r="CJ102" s="43"/>
      <c r="CK102" s="139"/>
    </row>
    <row r="103" ht="15.75" customHeight="1">
      <c r="A103" s="43"/>
      <c r="B103" s="43"/>
      <c r="C103" s="15"/>
      <c r="D103" s="15"/>
      <c r="E103" s="146"/>
      <c r="F103" s="139"/>
      <c r="G103" s="15"/>
      <c r="H103" s="43"/>
      <c r="I103" s="43"/>
      <c r="J103" s="43"/>
      <c r="K103" s="61"/>
      <c r="L103" s="139"/>
      <c r="M103" s="139"/>
      <c r="N103" s="145"/>
      <c r="O103" s="43"/>
      <c r="P103" s="88"/>
      <c r="Q103" s="43"/>
      <c r="R103" s="88"/>
      <c r="S103" s="40"/>
      <c r="T103" s="260"/>
      <c r="U103" s="40"/>
      <c r="V103" s="40"/>
      <c r="W103" s="40"/>
      <c r="X103" s="40"/>
      <c r="Y103" s="40"/>
      <c r="Z103" s="40"/>
      <c r="AA103" s="40"/>
      <c r="AB103" s="40"/>
      <c r="AC103" s="139"/>
      <c r="AD103" s="139"/>
      <c r="AE103" s="40"/>
      <c r="AF103" s="40"/>
      <c r="AG103" s="139"/>
      <c r="AH103" s="139"/>
      <c r="AI103" s="139"/>
      <c r="AJ103" s="43"/>
      <c r="AK103" s="43"/>
      <c r="AL103" s="139"/>
      <c r="AM103" s="43"/>
      <c r="AN103" s="43"/>
      <c r="AO103" s="139"/>
      <c r="AP103" s="43"/>
      <c r="AQ103" s="43"/>
      <c r="AR103" s="139"/>
      <c r="AS103" s="43"/>
      <c r="AT103" s="43"/>
      <c r="AU103" s="139"/>
      <c r="AV103" s="43"/>
      <c r="AW103" s="43"/>
      <c r="AX103" s="139"/>
      <c r="AY103" s="139"/>
      <c r="AZ103" s="43"/>
      <c r="BA103" s="139"/>
      <c r="BB103" s="139"/>
      <c r="BC103" s="139"/>
      <c r="BD103" s="139"/>
      <c r="BE103" s="139"/>
      <c r="BF103" s="43"/>
      <c r="BG103" s="139"/>
      <c r="BH103" s="139"/>
      <c r="BI103" s="43"/>
      <c r="BJ103" s="139"/>
      <c r="BK103" s="43"/>
      <c r="BL103" s="139"/>
      <c r="BM103" s="139"/>
      <c r="BN103" s="43"/>
      <c r="BO103" s="139"/>
      <c r="BP103" s="139"/>
      <c r="BQ103" s="43"/>
      <c r="BR103" s="43"/>
      <c r="BS103" s="139"/>
      <c r="BT103" s="43"/>
      <c r="BU103" s="43"/>
      <c r="BV103" s="139"/>
      <c r="BW103" s="43"/>
      <c r="BX103" s="43"/>
      <c r="BY103" s="139"/>
      <c r="BZ103" s="43"/>
      <c r="CA103" s="43"/>
      <c r="CB103" s="139"/>
      <c r="CC103" s="43"/>
      <c r="CD103" s="43"/>
      <c r="CE103" s="139"/>
      <c r="CF103" s="43"/>
      <c r="CG103" s="43"/>
      <c r="CH103" s="139"/>
      <c r="CI103" s="43"/>
      <c r="CJ103" s="43"/>
      <c r="CK103" s="139"/>
    </row>
    <row r="104" ht="15.75" customHeight="1">
      <c r="A104" s="43"/>
      <c r="B104" s="43"/>
      <c r="C104" s="15"/>
      <c r="D104" s="15"/>
      <c r="E104" s="146"/>
      <c r="F104" s="139"/>
      <c r="G104" s="15"/>
      <c r="H104" s="43"/>
      <c r="I104" s="43"/>
      <c r="J104" s="43"/>
      <c r="K104" s="61"/>
      <c r="L104" s="139"/>
      <c r="M104" s="139"/>
      <c r="N104" s="145"/>
      <c r="O104" s="43"/>
      <c r="P104" s="88"/>
      <c r="Q104" s="43"/>
      <c r="R104" s="88"/>
      <c r="S104" s="40"/>
      <c r="T104" s="260"/>
      <c r="U104" s="40"/>
      <c r="V104" s="40"/>
      <c r="W104" s="40"/>
      <c r="X104" s="40"/>
      <c r="Y104" s="40"/>
      <c r="Z104" s="40"/>
      <c r="AA104" s="40"/>
      <c r="AB104" s="40"/>
      <c r="AC104" s="139"/>
      <c r="AD104" s="139"/>
      <c r="AE104" s="40"/>
      <c r="AF104" s="40"/>
      <c r="AG104" s="139"/>
      <c r="AH104" s="139"/>
      <c r="AI104" s="139"/>
      <c r="AJ104" s="43"/>
      <c r="AK104" s="43"/>
      <c r="AL104" s="139"/>
      <c r="AM104" s="43"/>
      <c r="AN104" s="43"/>
      <c r="AO104" s="139"/>
      <c r="AP104" s="43"/>
      <c r="AQ104" s="43"/>
      <c r="AR104" s="139"/>
      <c r="AS104" s="43"/>
      <c r="AT104" s="43"/>
      <c r="AU104" s="139"/>
      <c r="AV104" s="43"/>
      <c r="AW104" s="43"/>
      <c r="AX104" s="139"/>
      <c r="AY104" s="139"/>
      <c r="AZ104" s="43"/>
      <c r="BA104" s="139"/>
      <c r="BB104" s="139"/>
      <c r="BC104" s="139"/>
      <c r="BD104" s="139"/>
      <c r="BE104" s="139"/>
      <c r="BF104" s="43"/>
      <c r="BG104" s="139"/>
      <c r="BH104" s="139"/>
      <c r="BI104" s="43"/>
      <c r="BJ104" s="139"/>
      <c r="BK104" s="43"/>
      <c r="BL104" s="139"/>
      <c r="BM104" s="139"/>
      <c r="BN104" s="43"/>
      <c r="BO104" s="139"/>
      <c r="BP104" s="139"/>
      <c r="BQ104" s="43"/>
      <c r="BR104" s="43"/>
      <c r="BS104" s="139"/>
      <c r="BT104" s="43"/>
      <c r="BU104" s="43"/>
      <c r="BV104" s="139"/>
      <c r="BW104" s="43"/>
      <c r="BX104" s="43"/>
      <c r="BY104" s="139"/>
      <c r="BZ104" s="43"/>
      <c r="CA104" s="43"/>
      <c r="CB104" s="139"/>
      <c r="CC104" s="43"/>
      <c r="CD104" s="43"/>
      <c r="CE104" s="139"/>
      <c r="CF104" s="43"/>
      <c r="CG104" s="43"/>
      <c r="CH104" s="139"/>
      <c r="CI104" s="43"/>
      <c r="CJ104" s="43"/>
      <c r="CK104" s="139"/>
    </row>
    <row r="105" ht="15.75" customHeight="1">
      <c r="A105" s="43"/>
      <c r="B105" s="43"/>
      <c r="C105" s="15"/>
      <c r="D105" s="15"/>
      <c r="E105" s="146"/>
      <c r="F105" s="139"/>
      <c r="G105" s="15"/>
      <c r="H105" s="43"/>
      <c r="I105" s="43"/>
      <c r="J105" s="43"/>
      <c r="K105" s="61"/>
      <c r="L105" s="139"/>
      <c r="M105" s="139"/>
      <c r="N105" s="145"/>
      <c r="O105" s="43"/>
      <c r="P105" s="88"/>
      <c r="Q105" s="43"/>
      <c r="R105" s="88"/>
      <c r="S105" s="40"/>
      <c r="T105" s="260"/>
      <c r="U105" s="40"/>
      <c r="V105" s="40"/>
      <c r="W105" s="40"/>
      <c r="X105" s="40"/>
      <c r="Y105" s="40"/>
      <c r="Z105" s="40"/>
      <c r="AA105" s="40"/>
      <c r="AB105" s="40"/>
      <c r="AC105" s="139"/>
      <c r="AD105" s="139"/>
      <c r="AE105" s="40"/>
      <c r="AF105" s="40"/>
      <c r="AG105" s="139"/>
      <c r="AH105" s="139"/>
      <c r="AI105" s="139"/>
      <c r="AJ105" s="43"/>
      <c r="AK105" s="43"/>
      <c r="AL105" s="139"/>
      <c r="AM105" s="43"/>
      <c r="AN105" s="43"/>
      <c r="AO105" s="139"/>
      <c r="AP105" s="43"/>
      <c r="AQ105" s="43"/>
      <c r="AR105" s="139"/>
      <c r="AS105" s="43"/>
      <c r="AT105" s="43"/>
      <c r="AU105" s="139"/>
      <c r="AV105" s="43"/>
      <c r="AW105" s="43"/>
      <c r="AX105" s="139"/>
      <c r="AY105" s="139"/>
      <c r="AZ105" s="43"/>
      <c r="BA105" s="139"/>
      <c r="BB105" s="139"/>
      <c r="BC105" s="139"/>
      <c r="BD105" s="139"/>
      <c r="BE105" s="139"/>
      <c r="BF105" s="43"/>
      <c r="BG105" s="139"/>
      <c r="BH105" s="139"/>
      <c r="BI105" s="43"/>
      <c r="BJ105" s="139"/>
      <c r="BK105" s="43"/>
      <c r="BL105" s="139"/>
      <c r="BM105" s="139"/>
      <c r="BN105" s="43"/>
      <c r="BO105" s="139"/>
      <c r="BP105" s="139"/>
      <c r="BQ105" s="43"/>
      <c r="BR105" s="43"/>
      <c r="BS105" s="139"/>
      <c r="BT105" s="43"/>
      <c r="BU105" s="43"/>
      <c r="BV105" s="139"/>
      <c r="BW105" s="43"/>
      <c r="BX105" s="43"/>
      <c r="BY105" s="139"/>
      <c r="BZ105" s="43"/>
      <c r="CA105" s="43"/>
      <c r="CB105" s="139"/>
      <c r="CC105" s="43"/>
      <c r="CD105" s="43"/>
      <c r="CE105" s="139"/>
      <c r="CF105" s="43"/>
      <c r="CG105" s="43"/>
      <c r="CH105" s="139"/>
      <c r="CI105" s="43"/>
      <c r="CJ105" s="43"/>
      <c r="CK105" s="139"/>
    </row>
    <row r="106" ht="15.75" customHeight="1">
      <c r="A106" s="43"/>
      <c r="B106" s="43"/>
      <c r="C106" s="15"/>
      <c r="D106" s="15"/>
      <c r="E106" s="146"/>
      <c r="F106" s="139"/>
      <c r="G106" s="15"/>
      <c r="H106" s="43"/>
      <c r="I106" s="43"/>
      <c r="J106" s="43"/>
      <c r="K106" s="61"/>
      <c r="L106" s="139"/>
      <c r="M106" s="139"/>
      <c r="N106" s="145"/>
      <c r="O106" s="43"/>
      <c r="P106" s="88"/>
      <c r="Q106" s="43"/>
      <c r="R106" s="88"/>
      <c r="S106" s="40"/>
      <c r="T106" s="260"/>
      <c r="U106" s="40"/>
      <c r="V106" s="40"/>
      <c r="W106" s="40"/>
      <c r="X106" s="40"/>
      <c r="Y106" s="40"/>
      <c r="Z106" s="40"/>
      <c r="AA106" s="40"/>
      <c r="AB106" s="40"/>
      <c r="AC106" s="139"/>
      <c r="AD106" s="139"/>
      <c r="AE106" s="40"/>
      <c r="AF106" s="40"/>
      <c r="AG106" s="139"/>
      <c r="AH106" s="139"/>
      <c r="AI106" s="139"/>
      <c r="AJ106" s="43"/>
      <c r="AK106" s="43"/>
      <c r="AL106" s="139"/>
      <c r="AM106" s="43"/>
      <c r="AN106" s="43"/>
      <c r="AO106" s="139"/>
      <c r="AP106" s="43"/>
      <c r="AQ106" s="43"/>
      <c r="AR106" s="139"/>
      <c r="AS106" s="43"/>
      <c r="AT106" s="43"/>
      <c r="AU106" s="139"/>
      <c r="AV106" s="43"/>
      <c r="AW106" s="43"/>
      <c r="AX106" s="139"/>
      <c r="AY106" s="139"/>
      <c r="AZ106" s="43"/>
      <c r="BA106" s="139"/>
      <c r="BB106" s="139"/>
      <c r="BC106" s="139"/>
      <c r="BD106" s="139"/>
      <c r="BE106" s="139"/>
      <c r="BF106" s="43"/>
      <c r="BG106" s="139"/>
      <c r="BH106" s="139"/>
      <c r="BI106" s="43"/>
      <c r="BJ106" s="139"/>
      <c r="BK106" s="43"/>
      <c r="BL106" s="139"/>
      <c r="BM106" s="139"/>
      <c r="BN106" s="43"/>
      <c r="BO106" s="139"/>
      <c r="BP106" s="139"/>
      <c r="BQ106" s="43"/>
      <c r="BR106" s="43"/>
      <c r="BS106" s="139"/>
      <c r="BT106" s="43"/>
      <c r="BU106" s="43"/>
      <c r="BV106" s="139"/>
      <c r="BW106" s="43"/>
      <c r="BX106" s="43"/>
      <c r="BY106" s="139"/>
      <c r="BZ106" s="43"/>
      <c r="CA106" s="43"/>
      <c r="CB106" s="139"/>
      <c r="CC106" s="43"/>
      <c r="CD106" s="43"/>
      <c r="CE106" s="139"/>
      <c r="CF106" s="43"/>
      <c r="CG106" s="43"/>
      <c r="CH106" s="139"/>
      <c r="CI106" s="43"/>
      <c r="CJ106" s="43"/>
      <c r="CK106" s="139"/>
    </row>
    <row r="107" ht="15.75" customHeight="1">
      <c r="A107" s="43"/>
      <c r="B107" s="43"/>
      <c r="C107" s="15"/>
      <c r="D107" s="15"/>
      <c r="E107" s="146"/>
      <c r="F107" s="139"/>
      <c r="G107" s="15"/>
      <c r="H107" s="43"/>
      <c r="I107" s="43"/>
      <c r="J107" s="43"/>
      <c r="K107" s="61"/>
      <c r="L107" s="139"/>
      <c r="M107" s="139"/>
      <c r="N107" s="145"/>
      <c r="O107" s="43"/>
      <c r="P107" s="88"/>
      <c r="Q107" s="43"/>
      <c r="R107" s="88"/>
      <c r="S107" s="40"/>
      <c r="T107" s="260"/>
      <c r="U107" s="40"/>
      <c r="V107" s="40"/>
      <c r="W107" s="40"/>
      <c r="X107" s="40"/>
      <c r="Y107" s="40"/>
      <c r="Z107" s="40"/>
      <c r="AA107" s="40"/>
      <c r="AB107" s="40"/>
      <c r="AC107" s="139"/>
      <c r="AD107" s="139"/>
      <c r="AE107" s="40"/>
      <c r="AF107" s="40"/>
      <c r="AG107" s="139"/>
      <c r="AH107" s="139"/>
      <c r="AI107" s="139"/>
      <c r="AJ107" s="43"/>
      <c r="AK107" s="43"/>
      <c r="AL107" s="139"/>
      <c r="AM107" s="43"/>
      <c r="AN107" s="43"/>
      <c r="AO107" s="139"/>
      <c r="AP107" s="43"/>
      <c r="AQ107" s="43"/>
      <c r="AR107" s="139"/>
      <c r="AS107" s="43"/>
      <c r="AT107" s="43"/>
      <c r="AU107" s="139"/>
      <c r="AV107" s="43"/>
      <c r="AW107" s="43"/>
      <c r="AX107" s="139"/>
      <c r="AY107" s="139"/>
      <c r="AZ107" s="43"/>
      <c r="BA107" s="139"/>
      <c r="BB107" s="139"/>
      <c r="BC107" s="139"/>
      <c r="BD107" s="139"/>
      <c r="BE107" s="139"/>
      <c r="BF107" s="43"/>
      <c r="BG107" s="139"/>
      <c r="BH107" s="139"/>
      <c r="BI107" s="43"/>
      <c r="BJ107" s="139"/>
      <c r="BK107" s="43"/>
      <c r="BL107" s="139"/>
      <c r="BM107" s="139"/>
      <c r="BN107" s="43"/>
      <c r="BO107" s="139"/>
      <c r="BP107" s="139"/>
      <c r="BQ107" s="43"/>
      <c r="BR107" s="43"/>
      <c r="BS107" s="139"/>
      <c r="BT107" s="43"/>
      <c r="BU107" s="43"/>
      <c r="BV107" s="139"/>
      <c r="BW107" s="43"/>
      <c r="BX107" s="43"/>
      <c r="BY107" s="139"/>
      <c r="BZ107" s="43"/>
      <c r="CA107" s="43"/>
      <c r="CB107" s="139"/>
      <c r="CC107" s="43"/>
      <c r="CD107" s="43"/>
      <c r="CE107" s="139"/>
      <c r="CF107" s="43"/>
      <c r="CG107" s="43"/>
      <c r="CH107" s="139"/>
      <c r="CI107" s="43"/>
      <c r="CJ107" s="43"/>
      <c r="CK107" s="139"/>
    </row>
    <row r="108" ht="15.75" customHeight="1">
      <c r="A108" s="43"/>
      <c r="B108" s="43"/>
      <c r="C108" s="15"/>
      <c r="D108" s="15"/>
      <c r="E108" s="146"/>
      <c r="F108" s="139"/>
      <c r="G108" s="15"/>
      <c r="H108" s="43"/>
      <c r="I108" s="43"/>
      <c r="J108" s="43"/>
      <c r="K108" s="61"/>
      <c r="L108" s="139"/>
      <c r="M108" s="139"/>
      <c r="N108" s="145"/>
      <c r="O108" s="43"/>
      <c r="P108" s="88"/>
      <c r="Q108" s="43"/>
      <c r="R108" s="88"/>
      <c r="S108" s="40"/>
      <c r="T108" s="260"/>
      <c r="U108" s="40"/>
      <c r="V108" s="40"/>
      <c r="W108" s="40"/>
      <c r="X108" s="40"/>
      <c r="Y108" s="40"/>
      <c r="Z108" s="40"/>
      <c r="AA108" s="40"/>
      <c r="AB108" s="40"/>
      <c r="AC108" s="139"/>
      <c r="AD108" s="139"/>
      <c r="AE108" s="40"/>
      <c r="AF108" s="40"/>
      <c r="AG108" s="139"/>
      <c r="AH108" s="139"/>
      <c r="AI108" s="139"/>
      <c r="AJ108" s="43"/>
      <c r="AK108" s="43"/>
      <c r="AL108" s="139"/>
      <c r="AM108" s="43"/>
      <c r="AN108" s="43"/>
      <c r="AO108" s="139"/>
      <c r="AP108" s="43"/>
      <c r="AQ108" s="43"/>
      <c r="AR108" s="139"/>
      <c r="AS108" s="43"/>
      <c r="AT108" s="43"/>
      <c r="AU108" s="139"/>
      <c r="AV108" s="43"/>
      <c r="AW108" s="43"/>
      <c r="AX108" s="139"/>
      <c r="AY108" s="139"/>
      <c r="AZ108" s="43"/>
      <c r="BA108" s="139"/>
      <c r="BB108" s="139"/>
      <c r="BC108" s="139"/>
      <c r="BD108" s="139"/>
      <c r="BE108" s="139"/>
      <c r="BF108" s="43"/>
      <c r="BG108" s="139"/>
      <c r="BH108" s="139"/>
      <c r="BI108" s="43"/>
      <c r="BJ108" s="139"/>
      <c r="BK108" s="43"/>
      <c r="BL108" s="139"/>
      <c r="BM108" s="139"/>
      <c r="BN108" s="43"/>
      <c r="BO108" s="139"/>
      <c r="BP108" s="139"/>
      <c r="BQ108" s="43"/>
      <c r="BR108" s="43"/>
      <c r="BS108" s="139"/>
      <c r="BT108" s="43"/>
      <c r="BU108" s="43"/>
      <c r="BV108" s="139"/>
      <c r="BW108" s="43"/>
      <c r="BX108" s="43"/>
      <c r="BY108" s="139"/>
      <c r="BZ108" s="43"/>
      <c r="CA108" s="43"/>
      <c r="CB108" s="139"/>
      <c r="CC108" s="43"/>
      <c r="CD108" s="43"/>
      <c r="CE108" s="139"/>
      <c r="CF108" s="43"/>
      <c r="CG108" s="43"/>
      <c r="CH108" s="139"/>
      <c r="CI108" s="43"/>
      <c r="CJ108" s="43"/>
      <c r="CK108" s="139"/>
    </row>
    <row r="109" ht="15.75" customHeight="1">
      <c r="A109" s="43"/>
      <c r="B109" s="43"/>
      <c r="C109" s="15"/>
      <c r="D109" s="15"/>
      <c r="E109" s="146"/>
      <c r="F109" s="139"/>
      <c r="G109" s="15"/>
      <c r="H109" s="43"/>
      <c r="I109" s="43"/>
      <c r="J109" s="43"/>
      <c r="K109" s="61"/>
      <c r="L109" s="139"/>
      <c r="M109" s="139"/>
      <c r="N109" s="145"/>
      <c r="O109" s="43"/>
      <c r="P109" s="88"/>
      <c r="Q109" s="43"/>
      <c r="R109" s="88"/>
      <c r="S109" s="40"/>
      <c r="T109" s="260"/>
      <c r="U109" s="40"/>
      <c r="V109" s="40"/>
      <c r="W109" s="40"/>
      <c r="X109" s="40"/>
      <c r="Y109" s="40"/>
      <c r="Z109" s="40"/>
      <c r="AA109" s="40"/>
      <c r="AB109" s="40"/>
      <c r="AC109" s="139"/>
      <c r="AD109" s="139"/>
      <c r="AE109" s="40"/>
      <c r="AF109" s="40"/>
      <c r="AG109" s="139"/>
      <c r="AH109" s="139"/>
      <c r="AI109" s="139"/>
      <c r="AJ109" s="43"/>
      <c r="AK109" s="43"/>
      <c r="AL109" s="139"/>
      <c r="AM109" s="43"/>
      <c r="AN109" s="43"/>
      <c r="AO109" s="139"/>
      <c r="AP109" s="43"/>
      <c r="AQ109" s="43"/>
      <c r="AR109" s="139"/>
      <c r="AS109" s="43"/>
      <c r="AT109" s="43"/>
      <c r="AU109" s="139"/>
      <c r="AV109" s="43"/>
      <c r="AW109" s="43"/>
      <c r="AX109" s="139"/>
      <c r="AY109" s="139"/>
      <c r="AZ109" s="43"/>
      <c r="BA109" s="139"/>
      <c r="BB109" s="139"/>
      <c r="BC109" s="139"/>
      <c r="BD109" s="139"/>
      <c r="BE109" s="139"/>
      <c r="BF109" s="43"/>
      <c r="BG109" s="139"/>
      <c r="BH109" s="139"/>
      <c r="BI109" s="43"/>
      <c r="BJ109" s="139"/>
      <c r="BK109" s="43"/>
      <c r="BL109" s="139"/>
      <c r="BM109" s="139"/>
      <c r="BN109" s="43"/>
      <c r="BO109" s="139"/>
      <c r="BP109" s="139"/>
      <c r="BQ109" s="43"/>
      <c r="BR109" s="43"/>
      <c r="BS109" s="139"/>
      <c r="BT109" s="43"/>
      <c r="BU109" s="43"/>
      <c r="BV109" s="139"/>
      <c r="BW109" s="43"/>
      <c r="BX109" s="43"/>
      <c r="BY109" s="139"/>
      <c r="BZ109" s="43"/>
      <c r="CA109" s="43"/>
      <c r="CB109" s="139"/>
      <c r="CC109" s="43"/>
      <c r="CD109" s="43"/>
      <c r="CE109" s="139"/>
      <c r="CF109" s="43"/>
      <c r="CG109" s="43"/>
      <c r="CH109" s="139"/>
      <c r="CI109" s="43"/>
      <c r="CJ109" s="43"/>
      <c r="CK109" s="139"/>
    </row>
    <row r="110" ht="15.75" customHeight="1">
      <c r="A110" s="43"/>
      <c r="B110" s="43"/>
      <c r="C110" s="15"/>
      <c r="D110" s="15"/>
      <c r="E110" s="146"/>
      <c r="F110" s="139"/>
      <c r="G110" s="15"/>
      <c r="H110" s="43"/>
      <c r="I110" s="43"/>
      <c r="J110" s="43"/>
      <c r="K110" s="61"/>
      <c r="L110" s="139"/>
      <c r="M110" s="139"/>
      <c r="N110" s="145"/>
      <c r="O110" s="43"/>
      <c r="P110" s="88"/>
      <c r="Q110" s="43"/>
      <c r="R110" s="88"/>
      <c r="S110" s="40"/>
      <c r="T110" s="260"/>
      <c r="U110" s="40"/>
      <c r="V110" s="40"/>
      <c r="W110" s="40"/>
      <c r="X110" s="40"/>
      <c r="Y110" s="40"/>
      <c r="Z110" s="40"/>
      <c r="AA110" s="40"/>
      <c r="AB110" s="40"/>
      <c r="AC110" s="139"/>
      <c r="AD110" s="139"/>
      <c r="AE110" s="40"/>
      <c r="AF110" s="40"/>
      <c r="AG110" s="139"/>
      <c r="AH110" s="139"/>
      <c r="AI110" s="139"/>
      <c r="AJ110" s="43"/>
      <c r="AK110" s="43"/>
      <c r="AL110" s="139"/>
      <c r="AM110" s="43"/>
      <c r="AN110" s="43"/>
      <c r="AO110" s="139"/>
      <c r="AP110" s="43"/>
      <c r="AQ110" s="43"/>
      <c r="AR110" s="139"/>
      <c r="AS110" s="43"/>
      <c r="AT110" s="43"/>
      <c r="AU110" s="139"/>
      <c r="AV110" s="43"/>
      <c r="AW110" s="43"/>
      <c r="AX110" s="139"/>
      <c r="AY110" s="139"/>
      <c r="AZ110" s="43"/>
      <c r="BA110" s="139"/>
      <c r="BB110" s="139"/>
      <c r="BC110" s="139"/>
      <c r="BD110" s="139"/>
      <c r="BE110" s="139"/>
      <c r="BF110" s="43"/>
      <c r="BG110" s="139"/>
      <c r="BH110" s="139"/>
      <c r="BI110" s="43"/>
      <c r="BJ110" s="139"/>
      <c r="BK110" s="43"/>
      <c r="BL110" s="139"/>
      <c r="BM110" s="139"/>
      <c r="BN110" s="43"/>
      <c r="BO110" s="139"/>
      <c r="BP110" s="139"/>
      <c r="BQ110" s="43"/>
      <c r="BR110" s="43"/>
      <c r="BS110" s="139"/>
      <c r="BT110" s="43"/>
      <c r="BU110" s="43"/>
      <c r="BV110" s="139"/>
      <c r="BW110" s="43"/>
      <c r="BX110" s="43"/>
      <c r="BY110" s="139"/>
      <c r="BZ110" s="43"/>
      <c r="CA110" s="43"/>
      <c r="CB110" s="139"/>
      <c r="CC110" s="43"/>
      <c r="CD110" s="43"/>
      <c r="CE110" s="139"/>
      <c r="CF110" s="43"/>
      <c r="CG110" s="43"/>
      <c r="CH110" s="139"/>
      <c r="CI110" s="43"/>
      <c r="CJ110" s="43"/>
      <c r="CK110" s="139"/>
    </row>
    <row r="111" ht="15.75" customHeight="1">
      <c r="A111" s="43"/>
      <c r="B111" s="43"/>
      <c r="C111" s="15"/>
      <c r="D111" s="15"/>
      <c r="E111" s="146"/>
      <c r="F111" s="139"/>
      <c r="G111" s="15"/>
      <c r="H111" s="43"/>
      <c r="I111" s="43"/>
      <c r="J111" s="43"/>
      <c r="K111" s="61"/>
      <c r="L111" s="139"/>
      <c r="M111" s="139"/>
      <c r="N111" s="145"/>
      <c r="O111" s="43"/>
      <c r="P111" s="88"/>
      <c r="Q111" s="43"/>
      <c r="R111" s="88"/>
      <c r="S111" s="40"/>
      <c r="T111" s="260"/>
      <c r="U111" s="40"/>
      <c r="V111" s="40"/>
      <c r="W111" s="40"/>
      <c r="X111" s="40"/>
      <c r="Y111" s="40"/>
      <c r="Z111" s="40"/>
      <c r="AA111" s="40"/>
      <c r="AB111" s="40"/>
      <c r="AC111" s="139"/>
      <c r="AD111" s="139"/>
      <c r="AE111" s="40"/>
      <c r="AF111" s="40"/>
      <c r="AG111" s="139"/>
      <c r="AH111" s="139"/>
      <c r="AI111" s="139"/>
      <c r="AJ111" s="43"/>
      <c r="AK111" s="43"/>
      <c r="AL111" s="139"/>
      <c r="AM111" s="43"/>
      <c r="AN111" s="43"/>
      <c r="AO111" s="139"/>
      <c r="AP111" s="43"/>
      <c r="AQ111" s="43"/>
      <c r="AR111" s="139"/>
      <c r="AS111" s="43"/>
      <c r="AT111" s="43"/>
      <c r="AU111" s="139"/>
      <c r="AV111" s="43"/>
      <c r="AW111" s="43"/>
      <c r="AX111" s="139"/>
      <c r="AY111" s="139"/>
      <c r="AZ111" s="43"/>
      <c r="BA111" s="139"/>
      <c r="BB111" s="139"/>
      <c r="BC111" s="139"/>
      <c r="BD111" s="139"/>
      <c r="BE111" s="139"/>
      <c r="BF111" s="43"/>
      <c r="BG111" s="139"/>
      <c r="BH111" s="139"/>
      <c r="BI111" s="43"/>
      <c r="BJ111" s="139"/>
      <c r="BK111" s="43"/>
      <c r="BL111" s="139"/>
      <c r="BM111" s="139"/>
      <c r="BN111" s="43"/>
      <c r="BO111" s="139"/>
      <c r="BP111" s="139"/>
      <c r="BQ111" s="43"/>
      <c r="BR111" s="43"/>
      <c r="BS111" s="139"/>
      <c r="BT111" s="43"/>
      <c r="BU111" s="43"/>
      <c r="BV111" s="139"/>
      <c r="BW111" s="43"/>
      <c r="BX111" s="43"/>
      <c r="BY111" s="139"/>
      <c r="BZ111" s="43"/>
      <c r="CA111" s="43"/>
      <c r="CB111" s="139"/>
      <c r="CC111" s="43"/>
      <c r="CD111" s="43"/>
      <c r="CE111" s="139"/>
      <c r="CF111" s="43"/>
      <c r="CG111" s="43"/>
      <c r="CH111" s="139"/>
      <c r="CI111" s="43"/>
      <c r="CJ111" s="43"/>
      <c r="CK111" s="139"/>
    </row>
    <row r="112" ht="15.75" customHeight="1">
      <c r="A112" s="43"/>
      <c r="B112" s="43"/>
      <c r="C112" s="15"/>
      <c r="D112" s="15"/>
      <c r="E112" s="146"/>
      <c r="F112" s="139"/>
      <c r="G112" s="15"/>
      <c r="H112" s="43"/>
      <c r="I112" s="43"/>
      <c r="J112" s="43"/>
      <c r="K112" s="61"/>
      <c r="L112" s="139"/>
      <c r="M112" s="139"/>
      <c r="N112" s="145"/>
      <c r="O112" s="43"/>
      <c r="P112" s="88"/>
      <c r="Q112" s="43"/>
      <c r="R112" s="88"/>
      <c r="S112" s="40"/>
      <c r="T112" s="260"/>
      <c r="U112" s="40"/>
      <c r="V112" s="40"/>
      <c r="W112" s="40"/>
      <c r="X112" s="40"/>
      <c r="Y112" s="40"/>
      <c r="Z112" s="40"/>
      <c r="AA112" s="40"/>
      <c r="AB112" s="40"/>
      <c r="AC112" s="139"/>
      <c r="AD112" s="139"/>
      <c r="AE112" s="40"/>
      <c r="AF112" s="40"/>
      <c r="AG112" s="139"/>
      <c r="AH112" s="139"/>
      <c r="AI112" s="139"/>
      <c r="AJ112" s="43"/>
      <c r="AK112" s="43"/>
      <c r="AL112" s="139"/>
      <c r="AM112" s="43"/>
      <c r="AN112" s="43"/>
      <c r="AO112" s="139"/>
      <c r="AP112" s="43"/>
      <c r="AQ112" s="43"/>
      <c r="AR112" s="139"/>
      <c r="AS112" s="43"/>
      <c r="AT112" s="43"/>
      <c r="AU112" s="139"/>
      <c r="AV112" s="43"/>
      <c r="AW112" s="43"/>
      <c r="AX112" s="139"/>
      <c r="AY112" s="139"/>
      <c r="AZ112" s="43"/>
      <c r="BA112" s="139"/>
      <c r="BB112" s="139"/>
      <c r="BC112" s="139"/>
      <c r="BD112" s="139"/>
      <c r="BE112" s="139"/>
      <c r="BF112" s="43"/>
      <c r="BG112" s="139"/>
      <c r="BH112" s="139"/>
      <c r="BI112" s="43"/>
      <c r="BJ112" s="139"/>
      <c r="BK112" s="43"/>
      <c r="BL112" s="139"/>
      <c r="BM112" s="139"/>
      <c r="BN112" s="43"/>
      <c r="BO112" s="139"/>
      <c r="BP112" s="139"/>
      <c r="BQ112" s="43"/>
      <c r="BR112" s="43"/>
      <c r="BS112" s="139"/>
      <c r="BT112" s="43"/>
      <c r="BU112" s="43"/>
      <c r="BV112" s="139"/>
      <c r="BW112" s="43"/>
      <c r="BX112" s="43"/>
      <c r="BY112" s="139"/>
      <c r="BZ112" s="43"/>
      <c r="CA112" s="43"/>
      <c r="CB112" s="139"/>
      <c r="CC112" s="43"/>
      <c r="CD112" s="43"/>
      <c r="CE112" s="139"/>
      <c r="CF112" s="43"/>
      <c r="CG112" s="43"/>
      <c r="CH112" s="139"/>
      <c r="CI112" s="43"/>
      <c r="CJ112" s="43"/>
      <c r="CK112" s="139"/>
    </row>
    <row r="113" ht="15.75" customHeight="1">
      <c r="A113" s="43"/>
      <c r="B113" s="43"/>
      <c r="C113" s="15"/>
      <c r="D113" s="15"/>
      <c r="E113" s="146"/>
      <c r="F113" s="139"/>
      <c r="G113" s="15"/>
      <c r="H113" s="43"/>
      <c r="I113" s="43"/>
      <c r="J113" s="43"/>
      <c r="K113" s="61"/>
      <c r="L113" s="139"/>
      <c r="M113" s="139"/>
      <c r="N113" s="145"/>
      <c r="O113" s="43"/>
      <c r="P113" s="88"/>
      <c r="Q113" s="43"/>
      <c r="R113" s="88"/>
      <c r="S113" s="40"/>
      <c r="T113" s="260"/>
      <c r="U113" s="40"/>
      <c r="V113" s="40"/>
      <c r="W113" s="40"/>
      <c r="X113" s="40"/>
      <c r="Y113" s="40"/>
      <c r="Z113" s="40"/>
      <c r="AA113" s="40"/>
      <c r="AB113" s="40"/>
      <c r="AC113" s="139"/>
      <c r="AD113" s="139"/>
      <c r="AE113" s="40"/>
      <c r="AF113" s="40"/>
      <c r="AG113" s="139"/>
      <c r="AH113" s="139"/>
      <c r="AI113" s="139"/>
      <c r="AJ113" s="43"/>
      <c r="AK113" s="43"/>
      <c r="AL113" s="139"/>
      <c r="AM113" s="43"/>
      <c r="AN113" s="43"/>
      <c r="AO113" s="139"/>
      <c r="AP113" s="43"/>
      <c r="AQ113" s="43"/>
      <c r="AR113" s="139"/>
      <c r="AS113" s="43"/>
      <c r="AT113" s="43"/>
      <c r="AU113" s="139"/>
      <c r="AV113" s="43"/>
      <c r="AW113" s="43"/>
      <c r="AX113" s="139"/>
      <c r="AY113" s="139"/>
      <c r="AZ113" s="43"/>
      <c r="BA113" s="139"/>
      <c r="BB113" s="139"/>
      <c r="BC113" s="139"/>
      <c r="BD113" s="139"/>
      <c r="BE113" s="139"/>
      <c r="BF113" s="43"/>
      <c r="BG113" s="139"/>
      <c r="BH113" s="139"/>
      <c r="BI113" s="43"/>
      <c r="BJ113" s="139"/>
      <c r="BK113" s="43"/>
      <c r="BL113" s="139"/>
      <c r="BM113" s="139"/>
      <c r="BN113" s="43"/>
      <c r="BO113" s="139"/>
      <c r="BP113" s="139"/>
      <c r="BQ113" s="43"/>
      <c r="BR113" s="43"/>
      <c r="BS113" s="139"/>
      <c r="BT113" s="43"/>
      <c r="BU113" s="43"/>
      <c r="BV113" s="139"/>
      <c r="BW113" s="43"/>
      <c r="BX113" s="43"/>
      <c r="BY113" s="139"/>
      <c r="BZ113" s="43"/>
      <c r="CA113" s="43"/>
      <c r="CB113" s="139"/>
      <c r="CC113" s="43"/>
      <c r="CD113" s="43"/>
      <c r="CE113" s="139"/>
      <c r="CF113" s="43"/>
      <c r="CG113" s="43"/>
      <c r="CH113" s="139"/>
      <c r="CI113" s="43"/>
      <c r="CJ113" s="43"/>
      <c r="CK113" s="139"/>
    </row>
    <row r="114" ht="15.75" customHeight="1">
      <c r="A114" s="43"/>
      <c r="B114" s="43"/>
      <c r="C114" s="15"/>
      <c r="D114" s="15"/>
      <c r="E114" s="146"/>
      <c r="F114" s="139"/>
      <c r="G114" s="15"/>
      <c r="H114" s="43"/>
      <c r="I114" s="43"/>
      <c r="J114" s="43"/>
      <c r="K114" s="61"/>
      <c r="L114" s="139"/>
      <c r="M114" s="139"/>
      <c r="N114" s="145"/>
      <c r="O114" s="43"/>
      <c r="P114" s="88"/>
      <c r="Q114" s="43"/>
      <c r="R114" s="88"/>
      <c r="S114" s="40"/>
      <c r="T114" s="260"/>
      <c r="U114" s="40"/>
      <c r="V114" s="40"/>
      <c r="W114" s="40"/>
      <c r="X114" s="40"/>
      <c r="Y114" s="40"/>
      <c r="Z114" s="40"/>
      <c r="AA114" s="40"/>
      <c r="AB114" s="40"/>
      <c r="AC114" s="139"/>
      <c r="AD114" s="139"/>
      <c r="AE114" s="40"/>
      <c r="AF114" s="40"/>
      <c r="AG114" s="139"/>
      <c r="AH114" s="139"/>
      <c r="AI114" s="139"/>
      <c r="AJ114" s="43"/>
      <c r="AK114" s="43"/>
      <c r="AL114" s="139"/>
      <c r="AM114" s="43"/>
      <c r="AN114" s="43"/>
      <c r="AO114" s="139"/>
      <c r="AP114" s="43"/>
      <c r="AQ114" s="43"/>
      <c r="AR114" s="139"/>
      <c r="AS114" s="43"/>
      <c r="AT114" s="43"/>
      <c r="AU114" s="139"/>
      <c r="AV114" s="43"/>
      <c r="AW114" s="43"/>
      <c r="AX114" s="139"/>
      <c r="AY114" s="139"/>
      <c r="AZ114" s="43"/>
      <c r="BA114" s="139"/>
      <c r="BB114" s="139"/>
      <c r="BC114" s="139"/>
      <c r="BD114" s="139"/>
      <c r="BE114" s="139"/>
      <c r="BF114" s="43"/>
      <c r="BG114" s="139"/>
      <c r="BH114" s="139"/>
      <c r="BI114" s="43"/>
      <c r="BJ114" s="139"/>
      <c r="BK114" s="43"/>
      <c r="BL114" s="139"/>
      <c r="BM114" s="139"/>
      <c r="BN114" s="43"/>
      <c r="BO114" s="139"/>
      <c r="BP114" s="139"/>
      <c r="BQ114" s="43"/>
      <c r="BR114" s="43"/>
      <c r="BS114" s="139"/>
      <c r="BT114" s="43"/>
      <c r="BU114" s="43"/>
      <c r="BV114" s="139"/>
      <c r="BW114" s="43"/>
      <c r="BX114" s="43"/>
      <c r="BY114" s="139"/>
      <c r="BZ114" s="43"/>
      <c r="CA114" s="43"/>
      <c r="CB114" s="139"/>
      <c r="CC114" s="43"/>
      <c r="CD114" s="43"/>
      <c r="CE114" s="139"/>
      <c r="CF114" s="43"/>
      <c r="CG114" s="43"/>
      <c r="CH114" s="139"/>
      <c r="CI114" s="43"/>
      <c r="CJ114" s="43"/>
      <c r="CK114" s="139"/>
    </row>
    <row r="115" ht="15.75" customHeight="1">
      <c r="A115" s="43"/>
      <c r="B115" s="43"/>
      <c r="C115" s="15"/>
      <c r="D115" s="15"/>
      <c r="E115" s="146"/>
      <c r="F115" s="139"/>
      <c r="G115" s="15"/>
      <c r="H115" s="43"/>
      <c r="I115" s="43"/>
      <c r="J115" s="43"/>
      <c r="K115" s="61"/>
      <c r="L115" s="139"/>
      <c r="M115" s="139"/>
      <c r="N115" s="145"/>
      <c r="O115" s="43"/>
      <c r="P115" s="88"/>
      <c r="Q115" s="43"/>
      <c r="R115" s="88"/>
      <c r="S115" s="40"/>
      <c r="T115" s="260"/>
      <c r="U115" s="40"/>
      <c r="V115" s="40"/>
      <c r="W115" s="40"/>
      <c r="X115" s="40"/>
      <c r="Y115" s="40"/>
      <c r="Z115" s="40"/>
      <c r="AA115" s="40"/>
      <c r="AB115" s="40"/>
      <c r="AC115" s="139"/>
      <c r="AD115" s="139"/>
      <c r="AE115" s="40"/>
      <c r="AF115" s="40"/>
      <c r="AG115" s="139"/>
      <c r="AH115" s="139"/>
      <c r="AI115" s="139"/>
      <c r="AJ115" s="43"/>
      <c r="AK115" s="43"/>
      <c r="AL115" s="139"/>
      <c r="AM115" s="43"/>
      <c r="AN115" s="43"/>
      <c r="AO115" s="139"/>
      <c r="AP115" s="43"/>
      <c r="AQ115" s="43"/>
      <c r="AR115" s="139"/>
      <c r="AS115" s="43"/>
      <c r="AT115" s="43"/>
      <c r="AU115" s="139"/>
      <c r="AV115" s="43"/>
      <c r="AW115" s="43"/>
      <c r="AX115" s="139"/>
      <c r="AY115" s="139"/>
      <c r="AZ115" s="43"/>
      <c r="BA115" s="139"/>
      <c r="BB115" s="139"/>
      <c r="BC115" s="139"/>
      <c r="BD115" s="139"/>
      <c r="BE115" s="139"/>
      <c r="BF115" s="43"/>
      <c r="BG115" s="139"/>
      <c r="BH115" s="139"/>
      <c r="BI115" s="43"/>
      <c r="BJ115" s="139"/>
      <c r="BK115" s="43"/>
      <c r="BL115" s="139"/>
      <c r="BM115" s="139"/>
      <c r="BN115" s="43"/>
      <c r="BO115" s="139"/>
      <c r="BP115" s="139"/>
      <c r="BQ115" s="43"/>
      <c r="BR115" s="43"/>
      <c r="BS115" s="139"/>
      <c r="BT115" s="43"/>
      <c r="BU115" s="43"/>
      <c r="BV115" s="139"/>
      <c r="BW115" s="43"/>
      <c r="BX115" s="43"/>
      <c r="BY115" s="139"/>
      <c r="BZ115" s="43"/>
      <c r="CA115" s="43"/>
      <c r="CB115" s="139"/>
      <c r="CC115" s="43"/>
      <c r="CD115" s="43"/>
      <c r="CE115" s="139"/>
      <c r="CF115" s="43"/>
      <c r="CG115" s="43"/>
      <c r="CH115" s="139"/>
      <c r="CI115" s="43"/>
      <c r="CJ115" s="43"/>
      <c r="CK115" s="139"/>
    </row>
    <row r="116" ht="15.75" customHeight="1">
      <c r="A116" s="43"/>
      <c r="B116" s="43"/>
      <c r="C116" s="15"/>
      <c r="D116" s="15"/>
      <c r="E116" s="146"/>
      <c r="F116" s="139"/>
      <c r="G116" s="15"/>
      <c r="H116" s="43"/>
      <c r="I116" s="43"/>
      <c r="J116" s="43"/>
      <c r="K116" s="61"/>
      <c r="L116" s="139"/>
      <c r="M116" s="139"/>
      <c r="N116" s="145"/>
      <c r="O116" s="43"/>
      <c r="P116" s="88"/>
      <c r="Q116" s="43"/>
      <c r="R116" s="88"/>
      <c r="S116" s="40"/>
      <c r="T116" s="260"/>
      <c r="U116" s="40"/>
      <c r="V116" s="40"/>
      <c r="W116" s="40"/>
      <c r="X116" s="40"/>
      <c r="Y116" s="40"/>
      <c r="Z116" s="40"/>
      <c r="AA116" s="40"/>
      <c r="AB116" s="40"/>
      <c r="AC116" s="139"/>
      <c r="AD116" s="139"/>
      <c r="AE116" s="40"/>
      <c r="AF116" s="40"/>
      <c r="AG116" s="139"/>
      <c r="AH116" s="139"/>
      <c r="AI116" s="139"/>
      <c r="AJ116" s="43"/>
      <c r="AK116" s="43"/>
      <c r="AL116" s="139"/>
      <c r="AM116" s="43"/>
      <c r="AN116" s="43"/>
      <c r="AO116" s="139"/>
      <c r="AP116" s="43"/>
      <c r="AQ116" s="43"/>
      <c r="AR116" s="139"/>
      <c r="AS116" s="43"/>
      <c r="AT116" s="43"/>
      <c r="AU116" s="139"/>
      <c r="AV116" s="43"/>
      <c r="AW116" s="43"/>
      <c r="AX116" s="139"/>
      <c r="AY116" s="139"/>
      <c r="AZ116" s="43"/>
      <c r="BA116" s="139"/>
      <c r="BB116" s="139"/>
      <c r="BC116" s="139"/>
      <c r="BD116" s="139"/>
      <c r="BE116" s="139"/>
      <c r="BF116" s="43"/>
      <c r="BG116" s="139"/>
      <c r="BH116" s="139"/>
      <c r="BI116" s="43"/>
      <c r="BJ116" s="139"/>
      <c r="BK116" s="43"/>
      <c r="BL116" s="139"/>
      <c r="BM116" s="139"/>
      <c r="BN116" s="43"/>
      <c r="BO116" s="139"/>
      <c r="BP116" s="139"/>
      <c r="BQ116" s="43"/>
      <c r="BR116" s="43"/>
      <c r="BS116" s="139"/>
      <c r="BT116" s="43"/>
      <c r="BU116" s="43"/>
      <c r="BV116" s="139"/>
      <c r="BW116" s="43"/>
      <c r="BX116" s="43"/>
      <c r="BY116" s="139"/>
      <c r="BZ116" s="43"/>
      <c r="CA116" s="43"/>
      <c r="CB116" s="139"/>
      <c r="CC116" s="43"/>
      <c r="CD116" s="43"/>
      <c r="CE116" s="139"/>
      <c r="CF116" s="43"/>
      <c r="CG116" s="43"/>
      <c r="CH116" s="139"/>
      <c r="CI116" s="43"/>
      <c r="CJ116" s="43"/>
      <c r="CK116" s="139"/>
    </row>
    <row r="117" ht="15.75" customHeight="1">
      <c r="A117" s="43"/>
      <c r="B117" s="43"/>
      <c r="C117" s="15"/>
      <c r="D117" s="15"/>
      <c r="E117" s="146"/>
      <c r="F117" s="139"/>
      <c r="G117" s="15"/>
      <c r="H117" s="43"/>
      <c r="I117" s="43"/>
      <c r="J117" s="43"/>
      <c r="K117" s="61"/>
      <c r="L117" s="139"/>
      <c r="M117" s="139"/>
      <c r="N117" s="145"/>
      <c r="O117" s="43"/>
      <c r="P117" s="88"/>
      <c r="Q117" s="43"/>
      <c r="R117" s="88"/>
      <c r="S117" s="40"/>
      <c r="T117" s="260"/>
      <c r="U117" s="40"/>
      <c r="V117" s="40"/>
      <c r="W117" s="40"/>
      <c r="X117" s="40"/>
      <c r="Y117" s="40"/>
      <c r="Z117" s="40"/>
      <c r="AA117" s="40"/>
      <c r="AB117" s="40"/>
      <c r="AC117" s="139"/>
      <c r="AD117" s="139"/>
      <c r="AE117" s="40"/>
      <c r="AF117" s="40"/>
      <c r="AG117" s="139"/>
      <c r="AH117" s="139"/>
      <c r="AI117" s="139"/>
      <c r="AJ117" s="43"/>
      <c r="AK117" s="43"/>
      <c r="AL117" s="139"/>
      <c r="AM117" s="43"/>
      <c r="AN117" s="43"/>
      <c r="AO117" s="139"/>
      <c r="AP117" s="43"/>
      <c r="AQ117" s="43"/>
      <c r="AR117" s="139"/>
      <c r="AS117" s="43"/>
      <c r="AT117" s="43"/>
      <c r="AU117" s="139"/>
      <c r="AV117" s="43"/>
      <c r="AW117" s="43"/>
      <c r="AX117" s="139"/>
      <c r="AY117" s="139"/>
      <c r="AZ117" s="43"/>
      <c r="BA117" s="139"/>
      <c r="BB117" s="139"/>
      <c r="BC117" s="139"/>
      <c r="BD117" s="139"/>
      <c r="BE117" s="139"/>
      <c r="BF117" s="43"/>
      <c r="BG117" s="139"/>
      <c r="BH117" s="139"/>
      <c r="BI117" s="43"/>
      <c r="BJ117" s="139"/>
      <c r="BK117" s="43"/>
      <c r="BL117" s="139"/>
      <c r="BM117" s="139"/>
      <c r="BN117" s="43"/>
      <c r="BO117" s="139"/>
      <c r="BP117" s="139"/>
      <c r="BQ117" s="43"/>
      <c r="BR117" s="43"/>
      <c r="BS117" s="139"/>
      <c r="BT117" s="43"/>
      <c r="BU117" s="43"/>
      <c r="BV117" s="139"/>
      <c r="BW117" s="43"/>
      <c r="BX117" s="43"/>
      <c r="BY117" s="139"/>
      <c r="BZ117" s="43"/>
      <c r="CA117" s="43"/>
      <c r="CB117" s="139"/>
      <c r="CC117" s="43"/>
      <c r="CD117" s="43"/>
      <c r="CE117" s="139"/>
      <c r="CF117" s="43"/>
      <c r="CG117" s="43"/>
      <c r="CH117" s="139"/>
      <c r="CI117" s="43"/>
      <c r="CJ117" s="43"/>
      <c r="CK117" s="139"/>
    </row>
    <row r="118" ht="15.75" customHeight="1">
      <c r="A118" s="43"/>
      <c r="B118" s="43"/>
      <c r="C118" s="15"/>
      <c r="D118" s="15"/>
      <c r="E118" s="146"/>
      <c r="F118" s="139"/>
      <c r="G118" s="15"/>
      <c r="H118" s="43"/>
      <c r="I118" s="43"/>
      <c r="J118" s="43"/>
      <c r="K118" s="61"/>
      <c r="L118" s="139"/>
      <c r="M118" s="139"/>
      <c r="N118" s="145"/>
      <c r="O118" s="43"/>
      <c r="P118" s="88"/>
      <c r="Q118" s="43"/>
      <c r="R118" s="88"/>
      <c r="S118" s="40"/>
      <c r="T118" s="260"/>
      <c r="U118" s="40"/>
      <c r="V118" s="40"/>
      <c r="W118" s="40"/>
      <c r="X118" s="40"/>
      <c r="Y118" s="40"/>
      <c r="Z118" s="40"/>
      <c r="AA118" s="40"/>
      <c r="AB118" s="40"/>
      <c r="AC118" s="139"/>
      <c r="AD118" s="139"/>
      <c r="AE118" s="40"/>
      <c r="AF118" s="40"/>
      <c r="AG118" s="139"/>
      <c r="AH118" s="139"/>
      <c r="AI118" s="139"/>
      <c r="AJ118" s="43"/>
      <c r="AK118" s="43"/>
      <c r="AL118" s="139"/>
      <c r="AM118" s="43"/>
      <c r="AN118" s="43"/>
      <c r="AO118" s="139"/>
      <c r="AP118" s="43"/>
      <c r="AQ118" s="43"/>
      <c r="AR118" s="139"/>
      <c r="AS118" s="43"/>
      <c r="AT118" s="43"/>
      <c r="AU118" s="139"/>
      <c r="AV118" s="43"/>
      <c r="AW118" s="43"/>
      <c r="AX118" s="139"/>
      <c r="AY118" s="139"/>
      <c r="AZ118" s="43"/>
      <c r="BA118" s="139"/>
      <c r="BB118" s="139"/>
      <c r="BC118" s="139"/>
      <c r="BD118" s="139"/>
      <c r="BE118" s="139"/>
      <c r="BF118" s="43"/>
      <c r="BG118" s="139"/>
      <c r="BH118" s="139"/>
      <c r="BI118" s="43"/>
      <c r="BJ118" s="139"/>
      <c r="BK118" s="43"/>
      <c r="BL118" s="139"/>
      <c r="BM118" s="139"/>
      <c r="BN118" s="43"/>
      <c r="BO118" s="139"/>
      <c r="BP118" s="139"/>
      <c r="BQ118" s="43"/>
      <c r="BR118" s="43"/>
      <c r="BS118" s="139"/>
      <c r="BT118" s="43"/>
      <c r="BU118" s="43"/>
      <c r="BV118" s="139"/>
      <c r="BW118" s="43"/>
      <c r="BX118" s="43"/>
      <c r="BY118" s="139"/>
      <c r="BZ118" s="43"/>
      <c r="CA118" s="43"/>
      <c r="CB118" s="139"/>
      <c r="CC118" s="43"/>
      <c r="CD118" s="43"/>
      <c r="CE118" s="139"/>
      <c r="CF118" s="43"/>
      <c r="CG118" s="43"/>
      <c r="CH118" s="139"/>
      <c r="CI118" s="43"/>
      <c r="CJ118" s="43"/>
      <c r="CK118" s="139"/>
    </row>
    <row r="119" ht="15.75" customHeight="1">
      <c r="A119" s="43"/>
      <c r="B119" s="43"/>
      <c r="C119" s="15"/>
      <c r="D119" s="15"/>
      <c r="E119" s="146"/>
      <c r="F119" s="139"/>
      <c r="G119" s="15"/>
      <c r="H119" s="43"/>
      <c r="I119" s="43"/>
      <c r="J119" s="43"/>
      <c r="K119" s="61"/>
      <c r="L119" s="139"/>
      <c r="M119" s="139"/>
      <c r="N119" s="145"/>
      <c r="O119" s="43"/>
      <c r="P119" s="88"/>
      <c r="Q119" s="43"/>
      <c r="R119" s="88"/>
      <c r="S119" s="40"/>
      <c r="T119" s="260"/>
      <c r="U119" s="40"/>
      <c r="V119" s="40"/>
      <c r="W119" s="40"/>
      <c r="X119" s="40"/>
      <c r="Y119" s="40"/>
      <c r="Z119" s="40"/>
      <c r="AA119" s="40"/>
      <c r="AB119" s="40"/>
      <c r="AC119" s="139"/>
      <c r="AD119" s="139"/>
      <c r="AE119" s="40"/>
      <c r="AF119" s="40"/>
      <c r="AG119" s="139"/>
      <c r="AH119" s="139"/>
      <c r="AI119" s="139"/>
      <c r="AJ119" s="43"/>
      <c r="AK119" s="43"/>
      <c r="AL119" s="139"/>
      <c r="AM119" s="43"/>
      <c r="AN119" s="43"/>
      <c r="AO119" s="139"/>
      <c r="AP119" s="43"/>
      <c r="AQ119" s="43"/>
      <c r="AR119" s="139"/>
      <c r="AS119" s="43"/>
      <c r="AT119" s="43"/>
      <c r="AU119" s="139"/>
      <c r="AV119" s="43"/>
      <c r="AW119" s="43"/>
      <c r="AX119" s="139"/>
      <c r="AY119" s="139"/>
      <c r="AZ119" s="43"/>
      <c r="BA119" s="139"/>
      <c r="BB119" s="139"/>
      <c r="BC119" s="139"/>
      <c r="BD119" s="139"/>
      <c r="BE119" s="139"/>
      <c r="BF119" s="43"/>
      <c r="BG119" s="139"/>
      <c r="BH119" s="139"/>
      <c r="BI119" s="43"/>
      <c r="BJ119" s="139"/>
      <c r="BK119" s="43"/>
      <c r="BL119" s="139"/>
      <c r="BM119" s="139"/>
      <c r="BN119" s="43"/>
      <c r="BO119" s="139"/>
      <c r="BP119" s="139"/>
      <c r="BQ119" s="43"/>
      <c r="BR119" s="43"/>
      <c r="BS119" s="139"/>
      <c r="BT119" s="43"/>
      <c r="BU119" s="43"/>
      <c r="BV119" s="139"/>
      <c r="BW119" s="43"/>
      <c r="BX119" s="43"/>
      <c r="BY119" s="139"/>
      <c r="BZ119" s="43"/>
      <c r="CA119" s="43"/>
      <c r="CB119" s="139"/>
      <c r="CC119" s="43"/>
      <c r="CD119" s="43"/>
      <c r="CE119" s="139"/>
      <c r="CF119" s="43"/>
      <c r="CG119" s="43"/>
      <c r="CH119" s="139"/>
      <c r="CI119" s="43"/>
      <c r="CJ119" s="43"/>
      <c r="CK119" s="139"/>
    </row>
    <row r="120" ht="15.75" customHeight="1">
      <c r="A120" s="43"/>
      <c r="B120" s="43"/>
      <c r="C120" s="15"/>
      <c r="D120" s="15"/>
      <c r="E120" s="146"/>
      <c r="F120" s="139"/>
      <c r="G120" s="15"/>
      <c r="H120" s="43"/>
      <c r="I120" s="43"/>
      <c r="J120" s="43"/>
      <c r="K120" s="61"/>
      <c r="L120" s="139"/>
      <c r="M120" s="139"/>
      <c r="N120" s="145"/>
      <c r="O120" s="43"/>
      <c r="P120" s="88"/>
      <c r="Q120" s="43"/>
      <c r="R120" s="88"/>
      <c r="S120" s="40"/>
      <c r="T120" s="260"/>
      <c r="U120" s="40"/>
      <c r="V120" s="40"/>
      <c r="W120" s="40"/>
      <c r="X120" s="40"/>
      <c r="Y120" s="40"/>
      <c r="Z120" s="40"/>
      <c r="AA120" s="40"/>
      <c r="AB120" s="40"/>
      <c r="AC120" s="139"/>
      <c r="AD120" s="139"/>
      <c r="AE120" s="40"/>
      <c r="AF120" s="40"/>
      <c r="AG120" s="139"/>
      <c r="AH120" s="139"/>
      <c r="AI120" s="139"/>
      <c r="AJ120" s="43"/>
      <c r="AK120" s="43"/>
      <c r="AL120" s="139"/>
      <c r="AM120" s="43"/>
      <c r="AN120" s="43"/>
      <c r="AO120" s="139"/>
      <c r="AP120" s="43"/>
      <c r="AQ120" s="43"/>
      <c r="AR120" s="139"/>
      <c r="AS120" s="43"/>
      <c r="AT120" s="43"/>
      <c r="AU120" s="139"/>
      <c r="AV120" s="43"/>
      <c r="AW120" s="43"/>
      <c r="AX120" s="139"/>
      <c r="AY120" s="139"/>
      <c r="AZ120" s="43"/>
      <c r="BA120" s="139"/>
      <c r="BB120" s="139"/>
      <c r="BC120" s="139"/>
      <c r="BD120" s="139"/>
      <c r="BE120" s="139"/>
      <c r="BF120" s="43"/>
      <c r="BG120" s="139"/>
      <c r="BH120" s="139"/>
      <c r="BI120" s="43"/>
      <c r="BJ120" s="139"/>
      <c r="BK120" s="43"/>
      <c r="BL120" s="139"/>
      <c r="BM120" s="139"/>
      <c r="BN120" s="43"/>
      <c r="BO120" s="139"/>
      <c r="BP120" s="139"/>
      <c r="BQ120" s="43"/>
      <c r="BR120" s="43"/>
      <c r="BS120" s="139"/>
      <c r="BT120" s="43"/>
      <c r="BU120" s="43"/>
      <c r="BV120" s="139"/>
      <c r="BW120" s="43"/>
      <c r="BX120" s="43"/>
      <c r="BY120" s="139"/>
      <c r="BZ120" s="43"/>
      <c r="CA120" s="43"/>
      <c r="CB120" s="139"/>
      <c r="CC120" s="43"/>
      <c r="CD120" s="43"/>
      <c r="CE120" s="139"/>
      <c r="CF120" s="43"/>
      <c r="CG120" s="43"/>
      <c r="CH120" s="139"/>
      <c r="CI120" s="43"/>
      <c r="CJ120" s="43"/>
      <c r="CK120" s="139"/>
    </row>
    <row r="121" ht="15.75" customHeight="1">
      <c r="A121" s="43"/>
      <c r="B121" s="43"/>
      <c r="C121" s="15"/>
      <c r="D121" s="15"/>
      <c r="E121" s="146"/>
      <c r="F121" s="139"/>
      <c r="G121" s="15"/>
      <c r="H121" s="43"/>
      <c r="I121" s="43"/>
      <c r="J121" s="43"/>
      <c r="K121" s="61"/>
      <c r="L121" s="139"/>
      <c r="M121" s="139"/>
      <c r="N121" s="145"/>
      <c r="O121" s="43"/>
      <c r="P121" s="88"/>
      <c r="Q121" s="43"/>
      <c r="R121" s="88"/>
      <c r="S121" s="40"/>
      <c r="T121" s="260"/>
      <c r="U121" s="40"/>
      <c r="V121" s="40"/>
      <c r="W121" s="40"/>
      <c r="X121" s="40"/>
      <c r="Y121" s="40"/>
      <c r="Z121" s="40"/>
      <c r="AA121" s="40"/>
      <c r="AB121" s="40"/>
      <c r="AC121" s="139"/>
      <c r="AD121" s="139"/>
      <c r="AE121" s="40"/>
      <c r="AF121" s="40"/>
      <c r="AG121" s="139"/>
      <c r="AH121" s="139"/>
      <c r="AI121" s="139"/>
      <c r="AJ121" s="43"/>
      <c r="AK121" s="43"/>
      <c r="AL121" s="139"/>
      <c r="AM121" s="43"/>
      <c r="AN121" s="43"/>
      <c r="AO121" s="139"/>
      <c r="AP121" s="43"/>
      <c r="AQ121" s="43"/>
      <c r="AR121" s="139"/>
      <c r="AS121" s="43"/>
      <c r="AT121" s="43"/>
      <c r="AU121" s="139"/>
      <c r="AV121" s="43"/>
      <c r="AW121" s="43"/>
      <c r="AX121" s="139"/>
      <c r="AY121" s="139"/>
      <c r="AZ121" s="43"/>
      <c r="BA121" s="139"/>
      <c r="BB121" s="139"/>
      <c r="BC121" s="139"/>
      <c r="BD121" s="139"/>
      <c r="BE121" s="139"/>
      <c r="BF121" s="43"/>
      <c r="BG121" s="139"/>
      <c r="BH121" s="139"/>
      <c r="BI121" s="43"/>
      <c r="BJ121" s="139"/>
      <c r="BK121" s="43"/>
      <c r="BL121" s="139"/>
      <c r="BM121" s="139"/>
      <c r="BN121" s="43"/>
      <c r="BO121" s="139"/>
      <c r="BP121" s="139"/>
      <c r="BQ121" s="43"/>
      <c r="BR121" s="43"/>
      <c r="BS121" s="139"/>
      <c r="BT121" s="43"/>
      <c r="BU121" s="43"/>
      <c r="BV121" s="139"/>
      <c r="BW121" s="43"/>
      <c r="BX121" s="43"/>
      <c r="BY121" s="139"/>
      <c r="BZ121" s="43"/>
      <c r="CA121" s="43"/>
      <c r="CB121" s="139"/>
      <c r="CC121" s="43"/>
      <c r="CD121" s="43"/>
      <c r="CE121" s="139"/>
      <c r="CF121" s="43"/>
      <c r="CG121" s="43"/>
      <c r="CH121" s="139"/>
      <c r="CI121" s="43"/>
      <c r="CJ121" s="43"/>
      <c r="CK121" s="139"/>
    </row>
    <row r="122" ht="15.75" customHeight="1">
      <c r="A122" s="43"/>
      <c r="B122" s="43"/>
      <c r="C122" s="15"/>
      <c r="D122" s="15"/>
      <c r="E122" s="146"/>
      <c r="F122" s="139"/>
      <c r="G122" s="15"/>
      <c r="H122" s="43"/>
      <c r="I122" s="43"/>
      <c r="J122" s="43"/>
      <c r="K122" s="61"/>
      <c r="L122" s="139"/>
      <c r="M122" s="139"/>
      <c r="N122" s="145"/>
      <c r="O122" s="43"/>
      <c r="P122" s="145"/>
      <c r="Q122" s="43"/>
      <c r="R122" s="88"/>
      <c r="S122" s="40"/>
      <c r="T122" s="260"/>
      <c r="U122" s="40"/>
      <c r="V122" s="40"/>
      <c r="W122" s="40"/>
      <c r="X122" s="40"/>
      <c r="Y122" s="40"/>
      <c r="Z122" s="40"/>
      <c r="AA122" s="40"/>
      <c r="AB122" s="40"/>
      <c r="AC122" s="139"/>
      <c r="AD122" s="139"/>
      <c r="AE122" s="40"/>
      <c r="AF122" s="40"/>
      <c r="AG122" s="139"/>
      <c r="AH122" s="139"/>
      <c r="AI122" s="139"/>
      <c r="AJ122" s="43"/>
      <c r="AK122" s="43"/>
      <c r="AL122" s="139"/>
      <c r="AM122" s="43"/>
      <c r="AN122" s="43"/>
      <c r="AO122" s="139"/>
      <c r="AP122" s="43"/>
      <c r="AQ122" s="43"/>
      <c r="AR122" s="139"/>
      <c r="AS122" s="43"/>
      <c r="AT122" s="43"/>
      <c r="AU122" s="139"/>
      <c r="AV122" s="43"/>
      <c r="AW122" s="43"/>
      <c r="AX122" s="139"/>
      <c r="AY122" s="139"/>
      <c r="AZ122" s="43"/>
      <c r="BA122" s="139"/>
      <c r="BB122" s="139"/>
      <c r="BC122" s="139"/>
      <c r="BD122" s="139"/>
      <c r="BE122" s="139"/>
      <c r="BF122" s="43"/>
      <c r="BG122" s="139"/>
      <c r="BH122" s="139"/>
      <c r="BI122" s="43"/>
      <c r="BJ122" s="139"/>
      <c r="BK122" s="43"/>
      <c r="BL122" s="139"/>
      <c r="BM122" s="139"/>
      <c r="BN122" s="43"/>
      <c r="BO122" s="139"/>
      <c r="BP122" s="139"/>
      <c r="BQ122" s="43"/>
      <c r="BR122" s="43"/>
      <c r="BS122" s="139"/>
      <c r="BT122" s="43"/>
      <c r="BU122" s="43"/>
      <c r="BV122" s="139"/>
      <c r="BW122" s="43"/>
      <c r="BX122" s="43"/>
      <c r="BY122" s="139"/>
      <c r="BZ122" s="43"/>
      <c r="CA122" s="43"/>
      <c r="CB122" s="139"/>
      <c r="CC122" s="43"/>
      <c r="CD122" s="43"/>
      <c r="CE122" s="139"/>
      <c r="CF122" s="43"/>
      <c r="CG122" s="43"/>
      <c r="CH122" s="139"/>
      <c r="CI122" s="43"/>
      <c r="CJ122" s="43"/>
      <c r="CK122" s="139"/>
    </row>
    <row r="123" ht="15.75" customHeight="1">
      <c r="A123" s="43"/>
      <c r="B123" s="43"/>
      <c r="C123" s="15"/>
      <c r="D123" s="15"/>
      <c r="E123" s="146"/>
      <c r="F123" s="139"/>
      <c r="G123" s="15"/>
      <c r="H123" s="43"/>
      <c r="I123" s="43"/>
      <c r="J123" s="43"/>
      <c r="K123" s="61"/>
      <c r="L123" s="139"/>
      <c r="M123" s="139"/>
      <c r="N123" s="145"/>
      <c r="O123" s="43"/>
      <c r="P123" s="145"/>
      <c r="Q123" s="43"/>
      <c r="R123" s="88"/>
      <c r="S123" s="40"/>
      <c r="T123" s="260"/>
      <c r="U123" s="40"/>
      <c r="V123" s="40"/>
      <c r="W123" s="40"/>
      <c r="X123" s="40"/>
      <c r="Y123" s="40"/>
      <c r="Z123" s="40"/>
      <c r="AA123" s="40"/>
      <c r="AB123" s="40"/>
      <c r="AC123" s="139"/>
      <c r="AD123" s="139"/>
      <c r="AE123" s="40"/>
      <c r="AF123" s="40"/>
      <c r="AG123" s="139"/>
      <c r="AH123" s="139"/>
      <c r="AI123" s="139"/>
      <c r="AJ123" s="43"/>
      <c r="AK123" s="43"/>
      <c r="AL123" s="139"/>
      <c r="AM123" s="43"/>
      <c r="AN123" s="43"/>
      <c r="AO123" s="139"/>
      <c r="AP123" s="43"/>
      <c r="AQ123" s="43"/>
      <c r="AR123" s="139"/>
      <c r="AS123" s="43"/>
      <c r="AT123" s="43"/>
      <c r="AU123" s="139"/>
      <c r="AV123" s="43"/>
      <c r="AW123" s="43"/>
      <c r="AX123" s="139"/>
      <c r="AY123" s="139"/>
      <c r="AZ123" s="43"/>
      <c r="BA123" s="139"/>
      <c r="BB123" s="139"/>
      <c r="BC123" s="139"/>
      <c r="BD123" s="139"/>
      <c r="BE123" s="139"/>
      <c r="BF123" s="43"/>
      <c r="BG123" s="139"/>
      <c r="BH123" s="139"/>
      <c r="BI123" s="43"/>
      <c r="BJ123" s="139"/>
      <c r="BK123" s="43"/>
      <c r="BL123" s="139"/>
      <c r="BM123" s="139"/>
      <c r="BN123" s="43"/>
      <c r="BO123" s="139"/>
      <c r="BP123" s="139"/>
      <c r="BQ123" s="43"/>
      <c r="BR123" s="43"/>
      <c r="BS123" s="139"/>
      <c r="BT123" s="43"/>
      <c r="BU123" s="43"/>
      <c r="BV123" s="139"/>
      <c r="BW123" s="43"/>
      <c r="BX123" s="43"/>
      <c r="BY123" s="139"/>
      <c r="BZ123" s="43"/>
      <c r="CA123" s="43"/>
      <c r="CB123" s="139"/>
      <c r="CC123" s="43"/>
      <c r="CD123" s="43"/>
      <c r="CE123" s="139"/>
      <c r="CF123" s="43"/>
      <c r="CG123" s="43"/>
      <c r="CH123" s="139"/>
      <c r="CI123" s="43"/>
      <c r="CJ123" s="43"/>
      <c r="CK123" s="139"/>
    </row>
    <row r="124" ht="15.75" customHeight="1">
      <c r="A124" s="43"/>
      <c r="B124" s="43"/>
      <c r="C124" s="15"/>
      <c r="D124" s="15"/>
      <c r="E124" s="146"/>
      <c r="F124" s="139"/>
      <c r="G124" s="15"/>
      <c r="H124" s="43"/>
      <c r="I124" s="43"/>
      <c r="J124" s="43"/>
      <c r="K124" s="61"/>
      <c r="L124" s="139"/>
      <c r="M124" s="139"/>
      <c r="N124" s="145"/>
      <c r="O124" s="43"/>
      <c r="P124" s="145"/>
      <c r="Q124" s="43"/>
      <c r="R124" s="88"/>
      <c r="S124" s="40"/>
      <c r="T124" s="260"/>
      <c r="U124" s="40"/>
      <c r="V124" s="40"/>
      <c r="W124" s="40"/>
      <c r="X124" s="40"/>
      <c r="Y124" s="40"/>
      <c r="Z124" s="40"/>
      <c r="AA124" s="40"/>
      <c r="AB124" s="40"/>
      <c r="AC124" s="139"/>
      <c r="AD124" s="139"/>
      <c r="AE124" s="40"/>
      <c r="AF124" s="40"/>
      <c r="AG124" s="139"/>
      <c r="AH124" s="139"/>
      <c r="AI124" s="139"/>
      <c r="AJ124" s="43"/>
      <c r="AK124" s="43"/>
      <c r="AL124" s="139"/>
      <c r="AM124" s="43"/>
      <c r="AN124" s="43"/>
      <c r="AO124" s="139"/>
      <c r="AP124" s="43"/>
      <c r="AQ124" s="43"/>
      <c r="AR124" s="139"/>
      <c r="AS124" s="43"/>
      <c r="AT124" s="43"/>
      <c r="AU124" s="139"/>
      <c r="AV124" s="43"/>
      <c r="AW124" s="43"/>
      <c r="AX124" s="139"/>
      <c r="AY124" s="139"/>
      <c r="AZ124" s="43"/>
      <c r="BA124" s="139"/>
      <c r="BB124" s="139"/>
      <c r="BC124" s="139"/>
      <c r="BD124" s="139"/>
      <c r="BE124" s="139"/>
      <c r="BF124" s="43"/>
      <c r="BG124" s="139"/>
      <c r="BH124" s="139"/>
      <c r="BI124" s="43"/>
      <c r="BJ124" s="139"/>
      <c r="BK124" s="43"/>
      <c r="BL124" s="139"/>
      <c r="BM124" s="139"/>
      <c r="BN124" s="43"/>
      <c r="BO124" s="139"/>
      <c r="BP124" s="139"/>
      <c r="BQ124" s="43"/>
      <c r="BR124" s="43"/>
      <c r="BS124" s="139"/>
      <c r="BT124" s="43"/>
      <c r="BU124" s="43"/>
      <c r="BV124" s="139"/>
      <c r="BW124" s="43"/>
      <c r="BX124" s="43"/>
      <c r="BY124" s="139"/>
      <c r="BZ124" s="43"/>
      <c r="CA124" s="43"/>
      <c r="CB124" s="139"/>
      <c r="CC124" s="43"/>
      <c r="CD124" s="43"/>
      <c r="CE124" s="139"/>
      <c r="CF124" s="43"/>
      <c r="CG124" s="43"/>
      <c r="CH124" s="139"/>
      <c r="CI124" s="43"/>
      <c r="CJ124" s="43"/>
      <c r="CK124" s="139"/>
    </row>
    <row r="125" ht="15.75" customHeight="1">
      <c r="A125" s="43"/>
      <c r="B125" s="43"/>
      <c r="C125" s="15"/>
      <c r="D125" s="15"/>
      <c r="E125" s="146"/>
      <c r="F125" s="139"/>
      <c r="G125" s="15"/>
      <c r="H125" s="43"/>
      <c r="I125" s="43"/>
      <c r="J125" s="43"/>
      <c r="K125" s="61"/>
      <c r="L125" s="139"/>
      <c r="M125" s="139"/>
      <c r="N125" s="145"/>
      <c r="O125" s="43"/>
      <c r="P125" s="145"/>
      <c r="Q125" s="43"/>
      <c r="R125" s="88"/>
      <c r="S125" s="40"/>
      <c r="T125" s="260"/>
      <c r="U125" s="40"/>
      <c r="V125" s="40"/>
      <c r="W125" s="40"/>
      <c r="X125" s="40"/>
      <c r="Y125" s="40"/>
      <c r="Z125" s="40"/>
      <c r="AA125" s="40"/>
      <c r="AB125" s="40"/>
      <c r="AC125" s="139"/>
      <c r="AD125" s="139"/>
      <c r="AE125" s="40"/>
      <c r="AF125" s="40"/>
      <c r="AG125" s="139"/>
      <c r="AH125" s="139"/>
      <c r="AI125" s="139"/>
      <c r="AJ125" s="43"/>
      <c r="AK125" s="43"/>
      <c r="AL125" s="139"/>
      <c r="AM125" s="43"/>
      <c r="AN125" s="43"/>
      <c r="AO125" s="139"/>
      <c r="AP125" s="43"/>
      <c r="AQ125" s="43"/>
      <c r="AR125" s="139"/>
      <c r="AS125" s="43"/>
      <c r="AT125" s="43"/>
      <c r="AU125" s="139"/>
      <c r="AV125" s="43"/>
      <c r="AW125" s="43"/>
      <c r="AX125" s="139"/>
      <c r="AY125" s="139"/>
      <c r="AZ125" s="43"/>
      <c r="BA125" s="139"/>
      <c r="BB125" s="139"/>
      <c r="BC125" s="139"/>
      <c r="BD125" s="139"/>
      <c r="BE125" s="139"/>
      <c r="BF125" s="43"/>
      <c r="BG125" s="139"/>
      <c r="BH125" s="139"/>
      <c r="BI125" s="43"/>
      <c r="BJ125" s="139"/>
      <c r="BK125" s="43"/>
      <c r="BL125" s="139"/>
      <c r="BM125" s="139"/>
      <c r="BN125" s="43"/>
      <c r="BO125" s="139"/>
      <c r="BP125" s="139"/>
      <c r="BQ125" s="43"/>
      <c r="BR125" s="43"/>
      <c r="BS125" s="139"/>
      <c r="BT125" s="43"/>
      <c r="BU125" s="43"/>
      <c r="BV125" s="139"/>
      <c r="BW125" s="43"/>
      <c r="BX125" s="43"/>
      <c r="BY125" s="139"/>
      <c r="BZ125" s="43"/>
      <c r="CA125" s="43"/>
      <c r="CB125" s="139"/>
      <c r="CC125" s="43"/>
      <c r="CD125" s="43"/>
      <c r="CE125" s="139"/>
      <c r="CF125" s="43"/>
      <c r="CG125" s="43"/>
      <c r="CH125" s="139"/>
      <c r="CI125" s="43"/>
      <c r="CJ125" s="43"/>
      <c r="CK125" s="139"/>
    </row>
    <row r="126" ht="15.75" customHeight="1">
      <c r="A126" s="43"/>
      <c r="B126" s="43"/>
      <c r="C126" s="15"/>
      <c r="D126" s="15"/>
      <c r="E126" s="146"/>
      <c r="F126" s="139"/>
      <c r="G126" s="15"/>
      <c r="H126" s="43"/>
      <c r="I126" s="43"/>
      <c r="J126" s="43"/>
      <c r="K126" s="61"/>
      <c r="L126" s="139"/>
      <c r="M126" s="139"/>
      <c r="N126" s="145"/>
      <c r="O126" s="43"/>
      <c r="P126" s="145"/>
      <c r="Q126" s="43"/>
      <c r="R126" s="88"/>
      <c r="S126" s="40"/>
      <c r="T126" s="260"/>
      <c r="U126" s="40"/>
      <c r="V126" s="40"/>
      <c r="W126" s="40"/>
      <c r="X126" s="40"/>
      <c r="Y126" s="40"/>
      <c r="Z126" s="40"/>
      <c r="AA126" s="40"/>
      <c r="AB126" s="40"/>
      <c r="AC126" s="139"/>
      <c r="AD126" s="139"/>
      <c r="AE126" s="40"/>
      <c r="AF126" s="40"/>
      <c r="AG126" s="139"/>
      <c r="AH126" s="139"/>
      <c r="AI126" s="139"/>
      <c r="AJ126" s="43"/>
      <c r="AK126" s="43"/>
      <c r="AL126" s="139"/>
      <c r="AM126" s="43"/>
      <c r="AN126" s="43"/>
      <c r="AO126" s="139"/>
      <c r="AP126" s="43"/>
      <c r="AQ126" s="43"/>
      <c r="AR126" s="139"/>
      <c r="AS126" s="43"/>
      <c r="AT126" s="43"/>
      <c r="AU126" s="139"/>
      <c r="AV126" s="43"/>
      <c r="AW126" s="43"/>
      <c r="AX126" s="139"/>
      <c r="AY126" s="139"/>
      <c r="AZ126" s="43"/>
      <c r="BA126" s="139"/>
      <c r="BB126" s="139"/>
      <c r="BC126" s="139"/>
      <c r="BD126" s="139"/>
      <c r="BE126" s="139"/>
      <c r="BF126" s="43"/>
      <c r="BG126" s="139"/>
      <c r="BH126" s="139"/>
      <c r="BI126" s="43"/>
      <c r="BJ126" s="139"/>
      <c r="BK126" s="43"/>
      <c r="BL126" s="139"/>
      <c r="BM126" s="139"/>
      <c r="BN126" s="43"/>
      <c r="BO126" s="139"/>
      <c r="BP126" s="139"/>
      <c r="BQ126" s="43"/>
      <c r="BR126" s="43"/>
      <c r="BS126" s="139"/>
      <c r="BT126" s="43"/>
      <c r="BU126" s="43"/>
      <c r="BV126" s="139"/>
      <c r="BW126" s="43"/>
      <c r="BX126" s="43"/>
      <c r="BY126" s="139"/>
      <c r="BZ126" s="43"/>
      <c r="CA126" s="43"/>
      <c r="CB126" s="139"/>
      <c r="CC126" s="43"/>
      <c r="CD126" s="43"/>
      <c r="CE126" s="139"/>
      <c r="CF126" s="43"/>
      <c r="CG126" s="43"/>
      <c r="CH126" s="139"/>
      <c r="CI126" s="43"/>
      <c r="CJ126" s="43"/>
      <c r="CK126" s="139"/>
    </row>
    <row r="127" ht="15.75" customHeight="1">
      <c r="A127" s="43"/>
      <c r="B127" s="43"/>
      <c r="C127" s="15"/>
      <c r="D127" s="15"/>
      <c r="E127" s="146"/>
      <c r="F127" s="139"/>
      <c r="G127" s="15"/>
      <c r="H127" s="43"/>
      <c r="I127" s="43"/>
      <c r="J127" s="43"/>
      <c r="K127" s="61"/>
      <c r="L127" s="139"/>
      <c r="M127" s="139"/>
      <c r="N127" s="145"/>
      <c r="O127" s="43"/>
      <c r="P127" s="145"/>
      <c r="Q127" s="43"/>
      <c r="R127" s="88"/>
      <c r="S127" s="40"/>
      <c r="T127" s="260"/>
      <c r="U127" s="40"/>
      <c r="V127" s="40"/>
      <c r="W127" s="40"/>
      <c r="X127" s="40"/>
      <c r="Y127" s="40"/>
      <c r="Z127" s="40"/>
      <c r="AA127" s="40"/>
      <c r="AB127" s="40"/>
      <c r="AC127" s="139"/>
      <c r="AD127" s="139"/>
      <c r="AE127" s="40"/>
      <c r="AF127" s="40"/>
      <c r="AG127" s="139"/>
      <c r="AH127" s="139"/>
      <c r="AI127" s="139"/>
      <c r="AJ127" s="43"/>
      <c r="AK127" s="43"/>
      <c r="AL127" s="139"/>
      <c r="AM127" s="43"/>
      <c r="AN127" s="43"/>
      <c r="AO127" s="139"/>
      <c r="AP127" s="43"/>
      <c r="AQ127" s="43"/>
      <c r="AR127" s="139"/>
      <c r="AS127" s="43"/>
      <c r="AT127" s="43"/>
      <c r="AU127" s="139"/>
      <c r="AV127" s="43"/>
      <c r="AW127" s="43"/>
      <c r="AX127" s="139"/>
      <c r="AY127" s="139"/>
      <c r="AZ127" s="43"/>
      <c r="BA127" s="139"/>
      <c r="BB127" s="139"/>
      <c r="BC127" s="139"/>
      <c r="BD127" s="139"/>
      <c r="BE127" s="139"/>
      <c r="BF127" s="43"/>
      <c r="BG127" s="139"/>
      <c r="BH127" s="139"/>
      <c r="BI127" s="43"/>
      <c r="BJ127" s="139"/>
      <c r="BK127" s="43"/>
      <c r="BL127" s="139"/>
      <c r="BM127" s="139"/>
      <c r="BN127" s="43"/>
      <c r="BO127" s="139"/>
      <c r="BP127" s="139"/>
      <c r="BQ127" s="43"/>
      <c r="BR127" s="43"/>
      <c r="BS127" s="139"/>
      <c r="BT127" s="43"/>
      <c r="BU127" s="43"/>
      <c r="BV127" s="139"/>
      <c r="BW127" s="43"/>
      <c r="BX127" s="43"/>
      <c r="BY127" s="139"/>
      <c r="BZ127" s="43"/>
      <c r="CA127" s="43"/>
      <c r="CB127" s="139"/>
      <c r="CC127" s="43"/>
      <c r="CD127" s="43"/>
      <c r="CE127" s="139"/>
      <c r="CF127" s="43"/>
      <c r="CG127" s="43"/>
      <c r="CH127" s="139"/>
      <c r="CI127" s="43"/>
      <c r="CJ127" s="43"/>
      <c r="CK127" s="139"/>
    </row>
    <row r="128" ht="15.75" customHeight="1">
      <c r="A128" s="43"/>
      <c r="B128" s="43"/>
      <c r="C128" s="15"/>
      <c r="D128" s="15"/>
      <c r="E128" s="146"/>
      <c r="F128" s="139"/>
      <c r="G128" s="15"/>
      <c r="H128" s="43"/>
      <c r="I128" s="43"/>
      <c r="J128" s="43"/>
      <c r="K128" s="61"/>
      <c r="L128" s="139"/>
      <c r="M128" s="139"/>
      <c r="N128" s="145"/>
      <c r="O128" s="43"/>
      <c r="P128" s="145"/>
      <c r="Q128" s="43"/>
      <c r="R128" s="88"/>
      <c r="S128" s="40"/>
      <c r="T128" s="260"/>
      <c r="U128" s="40"/>
      <c r="V128" s="40"/>
      <c r="W128" s="40"/>
      <c r="X128" s="40"/>
      <c r="Y128" s="40"/>
      <c r="Z128" s="40"/>
      <c r="AA128" s="40"/>
      <c r="AB128" s="40"/>
      <c r="AC128" s="139"/>
      <c r="AD128" s="139"/>
      <c r="AE128" s="40"/>
      <c r="AF128" s="40"/>
      <c r="AG128" s="139"/>
      <c r="AH128" s="139"/>
      <c r="AI128" s="139"/>
      <c r="AJ128" s="43"/>
      <c r="AK128" s="43"/>
      <c r="AL128" s="139"/>
      <c r="AM128" s="43"/>
      <c r="AN128" s="43"/>
      <c r="AO128" s="139"/>
      <c r="AP128" s="43"/>
      <c r="AQ128" s="43"/>
      <c r="AR128" s="139"/>
      <c r="AS128" s="43"/>
      <c r="AT128" s="43"/>
      <c r="AU128" s="139"/>
      <c r="AV128" s="43"/>
      <c r="AW128" s="43"/>
      <c r="AX128" s="139"/>
      <c r="AY128" s="139"/>
      <c r="AZ128" s="43"/>
      <c r="BA128" s="139"/>
      <c r="BB128" s="139"/>
      <c r="BC128" s="139"/>
      <c r="BD128" s="139"/>
      <c r="BE128" s="139"/>
      <c r="BF128" s="43"/>
      <c r="BG128" s="139"/>
      <c r="BH128" s="139"/>
      <c r="BI128" s="43"/>
      <c r="BJ128" s="139"/>
      <c r="BK128" s="43"/>
      <c r="BL128" s="139"/>
      <c r="BM128" s="139"/>
      <c r="BN128" s="43"/>
      <c r="BO128" s="139"/>
      <c r="BP128" s="139"/>
      <c r="BQ128" s="43"/>
      <c r="BR128" s="43"/>
      <c r="BS128" s="139"/>
      <c r="BT128" s="43"/>
      <c r="BU128" s="43"/>
      <c r="BV128" s="139"/>
      <c r="BW128" s="43"/>
      <c r="BX128" s="43"/>
      <c r="BY128" s="139"/>
      <c r="BZ128" s="43"/>
      <c r="CA128" s="43"/>
      <c r="CB128" s="139"/>
      <c r="CC128" s="43"/>
      <c r="CD128" s="43"/>
      <c r="CE128" s="139"/>
      <c r="CF128" s="43"/>
      <c r="CG128" s="43"/>
      <c r="CH128" s="139"/>
      <c r="CI128" s="43"/>
      <c r="CJ128" s="43"/>
      <c r="CK128" s="139"/>
    </row>
    <row r="129" ht="15.75" customHeight="1">
      <c r="A129" s="43"/>
      <c r="B129" s="43"/>
      <c r="C129" s="15"/>
      <c r="D129" s="15"/>
      <c r="E129" s="146"/>
      <c r="F129" s="139"/>
      <c r="G129" s="15"/>
      <c r="H129" s="43"/>
      <c r="I129" s="43"/>
      <c r="J129" s="43"/>
      <c r="K129" s="61"/>
      <c r="L129" s="139"/>
      <c r="M129" s="139"/>
      <c r="N129" s="145"/>
      <c r="O129" s="43"/>
      <c r="P129" s="145"/>
      <c r="Q129" s="43"/>
      <c r="R129" s="88"/>
      <c r="S129" s="40"/>
      <c r="T129" s="260"/>
      <c r="U129" s="40"/>
      <c r="V129" s="40"/>
      <c r="W129" s="40"/>
      <c r="X129" s="40"/>
      <c r="Y129" s="40"/>
      <c r="Z129" s="40"/>
      <c r="AA129" s="40"/>
      <c r="AB129" s="40"/>
      <c r="AC129" s="139"/>
      <c r="AD129" s="139"/>
      <c r="AE129" s="40"/>
      <c r="AF129" s="40"/>
      <c r="AG129" s="139"/>
      <c r="AH129" s="139"/>
      <c r="AI129" s="139"/>
      <c r="AJ129" s="43"/>
      <c r="AK129" s="43"/>
      <c r="AL129" s="139"/>
      <c r="AM129" s="43"/>
      <c r="AN129" s="43"/>
      <c r="AO129" s="139"/>
      <c r="AP129" s="43"/>
      <c r="AQ129" s="43"/>
      <c r="AR129" s="139"/>
      <c r="AS129" s="43"/>
      <c r="AT129" s="43"/>
      <c r="AU129" s="139"/>
      <c r="AV129" s="43"/>
      <c r="AW129" s="43"/>
      <c r="AX129" s="139"/>
      <c r="AY129" s="139"/>
      <c r="AZ129" s="43"/>
      <c r="BA129" s="139"/>
      <c r="BB129" s="139"/>
      <c r="BC129" s="139"/>
      <c r="BD129" s="139"/>
      <c r="BE129" s="139"/>
      <c r="BF129" s="43"/>
      <c r="BG129" s="139"/>
      <c r="BH129" s="139"/>
      <c r="BI129" s="43"/>
      <c r="BJ129" s="139"/>
      <c r="BK129" s="43"/>
      <c r="BL129" s="139"/>
      <c r="BM129" s="139"/>
      <c r="BN129" s="43"/>
      <c r="BO129" s="139"/>
      <c r="BP129" s="139"/>
      <c r="BQ129" s="43"/>
      <c r="BR129" s="43"/>
      <c r="BS129" s="139"/>
      <c r="BT129" s="43"/>
      <c r="BU129" s="43"/>
      <c r="BV129" s="139"/>
      <c r="BW129" s="43"/>
      <c r="BX129" s="43"/>
      <c r="BY129" s="139"/>
      <c r="BZ129" s="43"/>
      <c r="CA129" s="43"/>
      <c r="CB129" s="139"/>
      <c r="CC129" s="43"/>
      <c r="CD129" s="43"/>
      <c r="CE129" s="139"/>
      <c r="CF129" s="43"/>
      <c r="CG129" s="43"/>
      <c r="CH129" s="139"/>
      <c r="CI129" s="43"/>
      <c r="CJ129" s="43"/>
      <c r="CK129" s="139"/>
    </row>
    <row r="130" ht="15.75" customHeight="1">
      <c r="A130" s="43"/>
      <c r="B130" s="43"/>
      <c r="C130" s="15"/>
      <c r="D130" s="15"/>
      <c r="E130" s="146"/>
      <c r="F130" s="139"/>
      <c r="G130" s="15"/>
      <c r="H130" s="43"/>
      <c r="I130" s="43"/>
      <c r="J130" s="43"/>
      <c r="K130" s="61"/>
      <c r="L130" s="139"/>
      <c r="M130" s="139"/>
      <c r="N130" s="145"/>
      <c r="O130" s="43"/>
      <c r="P130" s="145"/>
      <c r="Q130" s="43"/>
      <c r="R130" s="88"/>
      <c r="S130" s="40"/>
      <c r="T130" s="260"/>
      <c r="U130" s="40"/>
      <c r="V130" s="40"/>
      <c r="W130" s="40"/>
      <c r="X130" s="40"/>
      <c r="Y130" s="40"/>
      <c r="Z130" s="40"/>
      <c r="AA130" s="40"/>
      <c r="AB130" s="40"/>
      <c r="AC130" s="139"/>
      <c r="AD130" s="139"/>
      <c r="AE130" s="40"/>
      <c r="AF130" s="40"/>
      <c r="AG130" s="139"/>
      <c r="AH130" s="139"/>
      <c r="AI130" s="139"/>
      <c r="AJ130" s="43"/>
      <c r="AK130" s="43"/>
      <c r="AL130" s="139"/>
      <c r="AM130" s="43"/>
      <c r="AN130" s="43"/>
      <c r="AO130" s="139"/>
      <c r="AP130" s="43"/>
      <c r="AQ130" s="43"/>
      <c r="AR130" s="139"/>
      <c r="AS130" s="43"/>
      <c r="AT130" s="43"/>
      <c r="AU130" s="139"/>
      <c r="AV130" s="43"/>
      <c r="AW130" s="43"/>
      <c r="AX130" s="139"/>
      <c r="AY130" s="139"/>
      <c r="AZ130" s="43"/>
      <c r="BA130" s="139"/>
      <c r="BB130" s="139"/>
      <c r="BC130" s="139"/>
      <c r="BD130" s="139"/>
      <c r="BE130" s="139"/>
      <c r="BF130" s="43"/>
      <c r="BG130" s="139"/>
      <c r="BH130" s="139"/>
      <c r="BI130" s="43"/>
      <c r="BJ130" s="139"/>
      <c r="BK130" s="43"/>
      <c r="BL130" s="139"/>
      <c r="BM130" s="139"/>
      <c r="BN130" s="43"/>
      <c r="BO130" s="139"/>
      <c r="BP130" s="139"/>
      <c r="BQ130" s="43"/>
      <c r="BR130" s="43"/>
      <c r="BS130" s="139"/>
      <c r="BT130" s="43"/>
      <c r="BU130" s="43"/>
      <c r="BV130" s="139"/>
      <c r="BW130" s="43"/>
      <c r="BX130" s="43"/>
      <c r="BY130" s="139"/>
      <c r="BZ130" s="43"/>
      <c r="CA130" s="43"/>
      <c r="CB130" s="139"/>
      <c r="CC130" s="43"/>
      <c r="CD130" s="43"/>
      <c r="CE130" s="139"/>
      <c r="CF130" s="43"/>
      <c r="CG130" s="43"/>
      <c r="CH130" s="139"/>
      <c r="CI130" s="43"/>
      <c r="CJ130" s="43"/>
      <c r="CK130" s="139"/>
    </row>
    <row r="131" ht="15.75" customHeight="1">
      <c r="A131" s="43"/>
      <c r="B131" s="43"/>
      <c r="C131" s="15"/>
      <c r="D131" s="15"/>
      <c r="E131" s="146"/>
      <c r="F131" s="139"/>
      <c r="G131" s="15"/>
      <c r="H131" s="43"/>
      <c r="I131" s="43"/>
      <c r="J131" s="43"/>
      <c r="K131" s="61"/>
      <c r="L131" s="139"/>
      <c r="M131" s="139"/>
      <c r="N131" s="145"/>
      <c r="O131" s="43"/>
      <c r="P131" s="145"/>
      <c r="Q131" s="43"/>
      <c r="R131" s="88"/>
      <c r="S131" s="40"/>
      <c r="T131" s="260"/>
      <c r="U131" s="40"/>
      <c r="V131" s="40"/>
      <c r="W131" s="40"/>
      <c r="X131" s="40"/>
      <c r="Y131" s="40"/>
      <c r="Z131" s="40"/>
      <c r="AA131" s="40"/>
      <c r="AB131" s="40"/>
      <c r="AC131" s="139"/>
      <c r="AD131" s="139"/>
      <c r="AE131" s="40"/>
      <c r="AF131" s="40"/>
      <c r="AG131" s="139"/>
      <c r="AH131" s="139"/>
      <c r="AI131" s="139"/>
      <c r="AJ131" s="43"/>
      <c r="AK131" s="43"/>
      <c r="AL131" s="139"/>
      <c r="AM131" s="43"/>
      <c r="AN131" s="43"/>
      <c r="AO131" s="139"/>
      <c r="AP131" s="43"/>
      <c r="AQ131" s="43"/>
      <c r="AR131" s="139"/>
      <c r="AS131" s="43"/>
      <c r="AT131" s="43"/>
      <c r="AU131" s="139"/>
      <c r="AV131" s="43"/>
      <c r="AW131" s="43"/>
      <c r="AX131" s="139"/>
      <c r="AY131" s="139"/>
      <c r="AZ131" s="43"/>
      <c r="BA131" s="139"/>
      <c r="BB131" s="139"/>
      <c r="BC131" s="139"/>
      <c r="BD131" s="139"/>
      <c r="BE131" s="139"/>
      <c r="BF131" s="43"/>
      <c r="BG131" s="139"/>
      <c r="BH131" s="139"/>
      <c r="BI131" s="43"/>
      <c r="BJ131" s="139"/>
      <c r="BK131" s="43"/>
      <c r="BL131" s="139"/>
      <c r="BM131" s="139"/>
      <c r="BN131" s="43"/>
      <c r="BO131" s="139"/>
      <c r="BP131" s="139"/>
      <c r="BQ131" s="43"/>
      <c r="BR131" s="43"/>
      <c r="BS131" s="139"/>
      <c r="BT131" s="43"/>
      <c r="BU131" s="43"/>
      <c r="BV131" s="139"/>
      <c r="BW131" s="43"/>
      <c r="BX131" s="43"/>
      <c r="BY131" s="139"/>
      <c r="BZ131" s="43"/>
      <c r="CA131" s="43"/>
      <c r="CB131" s="139"/>
      <c r="CC131" s="43"/>
      <c r="CD131" s="43"/>
      <c r="CE131" s="139"/>
      <c r="CF131" s="43"/>
      <c r="CG131" s="43"/>
      <c r="CH131" s="139"/>
      <c r="CI131" s="43"/>
      <c r="CJ131" s="43"/>
      <c r="CK131" s="139"/>
    </row>
    <row r="132" ht="15.75" customHeight="1">
      <c r="A132" s="43"/>
      <c r="B132" s="43"/>
      <c r="C132" s="15"/>
      <c r="D132" s="15"/>
      <c r="E132" s="146"/>
      <c r="F132" s="139"/>
      <c r="G132" s="15"/>
      <c r="H132" s="43"/>
      <c r="I132" s="43"/>
      <c r="J132" s="43"/>
      <c r="K132" s="61"/>
      <c r="L132" s="139"/>
      <c r="M132" s="139"/>
      <c r="N132" s="145"/>
      <c r="O132" s="43"/>
      <c r="P132" s="145"/>
      <c r="Q132" s="43"/>
      <c r="R132" s="88"/>
      <c r="S132" s="40"/>
      <c r="T132" s="260"/>
      <c r="U132" s="40"/>
      <c r="V132" s="40"/>
      <c r="W132" s="40"/>
      <c r="X132" s="40"/>
      <c r="Y132" s="40"/>
      <c r="Z132" s="40"/>
      <c r="AA132" s="40"/>
      <c r="AB132" s="40"/>
      <c r="AC132" s="139"/>
      <c r="AD132" s="139"/>
      <c r="AE132" s="40"/>
      <c r="AF132" s="40"/>
      <c r="AG132" s="139"/>
      <c r="AH132" s="139"/>
      <c r="AI132" s="139"/>
      <c r="AJ132" s="43"/>
      <c r="AK132" s="43"/>
      <c r="AL132" s="139"/>
      <c r="AM132" s="43"/>
      <c r="AN132" s="43"/>
      <c r="AO132" s="139"/>
      <c r="AP132" s="43"/>
      <c r="AQ132" s="43"/>
      <c r="AR132" s="139"/>
      <c r="AS132" s="43"/>
      <c r="AT132" s="43"/>
      <c r="AU132" s="139"/>
      <c r="AV132" s="43"/>
      <c r="AW132" s="43"/>
      <c r="AX132" s="139"/>
      <c r="AY132" s="139"/>
      <c r="AZ132" s="43"/>
      <c r="BA132" s="139"/>
      <c r="BB132" s="139"/>
      <c r="BC132" s="139"/>
      <c r="BD132" s="139"/>
      <c r="BE132" s="139"/>
      <c r="BF132" s="43"/>
      <c r="BG132" s="139"/>
      <c r="BH132" s="139"/>
      <c r="BI132" s="43"/>
      <c r="BJ132" s="139"/>
      <c r="BK132" s="43"/>
      <c r="BL132" s="139"/>
      <c r="BM132" s="139"/>
      <c r="BN132" s="43"/>
      <c r="BO132" s="139"/>
      <c r="BP132" s="139"/>
      <c r="BQ132" s="43"/>
      <c r="BR132" s="43"/>
      <c r="BS132" s="139"/>
      <c r="BT132" s="43"/>
      <c r="BU132" s="43"/>
      <c r="BV132" s="139"/>
      <c r="BW132" s="43"/>
      <c r="BX132" s="43"/>
      <c r="BY132" s="139"/>
      <c r="BZ132" s="43"/>
      <c r="CA132" s="43"/>
      <c r="CB132" s="139"/>
      <c r="CC132" s="43"/>
      <c r="CD132" s="43"/>
      <c r="CE132" s="139"/>
      <c r="CF132" s="43"/>
      <c r="CG132" s="43"/>
      <c r="CH132" s="139"/>
      <c r="CI132" s="43"/>
      <c r="CJ132" s="43"/>
      <c r="CK132" s="139"/>
    </row>
    <row r="133" ht="15.75" customHeight="1">
      <c r="A133" s="43"/>
      <c r="B133" s="43"/>
      <c r="C133" s="15"/>
      <c r="D133" s="15"/>
      <c r="E133" s="146"/>
      <c r="F133" s="139"/>
      <c r="G133" s="15"/>
      <c r="H133" s="43"/>
      <c r="I133" s="43"/>
      <c r="J133" s="43"/>
      <c r="K133" s="61"/>
      <c r="L133" s="139"/>
      <c r="M133" s="139"/>
      <c r="N133" s="145"/>
      <c r="O133" s="43"/>
      <c r="P133" s="145"/>
      <c r="Q133" s="43"/>
      <c r="R133" s="88"/>
      <c r="S133" s="40"/>
      <c r="T133" s="260"/>
      <c r="U133" s="40"/>
      <c r="V133" s="40"/>
      <c r="W133" s="40"/>
      <c r="X133" s="40"/>
      <c r="Y133" s="40"/>
      <c r="Z133" s="40"/>
      <c r="AA133" s="40"/>
      <c r="AB133" s="40"/>
      <c r="AC133" s="139"/>
      <c r="AD133" s="139"/>
      <c r="AE133" s="40"/>
      <c r="AF133" s="40"/>
      <c r="AG133" s="139"/>
      <c r="AH133" s="139"/>
      <c r="AI133" s="139"/>
      <c r="AJ133" s="43"/>
      <c r="AK133" s="43"/>
      <c r="AL133" s="139"/>
      <c r="AM133" s="43"/>
      <c r="AN133" s="43"/>
      <c r="AO133" s="139"/>
      <c r="AP133" s="43"/>
      <c r="AQ133" s="43"/>
      <c r="AR133" s="139"/>
      <c r="AS133" s="43"/>
      <c r="AT133" s="43"/>
      <c r="AU133" s="139"/>
      <c r="AV133" s="43"/>
      <c r="AW133" s="43"/>
      <c r="AX133" s="139"/>
      <c r="AY133" s="139"/>
      <c r="AZ133" s="43"/>
      <c r="BA133" s="139"/>
      <c r="BB133" s="139"/>
      <c r="BC133" s="139"/>
      <c r="BD133" s="139"/>
      <c r="BE133" s="139"/>
      <c r="BF133" s="43"/>
      <c r="BG133" s="139"/>
      <c r="BH133" s="139"/>
      <c r="BI133" s="43"/>
      <c r="BJ133" s="139"/>
      <c r="BK133" s="43"/>
      <c r="BL133" s="139"/>
      <c r="BM133" s="139"/>
      <c r="BN133" s="43"/>
      <c r="BO133" s="139"/>
      <c r="BP133" s="139"/>
      <c r="BQ133" s="43"/>
      <c r="BR133" s="43"/>
      <c r="BS133" s="139"/>
      <c r="BT133" s="43"/>
      <c r="BU133" s="43"/>
      <c r="BV133" s="139"/>
      <c r="BW133" s="43"/>
      <c r="BX133" s="43"/>
      <c r="BY133" s="139"/>
      <c r="BZ133" s="43"/>
      <c r="CA133" s="43"/>
      <c r="CB133" s="139"/>
      <c r="CC133" s="43"/>
      <c r="CD133" s="43"/>
      <c r="CE133" s="139"/>
      <c r="CF133" s="43"/>
      <c r="CG133" s="43"/>
      <c r="CH133" s="139"/>
      <c r="CI133" s="43"/>
      <c r="CJ133" s="43"/>
      <c r="CK133" s="139"/>
    </row>
    <row r="134" ht="15.75" customHeight="1">
      <c r="A134" s="43"/>
      <c r="B134" s="43"/>
      <c r="C134" s="15"/>
      <c r="D134" s="15"/>
      <c r="E134" s="146"/>
      <c r="F134" s="139"/>
      <c r="G134" s="15"/>
      <c r="H134" s="43"/>
      <c r="I134" s="43"/>
      <c r="J134" s="43"/>
      <c r="K134" s="61"/>
      <c r="L134" s="139"/>
      <c r="M134" s="139"/>
      <c r="N134" s="145"/>
      <c r="O134" s="43"/>
      <c r="P134" s="145"/>
      <c r="Q134" s="43"/>
      <c r="R134" s="88"/>
      <c r="S134" s="40"/>
      <c r="T134" s="260"/>
      <c r="U134" s="40"/>
      <c r="V134" s="40"/>
      <c r="W134" s="40"/>
      <c r="X134" s="40"/>
      <c r="Y134" s="40"/>
      <c r="Z134" s="40"/>
      <c r="AA134" s="40"/>
      <c r="AB134" s="40"/>
      <c r="AC134" s="139"/>
      <c r="AD134" s="139"/>
      <c r="AE134" s="40"/>
      <c r="AF134" s="40"/>
      <c r="AG134" s="139"/>
      <c r="AH134" s="139"/>
      <c r="AI134" s="139"/>
      <c r="AJ134" s="43"/>
      <c r="AK134" s="43"/>
      <c r="AL134" s="139"/>
      <c r="AM134" s="43"/>
      <c r="AN134" s="43"/>
      <c r="AO134" s="139"/>
      <c r="AP134" s="43"/>
      <c r="AQ134" s="43"/>
      <c r="AR134" s="139"/>
      <c r="AS134" s="43"/>
      <c r="AT134" s="43"/>
      <c r="AU134" s="139"/>
      <c r="AV134" s="43"/>
      <c r="AW134" s="43"/>
      <c r="AX134" s="139"/>
      <c r="AY134" s="139"/>
      <c r="AZ134" s="43"/>
      <c r="BA134" s="139"/>
      <c r="BB134" s="139"/>
      <c r="BC134" s="139"/>
      <c r="BD134" s="139"/>
      <c r="BE134" s="139"/>
      <c r="BF134" s="43"/>
      <c r="BG134" s="139"/>
      <c r="BH134" s="139"/>
      <c r="BI134" s="43"/>
      <c r="BJ134" s="139"/>
      <c r="BK134" s="43"/>
      <c r="BL134" s="139"/>
      <c r="BM134" s="139"/>
      <c r="BN134" s="43"/>
      <c r="BO134" s="139"/>
      <c r="BP134" s="139"/>
      <c r="BQ134" s="43"/>
      <c r="BR134" s="43"/>
      <c r="BS134" s="139"/>
      <c r="BT134" s="43"/>
      <c r="BU134" s="43"/>
      <c r="BV134" s="139"/>
      <c r="BW134" s="43"/>
      <c r="BX134" s="43"/>
      <c r="BY134" s="139"/>
      <c r="BZ134" s="43"/>
      <c r="CA134" s="43"/>
      <c r="CB134" s="139"/>
      <c r="CC134" s="43"/>
      <c r="CD134" s="43"/>
      <c r="CE134" s="139"/>
      <c r="CF134" s="43"/>
      <c r="CG134" s="43"/>
      <c r="CH134" s="139"/>
      <c r="CI134" s="43"/>
      <c r="CJ134" s="43"/>
      <c r="CK134" s="139"/>
    </row>
    <row r="135" ht="15.75" customHeight="1">
      <c r="A135" s="43"/>
      <c r="B135" s="43"/>
      <c r="C135" s="15"/>
      <c r="D135" s="15"/>
      <c r="E135" s="146"/>
      <c r="F135" s="139"/>
      <c r="G135" s="15"/>
      <c r="H135" s="43"/>
      <c r="I135" s="43"/>
      <c r="J135" s="43"/>
      <c r="K135" s="61"/>
      <c r="L135" s="139"/>
      <c r="M135" s="139"/>
      <c r="N135" s="145"/>
      <c r="O135" s="43"/>
      <c r="P135" s="145"/>
      <c r="Q135" s="43"/>
      <c r="R135" s="88"/>
      <c r="S135" s="40"/>
      <c r="T135" s="260"/>
      <c r="U135" s="40"/>
      <c r="V135" s="40"/>
      <c r="W135" s="40"/>
      <c r="X135" s="40"/>
      <c r="Y135" s="40"/>
      <c r="Z135" s="40"/>
      <c r="AA135" s="40"/>
      <c r="AB135" s="40"/>
      <c r="AC135" s="139"/>
      <c r="AD135" s="139"/>
      <c r="AE135" s="40"/>
      <c r="AF135" s="40"/>
      <c r="AG135" s="139"/>
      <c r="AH135" s="139"/>
      <c r="AI135" s="139"/>
      <c r="AJ135" s="43"/>
      <c r="AK135" s="43"/>
      <c r="AL135" s="139"/>
      <c r="AM135" s="43"/>
      <c r="AN135" s="43"/>
      <c r="AO135" s="139"/>
      <c r="AP135" s="43"/>
      <c r="AQ135" s="43"/>
      <c r="AR135" s="139"/>
      <c r="AS135" s="43"/>
      <c r="AT135" s="43"/>
      <c r="AU135" s="139"/>
      <c r="AV135" s="43"/>
      <c r="AW135" s="43"/>
      <c r="AX135" s="139"/>
      <c r="AY135" s="139"/>
      <c r="AZ135" s="43"/>
      <c r="BA135" s="139"/>
      <c r="BB135" s="139"/>
      <c r="BC135" s="139"/>
      <c r="BD135" s="139"/>
      <c r="BE135" s="139"/>
      <c r="BF135" s="43"/>
      <c r="BG135" s="139"/>
      <c r="BH135" s="139"/>
      <c r="BI135" s="43"/>
      <c r="BJ135" s="139"/>
      <c r="BK135" s="43"/>
      <c r="BL135" s="139"/>
      <c r="BM135" s="139"/>
      <c r="BN135" s="43"/>
      <c r="BO135" s="139"/>
      <c r="BP135" s="139"/>
      <c r="BQ135" s="43"/>
      <c r="BR135" s="43"/>
      <c r="BS135" s="139"/>
      <c r="BT135" s="43"/>
      <c r="BU135" s="43"/>
      <c r="BV135" s="139"/>
      <c r="BW135" s="43"/>
      <c r="BX135" s="43"/>
      <c r="BY135" s="139"/>
      <c r="BZ135" s="43"/>
      <c r="CA135" s="43"/>
      <c r="CB135" s="139"/>
      <c r="CC135" s="43"/>
      <c r="CD135" s="43"/>
      <c r="CE135" s="139"/>
      <c r="CF135" s="43"/>
      <c r="CG135" s="43"/>
      <c r="CH135" s="139"/>
      <c r="CI135" s="43"/>
      <c r="CJ135" s="43"/>
      <c r="CK135" s="139"/>
    </row>
    <row r="136" ht="15.75" customHeight="1">
      <c r="A136" s="43"/>
      <c r="B136" s="43"/>
      <c r="C136" s="15"/>
      <c r="D136" s="15"/>
      <c r="E136" s="146"/>
      <c r="F136" s="139"/>
      <c r="G136" s="15"/>
      <c r="H136" s="43"/>
      <c r="I136" s="43"/>
      <c r="J136" s="43"/>
      <c r="K136" s="61"/>
      <c r="L136" s="139"/>
      <c r="M136" s="139"/>
      <c r="N136" s="145"/>
      <c r="O136" s="43"/>
      <c r="P136" s="145"/>
      <c r="Q136" s="43"/>
      <c r="R136" s="88"/>
      <c r="S136" s="40"/>
      <c r="T136" s="260"/>
      <c r="U136" s="40"/>
      <c r="V136" s="40"/>
      <c r="W136" s="40"/>
      <c r="X136" s="40"/>
      <c r="Y136" s="40"/>
      <c r="Z136" s="40"/>
      <c r="AA136" s="40"/>
      <c r="AB136" s="40"/>
      <c r="AC136" s="139"/>
      <c r="AD136" s="139"/>
      <c r="AE136" s="40"/>
      <c r="AF136" s="40"/>
      <c r="AG136" s="139"/>
      <c r="AH136" s="139"/>
      <c r="AI136" s="139"/>
      <c r="AJ136" s="43"/>
      <c r="AK136" s="43"/>
      <c r="AL136" s="139"/>
      <c r="AM136" s="43"/>
      <c r="AN136" s="43"/>
      <c r="AO136" s="139"/>
      <c r="AP136" s="43"/>
      <c r="AQ136" s="43"/>
      <c r="AR136" s="139"/>
      <c r="AS136" s="43"/>
      <c r="AT136" s="43"/>
      <c r="AU136" s="139"/>
      <c r="AV136" s="43"/>
      <c r="AW136" s="43"/>
      <c r="AX136" s="139"/>
      <c r="AY136" s="139"/>
      <c r="AZ136" s="43"/>
      <c r="BA136" s="139"/>
      <c r="BB136" s="139"/>
      <c r="BC136" s="139"/>
      <c r="BD136" s="139"/>
      <c r="BE136" s="139"/>
      <c r="BF136" s="43"/>
      <c r="BG136" s="139"/>
      <c r="BH136" s="139"/>
      <c r="BI136" s="43"/>
      <c r="BJ136" s="139"/>
      <c r="BK136" s="43"/>
      <c r="BL136" s="139"/>
      <c r="BM136" s="139"/>
      <c r="BN136" s="43"/>
      <c r="BO136" s="139"/>
      <c r="BP136" s="139"/>
      <c r="BQ136" s="43"/>
      <c r="BR136" s="43"/>
      <c r="BS136" s="139"/>
      <c r="BT136" s="43"/>
      <c r="BU136" s="43"/>
      <c r="BV136" s="139"/>
      <c r="BW136" s="43"/>
      <c r="BX136" s="43"/>
      <c r="BY136" s="139"/>
      <c r="BZ136" s="43"/>
      <c r="CA136" s="43"/>
      <c r="CB136" s="139"/>
      <c r="CC136" s="43"/>
      <c r="CD136" s="43"/>
      <c r="CE136" s="139"/>
      <c r="CF136" s="43"/>
      <c r="CG136" s="43"/>
      <c r="CH136" s="139"/>
      <c r="CI136" s="43"/>
      <c r="CJ136" s="43"/>
      <c r="CK136" s="139"/>
    </row>
    <row r="137" ht="15.75" customHeight="1">
      <c r="A137" s="43"/>
      <c r="B137" s="43"/>
      <c r="C137" s="15"/>
      <c r="D137" s="15"/>
      <c r="E137" s="146"/>
      <c r="F137" s="139"/>
      <c r="G137" s="15"/>
      <c r="H137" s="43"/>
      <c r="I137" s="43"/>
      <c r="J137" s="43"/>
      <c r="K137" s="61"/>
      <c r="L137" s="139"/>
      <c r="M137" s="139"/>
      <c r="N137" s="145"/>
      <c r="O137" s="43"/>
      <c r="P137" s="145"/>
      <c r="Q137" s="43"/>
      <c r="R137" s="88"/>
      <c r="S137" s="40"/>
      <c r="T137" s="260"/>
      <c r="U137" s="40"/>
      <c r="V137" s="40"/>
      <c r="W137" s="40"/>
      <c r="X137" s="40"/>
      <c r="Y137" s="40"/>
      <c r="Z137" s="40"/>
      <c r="AA137" s="40"/>
      <c r="AB137" s="40"/>
      <c r="AC137" s="139"/>
      <c r="AD137" s="139"/>
      <c r="AE137" s="40"/>
      <c r="AF137" s="40"/>
      <c r="AG137" s="139"/>
      <c r="AH137" s="139"/>
      <c r="AI137" s="139"/>
      <c r="AJ137" s="43"/>
      <c r="AK137" s="43"/>
      <c r="AL137" s="139"/>
      <c r="AM137" s="43"/>
      <c r="AN137" s="43"/>
      <c r="AO137" s="139"/>
      <c r="AP137" s="43"/>
      <c r="AQ137" s="43"/>
      <c r="AR137" s="139"/>
      <c r="AS137" s="43"/>
      <c r="AT137" s="43"/>
      <c r="AU137" s="139"/>
      <c r="AV137" s="43"/>
      <c r="AW137" s="43"/>
      <c r="AX137" s="139"/>
      <c r="AY137" s="139"/>
      <c r="AZ137" s="43"/>
      <c r="BA137" s="139"/>
      <c r="BB137" s="139"/>
      <c r="BC137" s="139"/>
      <c r="BD137" s="139"/>
      <c r="BE137" s="139"/>
      <c r="BF137" s="43"/>
      <c r="BG137" s="139"/>
      <c r="BH137" s="139"/>
      <c r="BI137" s="43"/>
      <c r="BJ137" s="139"/>
      <c r="BK137" s="43"/>
      <c r="BL137" s="139"/>
      <c r="BM137" s="139"/>
      <c r="BN137" s="43"/>
      <c r="BO137" s="139"/>
      <c r="BP137" s="139"/>
      <c r="BQ137" s="43"/>
      <c r="BR137" s="43"/>
      <c r="BS137" s="139"/>
      <c r="BT137" s="43"/>
      <c r="BU137" s="43"/>
      <c r="BV137" s="139"/>
      <c r="BW137" s="43"/>
      <c r="BX137" s="43"/>
      <c r="BY137" s="139"/>
      <c r="BZ137" s="43"/>
      <c r="CA137" s="43"/>
      <c r="CB137" s="139"/>
      <c r="CC137" s="43"/>
      <c r="CD137" s="43"/>
      <c r="CE137" s="139"/>
      <c r="CF137" s="43"/>
      <c r="CG137" s="43"/>
      <c r="CH137" s="139"/>
      <c r="CI137" s="43"/>
      <c r="CJ137" s="43"/>
      <c r="CK137" s="139"/>
    </row>
    <row r="138" ht="15.75" customHeight="1">
      <c r="A138" s="43"/>
      <c r="B138" s="43"/>
      <c r="C138" s="15"/>
      <c r="D138" s="15"/>
      <c r="E138" s="146"/>
      <c r="F138" s="139"/>
      <c r="G138" s="15"/>
      <c r="H138" s="43"/>
      <c r="I138" s="43"/>
      <c r="J138" s="43"/>
      <c r="K138" s="61"/>
      <c r="L138" s="139"/>
      <c r="M138" s="139"/>
      <c r="N138" s="145"/>
      <c r="O138" s="43"/>
      <c r="P138" s="145"/>
      <c r="Q138" s="43"/>
      <c r="R138" s="88"/>
      <c r="S138" s="40"/>
      <c r="T138" s="260"/>
      <c r="U138" s="40"/>
      <c r="V138" s="40"/>
      <c r="W138" s="40"/>
      <c r="X138" s="40"/>
      <c r="Y138" s="40"/>
      <c r="Z138" s="40"/>
      <c r="AA138" s="40"/>
      <c r="AB138" s="40"/>
      <c r="AC138" s="139"/>
      <c r="AD138" s="139"/>
      <c r="AE138" s="40"/>
      <c r="AF138" s="40"/>
      <c r="AG138" s="139"/>
      <c r="AH138" s="139"/>
      <c r="AI138" s="139"/>
      <c r="AJ138" s="43"/>
      <c r="AK138" s="43"/>
      <c r="AL138" s="139"/>
      <c r="AM138" s="43"/>
      <c r="AN138" s="43"/>
      <c r="AO138" s="139"/>
      <c r="AP138" s="43"/>
      <c r="AQ138" s="43"/>
      <c r="AR138" s="139"/>
      <c r="AS138" s="43"/>
      <c r="AT138" s="43"/>
      <c r="AU138" s="139"/>
      <c r="AV138" s="43"/>
      <c r="AW138" s="43"/>
      <c r="AX138" s="139"/>
      <c r="AY138" s="139"/>
      <c r="AZ138" s="43"/>
      <c r="BA138" s="139"/>
      <c r="BB138" s="139"/>
      <c r="BC138" s="139"/>
      <c r="BD138" s="139"/>
      <c r="BE138" s="139"/>
      <c r="BF138" s="43"/>
      <c r="BG138" s="139"/>
      <c r="BH138" s="139"/>
      <c r="BI138" s="43"/>
      <c r="BJ138" s="139"/>
      <c r="BK138" s="43"/>
      <c r="BL138" s="139"/>
      <c r="BM138" s="139"/>
      <c r="BN138" s="43"/>
      <c r="BO138" s="139"/>
      <c r="BP138" s="139"/>
      <c r="BQ138" s="43"/>
      <c r="BR138" s="43"/>
      <c r="BS138" s="139"/>
      <c r="BT138" s="43"/>
      <c r="BU138" s="43"/>
      <c r="BV138" s="139"/>
      <c r="BW138" s="43"/>
      <c r="BX138" s="43"/>
      <c r="BY138" s="139"/>
      <c r="BZ138" s="43"/>
      <c r="CA138" s="43"/>
      <c r="CB138" s="139"/>
      <c r="CC138" s="43"/>
      <c r="CD138" s="43"/>
      <c r="CE138" s="139"/>
      <c r="CF138" s="43"/>
      <c r="CG138" s="43"/>
      <c r="CH138" s="139"/>
      <c r="CI138" s="43"/>
      <c r="CJ138" s="43"/>
      <c r="CK138" s="139"/>
    </row>
    <row r="139" ht="15.75" customHeight="1">
      <c r="A139" s="43"/>
      <c r="B139" s="43"/>
      <c r="C139" s="15"/>
      <c r="D139" s="15"/>
      <c r="E139" s="146"/>
      <c r="F139" s="139"/>
      <c r="G139" s="15"/>
      <c r="H139" s="43"/>
      <c r="I139" s="43"/>
      <c r="J139" s="43"/>
      <c r="K139" s="61"/>
      <c r="L139" s="139"/>
      <c r="M139" s="139"/>
      <c r="N139" s="145"/>
      <c r="O139" s="43"/>
      <c r="P139" s="145"/>
      <c r="Q139" s="43"/>
      <c r="R139" s="88"/>
      <c r="S139" s="40"/>
      <c r="T139" s="260"/>
      <c r="U139" s="40"/>
      <c r="V139" s="40"/>
      <c r="W139" s="40"/>
      <c r="X139" s="40"/>
      <c r="Y139" s="40"/>
      <c r="Z139" s="40"/>
      <c r="AA139" s="40"/>
      <c r="AB139" s="40"/>
      <c r="AC139" s="139"/>
      <c r="AD139" s="139"/>
      <c r="AE139" s="40"/>
      <c r="AF139" s="40"/>
      <c r="AG139" s="139"/>
      <c r="AH139" s="139"/>
      <c r="AI139" s="139"/>
      <c r="AJ139" s="43"/>
      <c r="AK139" s="43"/>
      <c r="AL139" s="139"/>
      <c r="AM139" s="43"/>
      <c r="AN139" s="43"/>
      <c r="AO139" s="139"/>
      <c r="AP139" s="43"/>
      <c r="AQ139" s="43"/>
      <c r="AR139" s="139"/>
      <c r="AS139" s="43"/>
      <c r="AT139" s="43"/>
      <c r="AU139" s="139"/>
      <c r="AV139" s="43"/>
      <c r="AW139" s="43"/>
      <c r="AX139" s="139"/>
      <c r="AY139" s="139"/>
      <c r="AZ139" s="43"/>
      <c r="BA139" s="139"/>
      <c r="BB139" s="139"/>
      <c r="BC139" s="139"/>
      <c r="BD139" s="139"/>
      <c r="BE139" s="139"/>
      <c r="BF139" s="43"/>
      <c r="BG139" s="139"/>
      <c r="BH139" s="139"/>
      <c r="BI139" s="43"/>
      <c r="BJ139" s="139"/>
      <c r="BK139" s="43"/>
      <c r="BL139" s="139"/>
      <c r="BM139" s="139"/>
      <c r="BN139" s="43"/>
      <c r="BO139" s="139"/>
      <c r="BP139" s="139"/>
      <c r="BQ139" s="43"/>
      <c r="BR139" s="43"/>
      <c r="BS139" s="139"/>
      <c r="BT139" s="43"/>
      <c r="BU139" s="43"/>
      <c r="BV139" s="139"/>
      <c r="BW139" s="43"/>
      <c r="BX139" s="43"/>
      <c r="BY139" s="139"/>
      <c r="BZ139" s="43"/>
      <c r="CA139" s="43"/>
      <c r="CB139" s="139"/>
      <c r="CC139" s="43"/>
      <c r="CD139" s="43"/>
      <c r="CE139" s="139"/>
      <c r="CF139" s="43"/>
      <c r="CG139" s="43"/>
      <c r="CH139" s="139"/>
      <c r="CI139" s="43"/>
      <c r="CJ139" s="43"/>
      <c r="CK139" s="139"/>
    </row>
    <row r="140" ht="15.75" customHeight="1">
      <c r="A140" s="43"/>
      <c r="B140" s="43"/>
      <c r="C140" s="15"/>
      <c r="D140" s="15"/>
      <c r="E140" s="146"/>
      <c r="F140" s="139"/>
      <c r="G140" s="15"/>
      <c r="H140" s="43"/>
      <c r="I140" s="43"/>
      <c r="J140" s="43"/>
      <c r="K140" s="61"/>
      <c r="L140" s="139"/>
      <c r="M140" s="139"/>
      <c r="N140" s="145"/>
      <c r="O140" s="43"/>
      <c r="P140" s="145"/>
      <c r="Q140" s="43"/>
      <c r="R140" s="88"/>
      <c r="S140" s="40"/>
      <c r="T140" s="260"/>
      <c r="U140" s="40"/>
      <c r="V140" s="40"/>
      <c r="W140" s="40"/>
      <c r="X140" s="40"/>
      <c r="Y140" s="40"/>
      <c r="Z140" s="40"/>
      <c r="AA140" s="40"/>
      <c r="AB140" s="40"/>
      <c r="AC140" s="139"/>
      <c r="AD140" s="139"/>
      <c r="AE140" s="40"/>
      <c r="AF140" s="40"/>
      <c r="AG140" s="139"/>
      <c r="AH140" s="139"/>
      <c r="AI140" s="139"/>
      <c r="AJ140" s="43"/>
      <c r="AK140" s="43"/>
      <c r="AL140" s="139"/>
      <c r="AM140" s="43"/>
      <c r="AN140" s="43"/>
      <c r="AO140" s="139"/>
      <c r="AP140" s="43"/>
      <c r="AQ140" s="43"/>
      <c r="AR140" s="139"/>
      <c r="AS140" s="43"/>
      <c r="AT140" s="43"/>
      <c r="AU140" s="139"/>
      <c r="AV140" s="43"/>
      <c r="AW140" s="43"/>
      <c r="AX140" s="139"/>
      <c r="AY140" s="139"/>
      <c r="AZ140" s="43"/>
      <c r="BA140" s="139"/>
      <c r="BB140" s="139"/>
      <c r="BC140" s="139"/>
      <c r="BD140" s="139"/>
      <c r="BE140" s="139"/>
      <c r="BF140" s="43"/>
      <c r="BG140" s="139"/>
      <c r="BH140" s="139"/>
      <c r="BI140" s="43"/>
      <c r="BJ140" s="139"/>
      <c r="BK140" s="43"/>
      <c r="BL140" s="139"/>
      <c r="BM140" s="139"/>
      <c r="BN140" s="43"/>
      <c r="BO140" s="139"/>
      <c r="BP140" s="139"/>
      <c r="BQ140" s="43"/>
      <c r="BR140" s="43"/>
      <c r="BS140" s="139"/>
      <c r="BT140" s="43"/>
      <c r="BU140" s="43"/>
      <c r="BV140" s="139"/>
      <c r="BW140" s="43"/>
      <c r="BX140" s="43"/>
      <c r="BY140" s="139"/>
      <c r="BZ140" s="43"/>
      <c r="CA140" s="43"/>
      <c r="CB140" s="139"/>
      <c r="CC140" s="43"/>
      <c r="CD140" s="43"/>
      <c r="CE140" s="139"/>
      <c r="CF140" s="43"/>
      <c r="CG140" s="43"/>
      <c r="CH140" s="139"/>
      <c r="CI140" s="43"/>
      <c r="CJ140" s="43"/>
      <c r="CK140" s="139"/>
    </row>
    <row r="141" ht="15.75" customHeight="1">
      <c r="A141" s="43"/>
      <c r="B141" s="43"/>
      <c r="C141" s="15"/>
      <c r="D141" s="15"/>
      <c r="E141" s="146"/>
      <c r="F141" s="139"/>
      <c r="G141" s="15"/>
      <c r="H141" s="43"/>
      <c r="I141" s="43"/>
      <c r="J141" s="43"/>
      <c r="K141" s="61"/>
      <c r="L141" s="139"/>
      <c r="M141" s="139"/>
      <c r="N141" s="145"/>
      <c r="O141" s="43"/>
      <c r="P141" s="145"/>
      <c r="Q141" s="43"/>
      <c r="R141" s="88"/>
      <c r="S141" s="40"/>
      <c r="T141" s="260"/>
      <c r="U141" s="40"/>
      <c r="V141" s="40"/>
      <c r="W141" s="40"/>
      <c r="X141" s="40"/>
      <c r="Y141" s="40"/>
      <c r="Z141" s="40"/>
      <c r="AA141" s="40"/>
      <c r="AB141" s="40"/>
      <c r="AC141" s="139"/>
      <c r="AD141" s="139"/>
      <c r="AE141" s="40"/>
      <c r="AF141" s="40"/>
      <c r="AG141" s="139"/>
      <c r="AH141" s="139"/>
      <c r="AI141" s="139"/>
      <c r="AJ141" s="43"/>
      <c r="AK141" s="43"/>
      <c r="AL141" s="139"/>
      <c r="AM141" s="43"/>
      <c r="AN141" s="43"/>
      <c r="AO141" s="139"/>
      <c r="AP141" s="43"/>
      <c r="AQ141" s="43"/>
      <c r="AR141" s="139"/>
      <c r="AS141" s="43"/>
      <c r="AT141" s="43"/>
      <c r="AU141" s="139"/>
      <c r="AV141" s="43"/>
      <c r="AW141" s="43"/>
      <c r="AX141" s="139"/>
      <c r="AY141" s="139"/>
      <c r="AZ141" s="43"/>
      <c r="BA141" s="139"/>
      <c r="BB141" s="139"/>
      <c r="BC141" s="139"/>
      <c r="BD141" s="139"/>
      <c r="BE141" s="139"/>
      <c r="BF141" s="43"/>
      <c r="BG141" s="139"/>
      <c r="BH141" s="139"/>
      <c r="BI141" s="43"/>
      <c r="BJ141" s="139"/>
      <c r="BK141" s="43"/>
      <c r="BL141" s="139"/>
      <c r="BM141" s="139"/>
      <c r="BN141" s="43"/>
      <c r="BO141" s="139"/>
      <c r="BP141" s="139"/>
      <c r="BQ141" s="43"/>
      <c r="BR141" s="43"/>
      <c r="BS141" s="139"/>
      <c r="BT141" s="43"/>
      <c r="BU141" s="43"/>
      <c r="BV141" s="139"/>
      <c r="BW141" s="43"/>
      <c r="BX141" s="43"/>
      <c r="BY141" s="139"/>
      <c r="BZ141" s="43"/>
      <c r="CA141" s="43"/>
      <c r="CB141" s="139"/>
      <c r="CC141" s="43"/>
      <c r="CD141" s="43"/>
      <c r="CE141" s="139"/>
      <c r="CF141" s="43"/>
      <c r="CG141" s="43"/>
      <c r="CH141" s="139"/>
      <c r="CI141" s="43"/>
      <c r="CJ141" s="43"/>
      <c r="CK141" s="139"/>
    </row>
    <row r="142" ht="15.75" customHeight="1">
      <c r="A142" s="43"/>
      <c r="B142" s="43"/>
      <c r="C142" s="15"/>
      <c r="D142" s="15"/>
      <c r="E142" s="146"/>
      <c r="F142" s="139"/>
      <c r="G142" s="15"/>
      <c r="H142" s="43"/>
      <c r="I142" s="43"/>
      <c r="J142" s="43"/>
      <c r="K142" s="61"/>
      <c r="L142" s="139"/>
      <c r="M142" s="139"/>
      <c r="N142" s="145"/>
      <c r="O142" s="43"/>
      <c r="P142" s="145"/>
      <c r="Q142" s="43"/>
      <c r="R142" s="88"/>
      <c r="S142" s="40"/>
      <c r="T142" s="260"/>
      <c r="U142" s="40"/>
      <c r="V142" s="40"/>
      <c r="W142" s="40"/>
      <c r="X142" s="40"/>
      <c r="Y142" s="40"/>
      <c r="Z142" s="40"/>
      <c r="AA142" s="40"/>
      <c r="AB142" s="40"/>
      <c r="AC142" s="139"/>
      <c r="AD142" s="139"/>
      <c r="AE142" s="40"/>
      <c r="AF142" s="40"/>
      <c r="AG142" s="139"/>
      <c r="AH142" s="139"/>
      <c r="AI142" s="139"/>
      <c r="AJ142" s="43"/>
      <c r="AK142" s="43"/>
      <c r="AL142" s="139"/>
      <c r="AM142" s="43"/>
      <c r="AN142" s="43"/>
      <c r="AO142" s="139"/>
      <c r="AP142" s="43"/>
      <c r="AQ142" s="43"/>
      <c r="AR142" s="139"/>
      <c r="AS142" s="43"/>
      <c r="AT142" s="43"/>
      <c r="AU142" s="139"/>
      <c r="AV142" s="43"/>
      <c r="AW142" s="43"/>
      <c r="AX142" s="139"/>
      <c r="AY142" s="139"/>
      <c r="AZ142" s="43"/>
      <c r="BA142" s="139"/>
      <c r="BB142" s="139"/>
      <c r="BC142" s="139"/>
      <c r="BD142" s="139"/>
      <c r="BE142" s="139"/>
      <c r="BF142" s="43"/>
      <c r="BG142" s="139"/>
      <c r="BH142" s="139"/>
      <c r="BI142" s="43"/>
      <c r="BJ142" s="139"/>
      <c r="BK142" s="43"/>
      <c r="BL142" s="139"/>
      <c r="BM142" s="139"/>
      <c r="BN142" s="43"/>
      <c r="BO142" s="139"/>
      <c r="BP142" s="139"/>
      <c r="BQ142" s="43"/>
      <c r="BR142" s="43"/>
      <c r="BS142" s="139"/>
      <c r="BT142" s="43"/>
      <c r="BU142" s="43"/>
      <c r="BV142" s="139"/>
      <c r="BW142" s="43"/>
      <c r="BX142" s="43"/>
      <c r="BY142" s="139"/>
      <c r="BZ142" s="43"/>
      <c r="CA142" s="43"/>
      <c r="CB142" s="139"/>
      <c r="CC142" s="43"/>
      <c r="CD142" s="43"/>
      <c r="CE142" s="139"/>
      <c r="CF142" s="43"/>
      <c r="CG142" s="43"/>
      <c r="CH142" s="139"/>
      <c r="CI142" s="43"/>
      <c r="CJ142" s="43"/>
      <c r="CK142" s="139"/>
    </row>
    <row r="143" ht="15.75" customHeight="1">
      <c r="A143" s="43"/>
      <c r="B143" s="43"/>
      <c r="C143" s="15"/>
      <c r="D143" s="15"/>
      <c r="E143" s="146"/>
      <c r="F143" s="139"/>
      <c r="G143" s="15"/>
      <c r="H143" s="43"/>
      <c r="I143" s="43"/>
      <c r="J143" s="43"/>
      <c r="K143" s="61"/>
      <c r="L143" s="139"/>
      <c r="M143" s="139"/>
      <c r="N143" s="145"/>
      <c r="O143" s="43"/>
      <c r="P143" s="145"/>
      <c r="Q143" s="43"/>
      <c r="R143" s="88"/>
      <c r="S143" s="40"/>
      <c r="T143" s="260"/>
      <c r="U143" s="40"/>
      <c r="V143" s="40"/>
      <c r="W143" s="40"/>
      <c r="X143" s="40"/>
      <c r="Y143" s="40"/>
      <c r="Z143" s="40"/>
      <c r="AA143" s="40"/>
      <c r="AB143" s="40"/>
      <c r="AC143" s="139"/>
      <c r="AD143" s="139"/>
      <c r="AE143" s="40"/>
      <c r="AF143" s="40"/>
      <c r="AG143" s="139"/>
      <c r="AH143" s="139"/>
      <c r="AI143" s="139"/>
      <c r="AJ143" s="43"/>
      <c r="AK143" s="43"/>
      <c r="AL143" s="139"/>
      <c r="AM143" s="43"/>
      <c r="AN143" s="43"/>
      <c r="AO143" s="139"/>
      <c r="AP143" s="43"/>
      <c r="AQ143" s="43"/>
      <c r="AR143" s="139"/>
      <c r="AS143" s="43"/>
      <c r="AT143" s="43"/>
      <c r="AU143" s="139"/>
      <c r="AV143" s="43"/>
      <c r="AW143" s="43"/>
      <c r="AX143" s="139"/>
      <c r="AY143" s="139"/>
      <c r="AZ143" s="43"/>
      <c r="BA143" s="139"/>
      <c r="BB143" s="139"/>
      <c r="BC143" s="139"/>
      <c r="BD143" s="139"/>
      <c r="BE143" s="139"/>
      <c r="BF143" s="43"/>
      <c r="BG143" s="139"/>
      <c r="BH143" s="139"/>
      <c r="BI143" s="43"/>
      <c r="BJ143" s="139"/>
      <c r="BK143" s="43"/>
      <c r="BL143" s="139"/>
      <c r="BM143" s="139"/>
      <c r="BN143" s="43"/>
      <c r="BO143" s="139"/>
      <c r="BP143" s="139"/>
      <c r="BQ143" s="43"/>
      <c r="BR143" s="43"/>
      <c r="BS143" s="139"/>
      <c r="BT143" s="43"/>
      <c r="BU143" s="43"/>
      <c r="BV143" s="139"/>
      <c r="BW143" s="43"/>
      <c r="BX143" s="43"/>
      <c r="BY143" s="139"/>
      <c r="BZ143" s="43"/>
      <c r="CA143" s="43"/>
      <c r="CB143" s="139"/>
      <c r="CC143" s="43"/>
      <c r="CD143" s="43"/>
      <c r="CE143" s="139"/>
      <c r="CF143" s="43"/>
      <c r="CG143" s="43"/>
      <c r="CH143" s="139"/>
      <c r="CI143" s="43"/>
      <c r="CJ143" s="43"/>
      <c r="CK143" s="139"/>
    </row>
    <row r="144" ht="15.75" customHeight="1">
      <c r="A144" s="43"/>
      <c r="B144" s="43"/>
      <c r="C144" s="15"/>
      <c r="D144" s="15"/>
      <c r="E144" s="146"/>
      <c r="F144" s="139"/>
      <c r="G144" s="15"/>
      <c r="H144" s="43"/>
      <c r="I144" s="43"/>
      <c r="J144" s="43"/>
      <c r="K144" s="61"/>
      <c r="L144" s="139"/>
      <c r="M144" s="139"/>
      <c r="N144" s="145"/>
      <c r="O144" s="43"/>
      <c r="P144" s="145"/>
      <c r="Q144" s="43"/>
      <c r="R144" s="88"/>
      <c r="S144" s="40"/>
      <c r="T144" s="260"/>
      <c r="U144" s="40"/>
      <c r="V144" s="40"/>
      <c r="W144" s="40"/>
      <c r="X144" s="40"/>
      <c r="Y144" s="40"/>
      <c r="Z144" s="40"/>
      <c r="AA144" s="40"/>
      <c r="AB144" s="40"/>
      <c r="AC144" s="139"/>
      <c r="AD144" s="139"/>
      <c r="AE144" s="40"/>
      <c r="AF144" s="40"/>
      <c r="AG144" s="139"/>
      <c r="AH144" s="139"/>
      <c r="AI144" s="139"/>
      <c r="AJ144" s="43"/>
      <c r="AK144" s="43"/>
      <c r="AL144" s="139"/>
      <c r="AM144" s="43"/>
      <c r="AN144" s="43"/>
      <c r="AO144" s="139"/>
      <c r="AP144" s="43"/>
      <c r="AQ144" s="43"/>
      <c r="AR144" s="139"/>
      <c r="AS144" s="43"/>
      <c r="AT144" s="43"/>
      <c r="AU144" s="139"/>
      <c r="AV144" s="43"/>
      <c r="AW144" s="43"/>
      <c r="AX144" s="139"/>
      <c r="AY144" s="139"/>
      <c r="AZ144" s="43"/>
      <c r="BA144" s="139"/>
      <c r="BB144" s="139"/>
      <c r="BC144" s="139"/>
      <c r="BD144" s="139"/>
      <c r="BE144" s="139"/>
      <c r="BF144" s="43"/>
      <c r="BG144" s="139"/>
      <c r="BH144" s="139"/>
      <c r="BI144" s="43"/>
      <c r="BJ144" s="139"/>
      <c r="BK144" s="43"/>
      <c r="BL144" s="139"/>
      <c r="BM144" s="139"/>
      <c r="BN144" s="43"/>
      <c r="BO144" s="139"/>
      <c r="BP144" s="139"/>
      <c r="BQ144" s="43"/>
      <c r="BR144" s="43"/>
      <c r="BS144" s="139"/>
      <c r="BT144" s="43"/>
      <c r="BU144" s="43"/>
      <c r="BV144" s="139"/>
      <c r="BW144" s="43"/>
      <c r="BX144" s="43"/>
      <c r="BY144" s="139"/>
      <c r="BZ144" s="43"/>
      <c r="CA144" s="43"/>
      <c r="CB144" s="139"/>
      <c r="CC144" s="43"/>
      <c r="CD144" s="43"/>
      <c r="CE144" s="139"/>
      <c r="CF144" s="43"/>
      <c r="CG144" s="43"/>
      <c r="CH144" s="139"/>
      <c r="CI144" s="43"/>
      <c r="CJ144" s="43"/>
      <c r="CK144" s="139"/>
    </row>
    <row r="145" ht="15.75" customHeight="1">
      <c r="A145" s="43"/>
      <c r="B145" s="43"/>
      <c r="C145" s="15"/>
      <c r="D145" s="15"/>
      <c r="E145" s="146"/>
      <c r="F145" s="139"/>
      <c r="G145" s="15"/>
      <c r="H145" s="43"/>
      <c r="I145" s="43"/>
      <c r="J145" s="43"/>
      <c r="K145" s="61"/>
      <c r="L145" s="139"/>
      <c r="M145" s="139"/>
      <c r="N145" s="145"/>
      <c r="O145" s="43"/>
      <c r="P145" s="145"/>
      <c r="Q145" s="43"/>
      <c r="R145" s="88"/>
      <c r="S145" s="40"/>
      <c r="T145" s="260"/>
      <c r="U145" s="40"/>
      <c r="V145" s="40"/>
      <c r="W145" s="40"/>
      <c r="X145" s="40"/>
      <c r="Y145" s="40"/>
      <c r="Z145" s="40"/>
      <c r="AA145" s="40"/>
      <c r="AB145" s="40"/>
      <c r="AC145" s="139"/>
      <c r="AD145" s="139"/>
      <c r="AE145" s="40"/>
      <c r="AF145" s="40"/>
      <c r="AG145" s="139"/>
      <c r="AH145" s="139"/>
      <c r="AI145" s="139"/>
      <c r="AJ145" s="43"/>
      <c r="AK145" s="43"/>
      <c r="AL145" s="139"/>
      <c r="AM145" s="43"/>
      <c r="AN145" s="43"/>
      <c r="AO145" s="139"/>
      <c r="AP145" s="43"/>
      <c r="AQ145" s="43"/>
      <c r="AR145" s="139"/>
      <c r="AS145" s="43"/>
      <c r="AT145" s="43"/>
      <c r="AU145" s="139"/>
      <c r="AV145" s="43"/>
      <c r="AW145" s="43"/>
      <c r="AX145" s="139"/>
      <c r="AY145" s="139"/>
      <c r="AZ145" s="43"/>
      <c r="BA145" s="139"/>
      <c r="BB145" s="139"/>
      <c r="BC145" s="139"/>
      <c r="BD145" s="139"/>
      <c r="BE145" s="139"/>
      <c r="BF145" s="43"/>
      <c r="BG145" s="139"/>
      <c r="BH145" s="139"/>
      <c r="BI145" s="43"/>
      <c r="BJ145" s="139"/>
      <c r="BK145" s="43"/>
      <c r="BL145" s="139"/>
      <c r="BM145" s="139"/>
      <c r="BN145" s="43"/>
      <c r="BO145" s="139"/>
      <c r="BP145" s="139"/>
      <c r="BQ145" s="43"/>
      <c r="BR145" s="43"/>
      <c r="BS145" s="139"/>
      <c r="BT145" s="43"/>
      <c r="BU145" s="43"/>
      <c r="BV145" s="139"/>
      <c r="BW145" s="43"/>
      <c r="BX145" s="43"/>
      <c r="BY145" s="139"/>
      <c r="BZ145" s="43"/>
      <c r="CA145" s="43"/>
      <c r="CB145" s="139"/>
      <c r="CC145" s="43"/>
      <c r="CD145" s="43"/>
      <c r="CE145" s="139"/>
      <c r="CF145" s="43"/>
      <c r="CG145" s="43"/>
      <c r="CH145" s="139"/>
      <c r="CI145" s="43"/>
      <c r="CJ145" s="43"/>
      <c r="CK145" s="139"/>
    </row>
    <row r="146" ht="15.75" customHeight="1">
      <c r="A146" s="43"/>
      <c r="B146" s="43"/>
      <c r="C146" s="15"/>
      <c r="D146" s="15"/>
      <c r="E146" s="146"/>
      <c r="F146" s="139"/>
      <c r="G146" s="15"/>
      <c r="H146" s="43"/>
      <c r="I146" s="43"/>
      <c r="J146" s="43"/>
      <c r="K146" s="61"/>
      <c r="L146" s="139"/>
      <c r="M146" s="139"/>
      <c r="N146" s="145"/>
      <c r="O146" s="43"/>
      <c r="P146" s="145"/>
      <c r="Q146" s="43"/>
      <c r="R146" s="88"/>
      <c r="S146" s="40"/>
      <c r="T146" s="260"/>
      <c r="U146" s="40"/>
      <c r="V146" s="40"/>
      <c r="W146" s="40"/>
      <c r="X146" s="40"/>
      <c r="Y146" s="40"/>
      <c r="Z146" s="40"/>
      <c r="AA146" s="40"/>
      <c r="AB146" s="40"/>
      <c r="AC146" s="139"/>
      <c r="AD146" s="139"/>
      <c r="AE146" s="40"/>
      <c r="AF146" s="40"/>
      <c r="AG146" s="139"/>
      <c r="AH146" s="139"/>
      <c r="AI146" s="139"/>
      <c r="AJ146" s="43"/>
      <c r="AK146" s="43"/>
      <c r="AL146" s="139"/>
      <c r="AM146" s="43"/>
      <c r="AN146" s="43"/>
      <c r="AO146" s="139"/>
      <c r="AP146" s="43"/>
      <c r="AQ146" s="43"/>
      <c r="AR146" s="139"/>
      <c r="AS146" s="43"/>
      <c r="AT146" s="43"/>
      <c r="AU146" s="139"/>
      <c r="AV146" s="43"/>
      <c r="AW146" s="43"/>
      <c r="AX146" s="139"/>
      <c r="AY146" s="139"/>
      <c r="AZ146" s="43"/>
      <c r="BA146" s="139"/>
      <c r="BB146" s="139"/>
      <c r="BC146" s="139"/>
      <c r="BD146" s="139"/>
      <c r="BE146" s="139"/>
      <c r="BF146" s="43"/>
      <c r="BG146" s="139"/>
      <c r="BH146" s="139"/>
      <c r="BI146" s="43"/>
      <c r="BJ146" s="139"/>
      <c r="BK146" s="43"/>
      <c r="BL146" s="139"/>
      <c r="BM146" s="139"/>
      <c r="BN146" s="43"/>
      <c r="BO146" s="139"/>
      <c r="BP146" s="139"/>
      <c r="BQ146" s="43"/>
      <c r="BR146" s="43"/>
      <c r="BS146" s="139"/>
      <c r="BT146" s="43"/>
      <c r="BU146" s="43"/>
      <c r="BV146" s="139"/>
      <c r="BW146" s="43"/>
      <c r="BX146" s="43"/>
      <c r="BY146" s="139"/>
      <c r="BZ146" s="43"/>
      <c r="CA146" s="43"/>
      <c r="CB146" s="139"/>
      <c r="CC146" s="43"/>
      <c r="CD146" s="43"/>
      <c r="CE146" s="139"/>
      <c r="CF146" s="43"/>
      <c r="CG146" s="43"/>
      <c r="CH146" s="139"/>
      <c r="CI146" s="43"/>
      <c r="CJ146" s="43"/>
      <c r="CK146" s="139"/>
    </row>
    <row r="147" ht="15.75" customHeight="1">
      <c r="A147" s="43"/>
      <c r="B147" s="43"/>
      <c r="C147" s="15"/>
      <c r="D147" s="15"/>
      <c r="E147" s="146"/>
      <c r="F147" s="139"/>
      <c r="G147" s="15"/>
      <c r="H147" s="43"/>
      <c r="I147" s="43"/>
      <c r="J147" s="43"/>
      <c r="K147" s="61"/>
      <c r="L147" s="139"/>
      <c r="M147" s="139"/>
      <c r="N147" s="145"/>
      <c r="O147" s="43"/>
      <c r="P147" s="145"/>
      <c r="Q147" s="43"/>
      <c r="R147" s="88"/>
      <c r="S147" s="40"/>
      <c r="T147" s="260"/>
      <c r="U147" s="40"/>
      <c r="V147" s="40"/>
      <c r="W147" s="40"/>
      <c r="X147" s="40"/>
      <c r="Y147" s="40"/>
      <c r="Z147" s="40"/>
      <c r="AA147" s="40"/>
      <c r="AB147" s="40"/>
      <c r="AC147" s="139"/>
      <c r="AD147" s="139"/>
      <c r="AE147" s="40"/>
      <c r="AF147" s="40"/>
      <c r="AG147" s="139"/>
      <c r="AH147" s="139"/>
      <c r="AI147" s="139"/>
      <c r="AJ147" s="43"/>
      <c r="AK147" s="43"/>
      <c r="AL147" s="139"/>
      <c r="AM147" s="43"/>
      <c r="AN147" s="43"/>
      <c r="AO147" s="139"/>
      <c r="AP147" s="43"/>
      <c r="AQ147" s="43"/>
      <c r="AR147" s="139"/>
      <c r="AS147" s="43"/>
      <c r="AT147" s="43"/>
      <c r="AU147" s="139"/>
      <c r="AV147" s="43"/>
      <c r="AW147" s="43"/>
      <c r="AX147" s="139"/>
      <c r="AY147" s="139"/>
      <c r="AZ147" s="43"/>
      <c r="BA147" s="139"/>
      <c r="BB147" s="139"/>
      <c r="BC147" s="139"/>
      <c r="BD147" s="139"/>
      <c r="BE147" s="139"/>
      <c r="BF147" s="43"/>
      <c r="BG147" s="139"/>
      <c r="BH147" s="139"/>
      <c r="BI147" s="43"/>
      <c r="BJ147" s="139"/>
      <c r="BK147" s="43"/>
      <c r="BL147" s="139"/>
      <c r="BM147" s="139"/>
      <c r="BN147" s="43"/>
      <c r="BO147" s="139"/>
      <c r="BP147" s="139"/>
      <c r="BQ147" s="43"/>
      <c r="BR147" s="43"/>
      <c r="BS147" s="139"/>
      <c r="BT147" s="43"/>
      <c r="BU147" s="43"/>
      <c r="BV147" s="139"/>
      <c r="BW147" s="43"/>
      <c r="BX147" s="43"/>
      <c r="BY147" s="139"/>
      <c r="BZ147" s="43"/>
      <c r="CA147" s="43"/>
      <c r="CB147" s="139"/>
      <c r="CC147" s="43"/>
      <c r="CD147" s="43"/>
      <c r="CE147" s="139"/>
      <c r="CF147" s="43"/>
      <c r="CG147" s="43"/>
      <c r="CH147" s="139"/>
      <c r="CI147" s="43"/>
      <c r="CJ147" s="43"/>
      <c r="CK147" s="139"/>
    </row>
    <row r="148" ht="15.75" customHeight="1">
      <c r="A148" s="43"/>
      <c r="B148" s="43"/>
      <c r="C148" s="15"/>
      <c r="D148" s="15"/>
      <c r="E148" s="146"/>
      <c r="F148" s="139"/>
      <c r="G148" s="15"/>
      <c r="H148" s="43"/>
      <c r="I148" s="43"/>
      <c r="J148" s="43"/>
      <c r="K148" s="61"/>
      <c r="L148" s="139"/>
      <c r="M148" s="139"/>
      <c r="N148" s="145"/>
      <c r="O148" s="43"/>
      <c r="P148" s="145"/>
      <c r="Q148" s="43"/>
      <c r="R148" s="88"/>
      <c r="S148" s="40"/>
      <c r="T148" s="260"/>
      <c r="U148" s="40"/>
      <c r="V148" s="40"/>
      <c r="W148" s="40"/>
      <c r="X148" s="40"/>
      <c r="Y148" s="40"/>
      <c r="Z148" s="40"/>
      <c r="AA148" s="40"/>
      <c r="AB148" s="40"/>
      <c r="AC148" s="139"/>
      <c r="AD148" s="139"/>
      <c r="AE148" s="40"/>
      <c r="AF148" s="40"/>
      <c r="AG148" s="139"/>
      <c r="AH148" s="139"/>
      <c r="AI148" s="139"/>
      <c r="AJ148" s="43"/>
      <c r="AK148" s="43"/>
      <c r="AL148" s="139"/>
      <c r="AM148" s="43"/>
      <c r="AN148" s="43"/>
      <c r="AO148" s="139"/>
      <c r="AP148" s="43"/>
      <c r="AQ148" s="43"/>
      <c r="AR148" s="139"/>
      <c r="AS148" s="43"/>
      <c r="AT148" s="43"/>
      <c r="AU148" s="139"/>
      <c r="AV148" s="43"/>
      <c r="AW148" s="43"/>
      <c r="AX148" s="139"/>
      <c r="AY148" s="139"/>
      <c r="AZ148" s="43"/>
      <c r="BA148" s="139"/>
      <c r="BB148" s="139"/>
      <c r="BC148" s="139"/>
      <c r="BD148" s="139"/>
      <c r="BE148" s="139"/>
      <c r="BF148" s="43"/>
      <c r="BG148" s="139"/>
      <c r="BH148" s="139"/>
      <c r="BI148" s="43"/>
      <c r="BJ148" s="139"/>
      <c r="BK148" s="43"/>
      <c r="BL148" s="139"/>
      <c r="BM148" s="139"/>
      <c r="BN148" s="43"/>
      <c r="BO148" s="139"/>
      <c r="BP148" s="139"/>
      <c r="BQ148" s="43"/>
      <c r="BR148" s="43"/>
      <c r="BS148" s="139"/>
      <c r="BT148" s="43"/>
      <c r="BU148" s="43"/>
      <c r="BV148" s="139"/>
      <c r="BW148" s="43"/>
      <c r="BX148" s="43"/>
      <c r="BY148" s="139"/>
      <c r="BZ148" s="43"/>
      <c r="CA148" s="43"/>
      <c r="CB148" s="139"/>
      <c r="CC148" s="43"/>
      <c r="CD148" s="43"/>
      <c r="CE148" s="139"/>
      <c r="CF148" s="43"/>
      <c r="CG148" s="43"/>
      <c r="CH148" s="139"/>
      <c r="CI148" s="43"/>
      <c r="CJ148" s="43"/>
      <c r="CK148" s="139"/>
    </row>
    <row r="149" ht="15.75" customHeight="1">
      <c r="A149" s="43"/>
      <c r="B149" s="43"/>
      <c r="C149" s="15"/>
      <c r="D149" s="15"/>
      <c r="E149" s="146"/>
      <c r="F149" s="139"/>
      <c r="G149" s="15"/>
      <c r="H149" s="43"/>
      <c r="I149" s="43"/>
      <c r="J149" s="43"/>
      <c r="K149" s="61"/>
      <c r="L149" s="139"/>
      <c r="M149" s="139"/>
      <c r="N149" s="145"/>
      <c r="O149" s="43"/>
      <c r="P149" s="145"/>
      <c r="Q149" s="43"/>
      <c r="R149" s="88"/>
      <c r="S149" s="40"/>
      <c r="T149" s="260"/>
      <c r="U149" s="40"/>
      <c r="V149" s="40"/>
      <c r="W149" s="40"/>
      <c r="X149" s="40"/>
      <c r="Y149" s="40"/>
      <c r="Z149" s="40"/>
      <c r="AA149" s="40"/>
      <c r="AB149" s="40"/>
      <c r="AC149" s="139"/>
      <c r="AD149" s="139"/>
      <c r="AE149" s="40"/>
      <c r="AF149" s="40"/>
      <c r="AG149" s="139"/>
      <c r="AH149" s="139"/>
      <c r="AI149" s="139"/>
      <c r="AJ149" s="43"/>
      <c r="AK149" s="43"/>
      <c r="AL149" s="139"/>
      <c r="AM149" s="43"/>
      <c r="AN149" s="43"/>
      <c r="AO149" s="139"/>
      <c r="AP149" s="43"/>
      <c r="AQ149" s="43"/>
      <c r="AR149" s="139"/>
      <c r="AS149" s="43"/>
      <c r="AT149" s="43"/>
      <c r="AU149" s="139"/>
      <c r="AV149" s="43"/>
      <c r="AW149" s="43"/>
      <c r="AX149" s="139"/>
      <c r="AY149" s="139"/>
      <c r="AZ149" s="43"/>
      <c r="BA149" s="139"/>
      <c r="BB149" s="139"/>
      <c r="BC149" s="139"/>
      <c r="BD149" s="139"/>
      <c r="BE149" s="139"/>
      <c r="BF149" s="43"/>
      <c r="BG149" s="139"/>
      <c r="BH149" s="139"/>
      <c r="BI149" s="43"/>
      <c r="BJ149" s="139"/>
      <c r="BK149" s="43"/>
      <c r="BL149" s="139"/>
      <c r="BM149" s="139"/>
      <c r="BN149" s="43"/>
      <c r="BO149" s="139"/>
      <c r="BP149" s="139"/>
      <c r="BQ149" s="43"/>
      <c r="BR149" s="43"/>
      <c r="BS149" s="139"/>
      <c r="BT149" s="43"/>
      <c r="BU149" s="43"/>
      <c r="BV149" s="139"/>
      <c r="BW149" s="43"/>
      <c r="BX149" s="43"/>
      <c r="BY149" s="139"/>
      <c r="BZ149" s="43"/>
      <c r="CA149" s="43"/>
      <c r="CB149" s="139"/>
      <c r="CC149" s="43"/>
      <c r="CD149" s="43"/>
      <c r="CE149" s="139"/>
      <c r="CF149" s="43"/>
      <c r="CG149" s="43"/>
      <c r="CH149" s="139"/>
      <c r="CI149" s="43"/>
      <c r="CJ149" s="43"/>
      <c r="CK149" s="139"/>
    </row>
    <row r="150" ht="15.75" customHeight="1">
      <c r="A150" s="43"/>
      <c r="B150" s="43"/>
      <c r="C150" s="15"/>
      <c r="D150" s="15"/>
      <c r="E150" s="146"/>
      <c r="F150" s="139"/>
      <c r="G150" s="15"/>
      <c r="H150" s="43"/>
      <c r="I150" s="43"/>
      <c r="J150" s="43"/>
      <c r="K150" s="61"/>
      <c r="L150" s="139"/>
      <c r="M150" s="139"/>
      <c r="N150" s="145"/>
      <c r="O150" s="43"/>
      <c r="P150" s="145"/>
      <c r="Q150" s="43"/>
      <c r="R150" s="88"/>
      <c r="S150" s="40"/>
      <c r="T150" s="260"/>
      <c r="U150" s="40"/>
      <c r="V150" s="40"/>
      <c r="W150" s="40"/>
      <c r="X150" s="40"/>
      <c r="Y150" s="40"/>
      <c r="Z150" s="40"/>
      <c r="AA150" s="40"/>
      <c r="AB150" s="40"/>
      <c r="AC150" s="139"/>
      <c r="AD150" s="139"/>
      <c r="AE150" s="40"/>
      <c r="AF150" s="40"/>
      <c r="AG150" s="139"/>
      <c r="AH150" s="139"/>
      <c r="AI150" s="139"/>
      <c r="AJ150" s="43"/>
      <c r="AK150" s="43"/>
      <c r="AL150" s="139"/>
      <c r="AM150" s="43"/>
      <c r="AN150" s="43"/>
      <c r="AO150" s="139"/>
      <c r="AP150" s="43"/>
      <c r="AQ150" s="43"/>
      <c r="AR150" s="139"/>
      <c r="AS150" s="43"/>
      <c r="AT150" s="43"/>
      <c r="AU150" s="139"/>
      <c r="AV150" s="43"/>
      <c r="AW150" s="43"/>
      <c r="AX150" s="139"/>
      <c r="AY150" s="139"/>
      <c r="AZ150" s="43"/>
      <c r="BA150" s="139"/>
      <c r="BB150" s="139"/>
      <c r="BC150" s="139"/>
      <c r="BD150" s="139"/>
      <c r="BE150" s="139"/>
      <c r="BF150" s="43"/>
      <c r="BG150" s="139"/>
      <c r="BH150" s="139"/>
      <c r="BI150" s="43"/>
      <c r="BJ150" s="139"/>
      <c r="BK150" s="43"/>
      <c r="BL150" s="139"/>
      <c r="BM150" s="139"/>
      <c r="BN150" s="43"/>
      <c r="BO150" s="139"/>
      <c r="BP150" s="139"/>
      <c r="BQ150" s="43"/>
      <c r="BR150" s="43"/>
      <c r="BS150" s="139"/>
      <c r="BT150" s="43"/>
      <c r="BU150" s="43"/>
      <c r="BV150" s="139"/>
      <c r="BW150" s="43"/>
      <c r="BX150" s="43"/>
      <c r="BY150" s="139"/>
      <c r="BZ150" s="43"/>
      <c r="CA150" s="43"/>
      <c r="CB150" s="139"/>
      <c r="CC150" s="43"/>
      <c r="CD150" s="43"/>
      <c r="CE150" s="139"/>
      <c r="CF150" s="43"/>
      <c r="CG150" s="43"/>
      <c r="CH150" s="139"/>
      <c r="CI150" s="43"/>
      <c r="CJ150" s="43"/>
      <c r="CK150" s="139"/>
    </row>
    <row r="151" ht="15.75" customHeight="1">
      <c r="A151" s="43"/>
      <c r="B151" s="43"/>
      <c r="C151" s="15"/>
      <c r="D151" s="15"/>
      <c r="E151" s="146"/>
      <c r="F151" s="139"/>
      <c r="G151" s="15"/>
      <c r="H151" s="43"/>
      <c r="I151" s="43"/>
      <c r="J151" s="43"/>
      <c r="K151" s="61"/>
      <c r="L151" s="139"/>
      <c r="M151" s="139"/>
      <c r="N151" s="145"/>
      <c r="O151" s="43"/>
      <c r="P151" s="145"/>
      <c r="Q151" s="43"/>
      <c r="R151" s="88"/>
      <c r="S151" s="40"/>
      <c r="T151" s="260"/>
      <c r="U151" s="40"/>
      <c r="V151" s="40"/>
      <c r="W151" s="40"/>
      <c r="X151" s="40"/>
      <c r="Y151" s="40"/>
      <c r="Z151" s="40"/>
      <c r="AA151" s="40"/>
      <c r="AB151" s="40"/>
      <c r="AC151" s="139"/>
      <c r="AD151" s="139"/>
      <c r="AE151" s="40"/>
      <c r="AF151" s="40"/>
      <c r="AG151" s="139"/>
      <c r="AH151" s="139"/>
      <c r="AI151" s="139"/>
      <c r="AJ151" s="43"/>
      <c r="AK151" s="43"/>
      <c r="AL151" s="139"/>
      <c r="AM151" s="43"/>
      <c r="AN151" s="43"/>
      <c r="AO151" s="139"/>
      <c r="AP151" s="43"/>
      <c r="AQ151" s="43"/>
      <c r="AR151" s="139"/>
      <c r="AS151" s="43"/>
      <c r="AT151" s="43"/>
      <c r="AU151" s="139"/>
      <c r="AV151" s="43"/>
      <c r="AW151" s="43"/>
      <c r="AX151" s="139"/>
      <c r="AY151" s="139"/>
      <c r="AZ151" s="43"/>
      <c r="BA151" s="139"/>
      <c r="BB151" s="139"/>
      <c r="BC151" s="139"/>
      <c r="BD151" s="139"/>
      <c r="BE151" s="139"/>
      <c r="BF151" s="43"/>
      <c r="BG151" s="139"/>
      <c r="BH151" s="139"/>
      <c r="BI151" s="43"/>
      <c r="BJ151" s="139"/>
      <c r="BK151" s="43"/>
      <c r="BL151" s="139"/>
      <c r="BM151" s="139"/>
      <c r="BN151" s="43"/>
      <c r="BO151" s="139"/>
      <c r="BP151" s="139"/>
      <c r="BQ151" s="43"/>
      <c r="BR151" s="43"/>
      <c r="BS151" s="139"/>
      <c r="BT151" s="43"/>
      <c r="BU151" s="43"/>
      <c r="BV151" s="139"/>
      <c r="BW151" s="43"/>
      <c r="BX151" s="43"/>
      <c r="BY151" s="139"/>
      <c r="BZ151" s="43"/>
      <c r="CA151" s="43"/>
      <c r="CB151" s="139"/>
      <c r="CC151" s="43"/>
      <c r="CD151" s="43"/>
      <c r="CE151" s="139"/>
      <c r="CF151" s="43"/>
      <c r="CG151" s="43"/>
      <c r="CH151" s="139"/>
      <c r="CI151" s="43"/>
      <c r="CJ151" s="43"/>
      <c r="CK151" s="139"/>
    </row>
    <row r="152" ht="15.75" customHeight="1">
      <c r="A152" s="43"/>
      <c r="B152" s="43"/>
      <c r="C152" s="15"/>
      <c r="D152" s="15"/>
      <c r="E152" s="146"/>
      <c r="F152" s="139"/>
      <c r="G152" s="15"/>
      <c r="H152" s="43"/>
      <c r="I152" s="43"/>
      <c r="J152" s="43"/>
      <c r="K152" s="61"/>
      <c r="L152" s="139"/>
      <c r="M152" s="139"/>
      <c r="N152" s="145"/>
      <c r="O152" s="43"/>
      <c r="P152" s="145"/>
      <c r="Q152" s="43"/>
      <c r="R152" s="88"/>
      <c r="S152" s="40"/>
      <c r="T152" s="260"/>
      <c r="U152" s="40"/>
      <c r="V152" s="40"/>
      <c r="W152" s="40"/>
      <c r="X152" s="40"/>
      <c r="Y152" s="40"/>
      <c r="Z152" s="40"/>
      <c r="AA152" s="40"/>
      <c r="AB152" s="40"/>
      <c r="AC152" s="139"/>
      <c r="AD152" s="139"/>
      <c r="AE152" s="40"/>
      <c r="AF152" s="40"/>
      <c r="AG152" s="139"/>
      <c r="AH152" s="139"/>
      <c r="AI152" s="139"/>
      <c r="AJ152" s="43"/>
      <c r="AK152" s="43"/>
      <c r="AL152" s="139"/>
      <c r="AM152" s="43"/>
      <c r="AN152" s="43"/>
      <c r="AO152" s="139"/>
      <c r="AP152" s="43"/>
      <c r="AQ152" s="43"/>
      <c r="AR152" s="139"/>
      <c r="AS152" s="43"/>
      <c r="AT152" s="43"/>
      <c r="AU152" s="139"/>
      <c r="AV152" s="43"/>
      <c r="AW152" s="43"/>
      <c r="AX152" s="139"/>
      <c r="AY152" s="139"/>
      <c r="AZ152" s="43"/>
      <c r="BA152" s="139"/>
      <c r="BB152" s="139"/>
      <c r="BC152" s="139"/>
      <c r="BD152" s="139"/>
      <c r="BE152" s="139"/>
      <c r="BF152" s="43"/>
      <c r="BG152" s="139"/>
      <c r="BH152" s="139"/>
      <c r="BI152" s="43"/>
      <c r="BJ152" s="139"/>
      <c r="BK152" s="43"/>
      <c r="BL152" s="139"/>
      <c r="BM152" s="139"/>
      <c r="BN152" s="43"/>
      <c r="BO152" s="139"/>
      <c r="BP152" s="139"/>
      <c r="BQ152" s="43"/>
      <c r="BR152" s="43"/>
      <c r="BS152" s="139"/>
      <c r="BT152" s="43"/>
      <c r="BU152" s="43"/>
      <c r="BV152" s="139"/>
      <c r="BW152" s="43"/>
      <c r="BX152" s="43"/>
      <c r="BY152" s="139"/>
      <c r="BZ152" s="43"/>
      <c r="CA152" s="43"/>
      <c r="CB152" s="139"/>
      <c r="CC152" s="43"/>
      <c r="CD152" s="43"/>
      <c r="CE152" s="139"/>
      <c r="CF152" s="43"/>
      <c r="CG152" s="43"/>
      <c r="CH152" s="139"/>
      <c r="CI152" s="43"/>
      <c r="CJ152" s="43"/>
      <c r="CK152" s="139"/>
    </row>
    <row r="153" ht="15.75" customHeight="1">
      <c r="A153" s="43"/>
      <c r="B153" s="43"/>
      <c r="C153" s="15"/>
      <c r="D153" s="15"/>
      <c r="E153" s="146"/>
      <c r="F153" s="139"/>
      <c r="G153" s="15"/>
      <c r="H153" s="43"/>
      <c r="I153" s="43"/>
      <c r="J153" s="43"/>
      <c r="K153" s="61"/>
      <c r="L153" s="139"/>
      <c r="M153" s="139"/>
      <c r="N153" s="145"/>
      <c r="O153" s="43"/>
      <c r="P153" s="145"/>
      <c r="Q153" s="43"/>
      <c r="R153" s="88"/>
      <c r="S153" s="40"/>
      <c r="T153" s="260"/>
      <c r="U153" s="40"/>
      <c r="V153" s="40"/>
      <c r="W153" s="40"/>
      <c r="X153" s="40"/>
      <c r="Y153" s="40"/>
      <c r="Z153" s="40"/>
      <c r="AA153" s="40"/>
      <c r="AB153" s="40"/>
      <c r="AC153" s="139"/>
      <c r="AD153" s="139"/>
      <c r="AE153" s="40"/>
      <c r="AF153" s="40"/>
      <c r="AG153" s="139"/>
      <c r="AH153" s="139"/>
      <c r="AI153" s="139"/>
      <c r="AJ153" s="43"/>
      <c r="AK153" s="43"/>
      <c r="AL153" s="139"/>
      <c r="AM153" s="43"/>
      <c r="AN153" s="43"/>
      <c r="AO153" s="139"/>
      <c r="AP153" s="43"/>
      <c r="AQ153" s="43"/>
      <c r="AR153" s="139"/>
      <c r="AS153" s="43"/>
      <c r="AT153" s="43"/>
      <c r="AU153" s="139"/>
      <c r="AV153" s="43"/>
      <c r="AW153" s="43"/>
      <c r="AX153" s="139"/>
      <c r="AY153" s="139"/>
      <c r="AZ153" s="43"/>
      <c r="BA153" s="139"/>
      <c r="BB153" s="139"/>
      <c r="BC153" s="139"/>
      <c r="BD153" s="139"/>
      <c r="BE153" s="139"/>
      <c r="BF153" s="43"/>
      <c r="BG153" s="139"/>
      <c r="BH153" s="139"/>
      <c r="BI153" s="43"/>
      <c r="BJ153" s="139"/>
      <c r="BK153" s="43"/>
      <c r="BL153" s="139"/>
      <c r="BM153" s="139"/>
      <c r="BN153" s="43"/>
      <c r="BO153" s="139"/>
      <c r="BP153" s="139"/>
      <c r="BQ153" s="43"/>
      <c r="BR153" s="43"/>
      <c r="BS153" s="139"/>
      <c r="BT153" s="43"/>
      <c r="BU153" s="43"/>
      <c r="BV153" s="139"/>
      <c r="BW153" s="43"/>
      <c r="BX153" s="43"/>
      <c r="BY153" s="139"/>
      <c r="BZ153" s="43"/>
      <c r="CA153" s="43"/>
      <c r="CB153" s="139"/>
      <c r="CC153" s="43"/>
      <c r="CD153" s="43"/>
      <c r="CE153" s="139"/>
      <c r="CF153" s="43"/>
      <c r="CG153" s="43"/>
      <c r="CH153" s="139"/>
      <c r="CI153" s="43"/>
      <c r="CJ153" s="43"/>
      <c r="CK153" s="139"/>
    </row>
    <row r="154" ht="15.75" customHeight="1">
      <c r="A154" s="43"/>
      <c r="B154" s="43"/>
      <c r="C154" s="15"/>
      <c r="D154" s="15"/>
      <c r="E154" s="146"/>
      <c r="F154" s="139"/>
      <c r="G154" s="15"/>
      <c r="H154" s="43"/>
      <c r="I154" s="43"/>
      <c r="J154" s="43"/>
      <c r="K154" s="61"/>
      <c r="L154" s="139"/>
      <c r="M154" s="139"/>
      <c r="N154" s="145"/>
      <c r="O154" s="43"/>
      <c r="P154" s="145"/>
      <c r="Q154" s="43"/>
      <c r="R154" s="88"/>
      <c r="S154" s="40"/>
      <c r="T154" s="260"/>
      <c r="U154" s="40"/>
      <c r="V154" s="40"/>
      <c r="W154" s="40"/>
      <c r="X154" s="40"/>
      <c r="Y154" s="40"/>
      <c r="Z154" s="40"/>
      <c r="AA154" s="40"/>
      <c r="AB154" s="40"/>
      <c r="AC154" s="139"/>
      <c r="AD154" s="139"/>
      <c r="AE154" s="40"/>
      <c r="AF154" s="40"/>
      <c r="AG154" s="139"/>
      <c r="AH154" s="139"/>
      <c r="AI154" s="139"/>
      <c r="AJ154" s="43"/>
      <c r="AK154" s="43"/>
      <c r="AL154" s="139"/>
      <c r="AM154" s="43"/>
      <c r="AN154" s="43"/>
      <c r="AO154" s="139"/>
      <c r="AP154" s="43"/>
      <c r="AQ154" s="43"/>
      <c r="AR154" s="139"/>
      <c r="AS154" s="43"/>
      <c r="AT154" s="43"/>
      <c r="AU154" s="139"/>
      <c r="AV154" s="43"/>
      <c r="AW154" s="43"/>
      <c r="AX154" s="139"/>
      <c r="AY154" s="139"/>
      <c r="AZ154" s="43"/>
      <c r="BA154" s="139"/>
      <c r="BB154" s="139"/>
      <c r="BC154" s="139"/>
      <c r="BD154" s="139"/>
      <c r="BE154" s="139"/>
      <c r="BF154" s="43"/>
      <c r="BG154" s="139"/>
      <c r="BH154" s="139"/>
      <c r="BI154" s="43"/>
      <c r="BJ154" s="139"/>
      <c r="BK154" s="43"/>
      <c r="BL154" s="139"/>
      <c r="BM154" s="139"/>
      <c r="BN154" s="43"/>
      <c r="BO154" s="139"/>
      <c r="BP154" s="139"/>
      <c r="BQ154" s="43"/>
      <c r="BR154" s="43"/>
      <c r="BS154" s="139"/>
      <c r="BT154" s="43"/>
      <c r="BU154" s="43"/>
      <c r="BV154" s="139"/>
      <c r="BW154" s="43"/>
      <c r="BX154" s="43"/>
      <c r="BY154" s="139"/>
      <c r="BZ154" s="43"/>
      <c r="CA154" s="43"/>
      <c r="CB154" s="139"/>
      <c r="CC154" s="43"/>
      <c r="CD154" s="43"/>
      <c r="CE154" s="139"/>
      <c r="CF154" s="43"/>
      <c r="CG154" s="43"/>
      <c r="CH154" s="139"/>
      <c r="CI154" s="43"/>
      <c r="CJ154" s="43"/>
      <c r="CK154" s="139"/>
    </row>
    <row r="155" ht="15.75" customHeight="1">
      <c r="A155" s="43"/>
      <c r="B155" s="43"/>
      <c r="C155" s="15"/>
      <c r="D155" s="15"/>
      <c r="E155" s="146"/>
      <c r="F155" s="139"/>
      <c r="G155" s="15"/>
      <c r="H155" s="43"/>
      <c r="I155" s="43"/>
      <c r="J155" s="43"/>
      <c r="K155" s="61"/>
      <c r="L155" s="139"/>
      <c r="M155" s="139"/>
      <c r="N155" s="145"/>
      <c r="O155" s="43"/>
      <c r="P155" s="145"/>
      <c r="Q155" s="43"/>
      <c r="R155" s="88"/>
      <c r="S155" s="40"/>
      <c r="T155" s="260"/>
      <c r="U155" s="40"/>
      <c r="V155" s="40"/>
      <c r="W155" s="40"/>
      <c r="X155" s="40"/>
      <c r="Y155" s="40"/>
      <c r="Z155" s="40"/>
      <c r="AA155" s="40"/>
      <c r="AB155" s="40"/>
      <c r="AC155" s="139"/>
      <c r="AD155" s="139"/>
      <c r="AE155" s="40"/>
      <c r="AF155" s="40"/>
      <c r="AG155" s="139"/>
      <c r="AH155" s="139"/>
      <c r="AI155" s="139"/>
      <c r="AJ155" s="43"/>
      <c r="AK155" s="43"/>
      <c r="AL155" s="139"/>
      <c r="AM155" s="43"/>
      <c r="AN155" s="43"/>
      <c r="AO155" s="139"/>
      <c r="AP155" s="43"/>
      <c r="AQ155" s="43"/>
      <c r="AR155" s="139"/>
      <c r="AS155" s="43"/>
      <c r="AT155" s="43"/>
      <c r="AU155" s="139"/>
      <c r="AV155" s="43"/>
      <c r="AW155" s="43"/>
      <c r="AX155" s="139"/>
      <c r="AY155" s="139"/>
      <c r="AZ155" s="43"/>
      <c r="BA155" s="139"/>
      <c r="BB155" s="139"/>
      <c r="BC155" s="139"/>
      <c r="BD155" s="139"/>
      <c r="BE155" s="139"/>
      <c r="BF155" s="43"/>
      <c r="BG155" s="139"/>
      <c r="BH155" s="139"/>
      <c r="BI155" s="43"/>
      <c r="BJ155" s="139"/>
      <c r="BK155" s="43"/>
      <c r="BL155" s="139"/>
      <c r="BM155" s="139"/>
      <c r="BN155" s="43"/>
      <c r="BO155" s="139"/>
      <c r="BP155" s="139"/>
      <c r="BQ155" s="43"/>
      <c r="BR155" s="43"/>
      <c r="BS155" s="139"/>
      <c r="BT155" s="43"/>
      <c r="BU155" s="43"/>
      <c r="BV155" s="139"/>
      <c r="BW155" s="43"/>
      <c r="BX155" s="43"/>
      <c r="BY155" s="139"/>
      <c r="BZ155" s="43"/>
      <c r="CA155" s="43"/>
      <c r="CB155" s="139"/>
      <c r="CC155" s="43"/>
      <c r="CD155" s="43"/>
      <c r="CE155" s="139"/>
      <c r="CF155" s="43"/>
      <c r="CG155" s="43"/>
      <c r="CH155" s="139"/>
      <c r="CI155" s="43"/>
      <c r="CJ155" s="43"/>
      <c r="CK155" s="139"/>
    </row>
    <row r="156" ht="15.75" customHeight="1">
      <c r="A156" s="43"/>
      <c r="B156" s="43"/>
      <c r="C156" s="15"/>
      <c r="D156" s="15"/>
      <c r="E156" s="146"/>
      <c r="F156" s="139"/>
      <c r="G156" s="15"/>
      <c r="H156" s="43"/>
      <c r="I156" s="43"/>
      <c r="J156" s="43"/>
      <c r="K156" s="61"/>
      <c r="L156" s="139"/>
      <c r="M156" s="139"/>
      <c r="N156" s="145"/>
      <c r="O156" s="43"/>
      <c r="P156" s="145"/>
      <c r="Q156" s="43"/>
      <c r="R156" s="88"/>
      <c r="S156" s="40"/>
      <c r="T156" s="260"/>
      <c r="U156" s="40"/>
      <c r="V156" s="40"/>
      <c r="W156" s="40"/>
      <c r="X156" s="40"/>
      <c r="Y156" s="40"/>
      <c r="Z156" s="40"/>
      <c r="AA156" s="40"/>
      <c r="AB156" s="40"/>
      <c r="AC156" s="139"/>
      <c r="AD156" s="139"/>
      <c r="AE156" s="40"/>
      <c r="AF156" s="40"/>
      <c r="AG156" s="139"/>
      <c r="AH156" s="139"/>
      <c r="AI156" s="139"/>
      <c r="AJ156" s="43"/>
      <c r="AK156" s="43"/>
      <c r="AL156" s="139"/>
      <c r="AM156" s="43"/>
      <c r="AN156" s="43"/>
      <c r="AO156" s="139"/>
      <c r="AP156" s="43"/>
      <c r="AQ156" s="43"/>
      <c r="AR156" s="139"/>
      <c r="AS156" s="43"/>
      <c r="AT156" s="43"/>
      <c r="AU156" s="139"/>
      <c r="AV156" s="43"/>
      <c r="AW156" s="43"/>
      <c r="AX156" s="139"/>
      <c r="AY156" s="139"/>
      <c r="AZ156" s="43"/>
      <c r="BA156" s="139"/>
      <c r="BB156" s="139"/>
      <c r="BC156" s="139"/>
      <c r="BD156" s="139"/>
      <c r="BE156" s="139"/>
      <c r="BF156" s="43"/>
      <c r="BG156" s="139"/>
      <c r="BH156" s="139"/>
      <c r="BI156" s="43"/>
      <c r="BJ156" s="139"/>
      <c r="BK156" s="43"/>
      <c r="BL156" s="139"/>
      <c r="BM156" s="139"/>
      <c r="BN156" s="43"/>
      <c r="BO156" s="139"/>
      <c r="BP156" s="139"/>
      <c r="BQ156" s="43"/>
      <c r="BR156" s="43"/>
      <c r="BS156" s="139"/>
      <c r="BT156" s="43"/>
      <c r="BU156" s="43"/>
      <c r="BV156" s="139"/>
      <c r="BW156" s="43"/>
      <c r="BX156" s="43"/>
      <c r="BY156" s="139"/>
      <c r="BZ156" s="43"/>
      <c r="CA156" s="43"/>
      <c r="CB156" s="139"/>
      <c r="CC156" s="43"/>
      <c r="CD156" s="43"/>
      <c r="CE156" s="139"/>
      <c r="CF156" s="43"/>
      <c r="CG156" s="43"/>
      <c r="CH156" s="139"/>
      <c r="CI156" s="43"/>
      <c r="CJ156" s="43"/>
      <c r="CK156" s="139"/>
    </row>
    <row r="157" ht="15.75" customHeight="1">
      <c r="A157" s="43"/>
      <c r="B157" s="43"/>
      <c r="C157" s="15"/>
      <c r="D157" s="15"/>
      <c r="E157" s="146"/>
      <c r="F157" s="139"/>
      <c r="G157" s="15"/>
      <c r="H157" s="43"/>
      <c r="I157" s="43"/>
      <c r="J157" s="43"/>
      <c r="K157" s="61"/>
      <c r="L157" s="139"/>
      <c r="M157" s="139"/>
      <c r="N157" s="145"/>
      <c r="O157" s="43"/>
      <c r="P157" s="145"/>
      <c r="Q157" s="43"/>
      <c r="R157" s="88"/>
      <c r="S157" s="40"/>
      <c r="T157" s="260"/>
      <c r="U157" s="40"/>
      <c r="V157" s="40"/>
      <c r="W157" s="40"/>
      <c r="X157" s="40"/>
      <c r="Y157" s="40"/>
      <c r="Z157" s="40"/>
      <c r="AA157" s="40"/>
      <c r="AB157" s="40"/>
      <c r="AC157" s="139"/>
      <c r="AD157" s="139"/>
      <c r="AE157" s="40"/>
      <c r="AF157" s="40"/>
      <c r="AG157" s="139"/>
      <c r="AH157" s="139"/>
      <c r="AI157" s="139"/>
      <c r="AJ157" s="43"/>
      <c r="AK157" s="43"/>
      <c r="AL157" s="139"/>
      <c r="AM157" s="43"/>
      <c r="AN157" s="43"/>
      <c r="AO157" s="139"/>
      <c r="AP157" s="43"/>
      <c r="AQ157" s="43"/>
      <c r="AR157" s="139"/>
      <c r="AS157" s="43"/>
      <c r="AT157" s="43"/>
      <c r="AU157" s="139"/>
      <c r="AV157" s="43"/>
      <c r="AW157" s="43"/>
      <c r="AX157" s="139"/>
      <c r="AY157" s="139"/>
      <c r="AZ157" s="43"/>
      <c r="BA157" s="139"/>
      <c r="BB157" s="139"/>
      <c r="BC157" s="139"/>
      <c r="BD157" s="139"/>
      <c r="BE157" s="139"/>
      <c r="BF157" s="43"/>
      <c r="BG157" s="139"/>
      <c r="BH157" s="139"/>
      <c r="BI157" s="43"/>
      <c r="BJ157" s="139"/>
      <c r="BK157" s="43"/>
      <c r="BL157" s="139"/>
      <c r="BM157" s="139"/>
      <c r="BN157" s="43"/>
      <c r="BO157" s="139"/>
      <c r="BP157" s="139"/>
      <c r="BQ157" s="43"/>
      <c r="BR157" s="43"/>
      <c r="BS157" s="139"/>
      <c r="BT157" s="43"/>
      <c r="BU157" s="43"/>
      <c r="BV157" s="139"/>
      <c r="BW157" s="43"/>
      <c r="BX157" s="43"/>
      <c r="BY157" s="139"/>
      <c r="BZ157" s="43"/>
      <c r="CA157" s="43"/>
      <c r="CB157" s="139"/>
      <c r="CC157" s="43"/>
      <c r="CD157" s="43"/>
      <c r="CE157" s="139"/>
      <c r="CF157" s="43"/>
      <c r="CG157" s="43"/>
      <c r="CH157" s="139"/>
      <c r="CI157" s="43"/>
      <c r="CJ157" s="43"/>
      <c r="CK157" s="139"/>
    </row>
    <row r="158" ht="15.75" customHeight="1">
      <c r="A158" s="43"/>
      <c r="B158" s="43"/>
      <c r="C158" s="15"/>
      <c r="D158" s="15"/>
      <c r="E158" s="146"/>
      <c r="F158" s="139"/>
      <c r="G158" s="15"/>
      <c r="H158" s="43"/>
      <c r="I158" s="43"/>
      <c r="J158" s="43"/>
      <c r="K158" s="61"/>
      <c r="L158" s="139"/>
      <c r="M158" s="139"/>
      <c r="N158" s="145"/>
      <c r="O158" s="43"/>
      <c r="P158" s="145"/>
      <c r="Q158" s="43"/>
      <c r="R158" s="88"/>
      <c r="S158" s="40"/>
      <c r="T158" s="260"/>
      <c r="U158" s="40"/>
      <c r="V158" s="40"/>
      <c r="W158" s="40"/>
      <c r="X158" s="40"/>
      <c r="Y158" s="40"/>
      <c r="Z158" s="40"/>
      <c r="AA158" s="40"/>
      <c r="AB158" s="40"/>
      <c r="AC158" s="139"/>
      <c r="AD158" s="139"/>
      <c r="AE158" s="40"/>
      <c r="AF158" s="40"/>
      <c r="AG158" s="139"/>
      <c r="AH158" s="139"/>
      <c r="AI158" s="139"/>
      <c r="AJ158" s="43"/>
      <c r="AK158" s="43"/>
      <c r="AL158" s="139"/>
      <c r="AM158" s="43"/>
      <c r="AN158" s="43"/>
      <c r="AO158" s="139"/>
      <c r="AP158" s="43"/>
      <c r="AQ158" s="43"/>
      <c r="AR158" s="139"/>
      <c r="AS158" s="43"/>
      <c r="AT158" s="43"/>
      <c r="AU158" s="139"/>
      <c r="AV158" s="43"/>
      <c r="AW158" s="43"/>
      <c r="AX158" s="139"/>
      <c r="AY158" s="139"/>
      <c r="AZ158" s="43"/>
      <c r="BA158" s="139"/>
      <c r="BB158" s="139"/>
      <c r="BC158" s="139"/>
      <c r="BD158" s="139"/>
      <c r="BE158" s="139"/>
      <c r="BF158" s="43"/>
      <c r="BG158" s="139"/>
      <c r="BH158" s="139"/>
      <c r="BI158" s="43"/>
      <c r="BJ158" s="139"/>
      <c r="BK158" s="43"/>
      <c r="BL158" s="139"/>
      <c r="BM158" s="139"/>
      <c r="BN158" s="43"/>
      <c r="BO158" s="139"/>
      <c r="BP158" s="139"/>
      <c r="BQ158" s="43"/>
      <c r="BR158" s="43"/>
      <c r="BS158" s="139"/>
      <c r="BT158" s="43"/>
      <c r="BU158" s="43"/>
      <c r="BV158" s="139"/>
      <c r="BW158" s="43"/>
      <c r="BX158" s="43"/>
      <c r="BY158" s="139"/>
      <c r="BZ158" s="43"/>
      <c r="CA158" s="43"/>
      <c r="CB158" s="139"/>
      <c r="CC158" s="43"/>
      <c r="CD158" s="43"/>
      <c r="CE158" s="139"/>
      <c r="CF158" s="43"/>
      <c r="CG158" s="43"/>
      <c r="CH158" s="139"/>
      <c r="CI158" s="43"/>
      <c r="CJ158" s="43"/>
      <c r="CK158" s="139"/>
    </row>
    <row r="159" ht="15.75" customHeight="1">
      <c r="A159" s="43"/>
      <c r="B159" s="43"/>
      <c r="C159" s="15"/>
      <c r="D159" s="15"/>
      <c r="E159" s="146"/>
      <c r="F159" s="139"/>
      <c r="G159" s="15"/>
      <c r="H159" s="43"/>
      <c r="I159" s="43"/>
      <c r="J159" s="43"/>
      <c r="K159" s="61"/>
      <c r="L159" s="139"/>
      <c r="M159" s="139"/>
      <c r="N159" s="145"/>
      <c r="O159" s="43"/>
      <c r="P159" s="145"/>
      <c r="Q159" s="43"/>
      <c r="R159" s="88"/>
      <c r="S159" s="40"/>
      <c r="T159" s="260"/>
      <c r="U159" s="40"/>
      <c r="V159" s="40"/>
      <c r="W159" s="40"/>
      <c r="X159" s="40"/>
      <c r="Y159" s="40"/>
      <c r="Z159" s="40"/>
      <c r="AA159" s="40"/>
      <c r="AB159" s="40"/>
      <c r="AC159" s="139"/>
      <c r="AD159" s="139"/>
      <c r="AE159" s="40"/>
      <c r="AF159" s="40"/>
      <c r="AG159" s="139"/>
      <c r="AH159" s="139"/>
      <c r="AI159" s="139"/>
      <c r="AJ159" s="43"/>
      <c r="AK159" s="43"/>
      <c r="AL159" s="139"/>
      <c r="AM159" s="43"/>
      <c r="AN159" s="43"/>
      <c r="AO159" s="139"/>
      <c r="AP159" s="43"/>
      <c r="AQ159" s="43"/>
      <c r="AR159" s="139"/>
      <c r="AS159" s="43"/>
      <c r="AT159" s="43"/>
      <c r="AU159" s="139"/>
      <c r="AV159" s="43"/>
      <c r="AW159" s="43"/>
      <c r="AX159" s="139"/>
      <c r="AY159" s="139"/>
      <c r="AZ159" s="43"/>
      <c r="BA159" s="139"/>
      <c r="BB159" s="139"/>
      <c r="BC159" s="139"/>
      <c r="BD159" s="139"/>
      <c r="BE159" s="139"/>
      <c r="BF159" s="43"/>
      <c r="BG159" s="139"/>
      <c r="BH159" s="139"/>
      <c r="BI159" s="43"/>
      <c r="BJ159" s="139"/>
      <c r="BK159" s="43"/>
      <c r="BL159" s="139"/>
      <c r="BM159" s="139"/>
      <c r="BN159" s="43"/>
      <c r="BO159" s="139"/>
      <c r="BP159" s="139"/>
      <c r="BQ159" s="43"/>
      <c r="BR159" s="43"/>
      <c r="BS159" s="139"/>
      <c r="BT159" s="43"/>
      <c r="BU159" s="43"/>
      <c r="BV159" s="139"/>
      <c r="BW159" s="43"/>
      <c r="BX159" s="43"/>
      <c r="BY159" s="139"/>
      <c r="BZ159" s="43"/>
      <c r="CA159" s="43"/>
      <c r="CB159" s="139"/>
      <c r="CC159" s="43"/>
      <c r="CD159" s="43"/>
      <c r="CE159" s="139"/>
      <c r="CF159" s="43"/>
      <c r="CG159" s="43"/>
      <c r="CH159" s="139"/>
      <c r="CI159" s="43"/>
      <c r="CJ159" s="43"/>
      <c r="CK159" s="139"/>
    </row>
    <row r="160" ht="15.75" customHeight="1">
      <c r="A160" s="43"/>
      <c r="B160" s="43"/>
      <c r="C160" s="15"/>
      <c r="D160" s="15"/>
      <c r="E160" s="146"/>
      <c r="F160" s="139"/>
      <c r="G160" s="15"/>
      <c r="H160" s="43"/>
      <c r="I160" s="43"/>
      <c r="J160" s="43"/>
      <c r="K160" s="61"/>
      <c r="L160" s="139"/>
      <c r="M160" s="139"/>
      <c r="N160" s="145"/>
      <c r="O160" s="43"/>
      <c r="P160" s="145"/>
      <c r="Q160" s="43"/>
      <c r="R160" s="88"/>
      <c r="S160" s="40"/>
      <c r="T160" s="260"/>
      <c r="U160" s="40"/>
      <c r="V160" s="40"/>
      <c r="W160" s="40"/>
      <c r="X160" s="40"/>
      <c r="Y160" s="40"/>
      <c r="Z160" s="40"/>
      <c r="AA160" s="40"/>
      <c r="AB160" s="40"/>
      <c r="AC160" s="139"/>
      <c r="AD160" s="139"/>
      <c r="AE160" s="40"/>
      <c r="AF160" s="40"/>
      <c r="AG160" s="139"/>
      <c r="AH160" s="139"/>
      <c r="AI160" s="139"/>
      <c r="AJ160" s="43"/>
      <c r="AK160" s="43"/>
      <c r="AL160" s="139"/>
      <c r="AM160" s="43"/>
      <c r="AN160" s="43"/>
      <c r="AO160" s="139"/>
      <c r="AP160" s="43"/>
      <c r="AQ160" s="43"/>
      <c r="AR160" s="139"/>
      <c r="AS160" s="43"/>
      <c r="AT160" s="43"/>
      <c r="AU160" s="139"/>
      <c r="AV160" s="43"/>
      <c r="AW160" s="43"/>
      <c r="AX160" s="139"/>
      <c r="AY160" s="139"/>
      <c r="AZ160" s="43"/>
      <c r="BA160" s="139"/>
      <c r="BB160" s="139"/>
      <c r="BC160" s="139"/>
      <c r="BD160" s="139"/>
      <c r="BE160" s="139"/>
      <c r="BF160" s="43"/>
      <c r="BG160" s="139"/>
      <c r="BH160" s="139"/>
      <c r="BI160" s="43"/>
      <c r="BJ160" s="139"/>
      <c r="BK160" s="43"/>
      <c r="BL160" s="139"/>
      <c r="BM160" s="139"/>
      <c r="BN160" s="43"/>
      <c r="BO160" s="139"/>
      <c r="BP160" s="139"/>
      <c r="BQ160" s="43"/>
      <c r="BR160" s="43"/>
      <c r="BS160" s="139"/>
      <c r="BT160" s="43"/>
      <c r="BU160" s="43"/>
      <c r="BV160" s="139"/>
      <c r="BW160" s="43"/>
      <c r="BX160" s="43"/>
      <c r="BY160" s="139"/>
      <c r="BZ160" s="43"/>
      <c r="CA160" s="43"/>
      <c r="CB160" s="139"/>
      <c r="CC160" s="43"/>
      <c r="CD160" s="43"/>
      <c r="CE160" s="139"/>
      <c r="CF160" s="43"/>
      <c r="CG160" s="43"/>
      <c r="CH160" s="139"/>
      <c r="CI160" s="43"/>
      <c r="CJ160" s="43"/>
      <c r="CK160" s="139"/>
    </row>
    <row r="161" ht="15.75" customHeight="1">
      <c r="A161" s="43"/>
      <c r="B161" s="43"/>
      <c r="C161" s="15"/>
      <c r="D161" s="15"/>
      <c r="E161" s="146"/>
      <c r="F161" s="139"/>
      <c r="G161" s="15"/>
      <c r="H161" s="43"/>
      <c r="I161" s="43"/>
      <c r="J161" s="43"/>
      <c r="K161" s="61"/>
      <c r="L161" s="139"/>
      <c r="M161" s="139"/>
      <c r="N161" s="145"/>
      <c r="O161" s="43"/>
      <c r="P161" s="145"/>
      <c r="Q161" s="43"/>
      <c r="R161" s="88"/>
      <c r="S161" s="40"/>
      <c r="T161" s="260"/>
      <c r="U161" s="40"/>
      <c r="V161" s="40"/>
      <c r="W161" s="40"/>
      <c r="X161" s="40"/>
      <c r="Y161" s="40"/>
      <c r="Z161" s="40"/>
      <c r="AA161" s="40"/>
      <c r="AB161" s="40"/>
      <c r="AC161" s="139"/>
      <c r="AD161" s="139"/>
      <c r="AE161" s="40"/>
      <c r="AF161" s="40"/>
      <c r="AG161" s="139"/>
      <c r="AH161" s="139"/>
      <c r="AI161" s="139"/>
      <c r="AJ161" s="43"/>
      <c r="AK161" s="43"/>
      <c r="AL161" s="139"/>
      <c r="AM161" s="43"/>
      <c r="AN161" s="43"/>
      <c r="AO161" s="139"/>
      <c r="AP161" s="43"/>
      <c r="AQ161" s="43"/>
      <c r="AR161" s="139"/>
      <c r="AS161" s="43"/>
      <c r="AT161" s="43"/>
      <c r="AU161" s="139"/>
      <c r="AV161" s="43"/>
      <c r="AW161" s="43"/>
      <c r="AX161" s="139"/>
      <c r="AY161" s="139"/>
      <c r="AZ161" s="43"/>
      <c r="BA161" s="139"/>
      <c r="BB161" s="139"/>
      <c r="BC161" s="139"/>
      <c r="BD161" s="139"/>
      <c r="BE161" s="139"/>
      <c r="BF161" s="43"/>
      <c r="BG161" s="139"/>
      <c r="BH161" s="139"/>
      <c r="BI161" s="43"/>
      <c r="BJ161" s="139"/>
      <c r="BK161" s="43"/>
      <c r="BL161" s="139"/>
      <c r="BM161" s="139"/>
      <c r="BN161" s="43"/>
      <c r="BO161" s="139"/>
      <c r="BP161" s="139"/>
      <c r="BQ161" s="43"/>
      <c r="BR161" s="43"/>
      <c r="BS161" s="139"/>
      <c r="BT161" s="43"/>
      <c r="BU161" s="43"/>
      <c r="BV161" s="139"/>
      <c r="BW161" s="43"/>
      <c r="BX161" s="43"/>
      <c r="BY161" s="139"/>
      <c r="BZ161" s="43"/>
      <c r="CA161" s="43"/>
      <c r="CB161" s="139"/>
      <c r="CC161" s="43"/>
      <c r="CD161" s="43"/>
      <c r="CE161" s="139"/>
      <c r="CF161" s="43"/>
      <c r="CG161" s="43"/>
      <c r="CH161" s="139"/>
      <c r="CI161" s="43"/>
      <c r="CJ161" s="43"/>
      <c r="CK161" s="139"/>
    </row>
    <row r="162" ht="15.75" customHeight="1">
      <c r="A162" s="43"/>
      <c r="B162" s="43"/>
      <c r="C162" s="15"/>
      <c r="D162" s="15"/>
      <c r="E162" s="146"/>
      <c r="F162" s="139"/>
      <c r="G162" s="15"/>
      <c r="H162" s="43"/>
      <c r="I162" s="43"/>
      <c r="J162" s="43"/>
      <c r="K162" s="61"/>
      <c r="L162" s="139"/>
      <c r="M162" s="139"/>
      <c r="N162" s="145"/>
      <c r="O162" s="43"/>
      <c r="P162" s="145"/>
      <c r="Q162" s="43"/>
      <c r="R162" s="88"/>
      <c r="S162" s="40"/>
      <c r="T162" s="260"/>
      <c r="U162" s="40"/>
      <c r="V162" s="40"/>
      <c r="W162" s="40"/>
      <c r="X162" s="40"/>
      <c r="Y162" s="40"/>
      <c r="Z162" s="40"/>
      <c r="AA162" s="40"/>
      <c r="AB162" s="40"/>
      <c r="AC162" s="139"/>
      <c r="AD162" s="139"/>
      <c r="AE162" s="40"/>
      <c r="AF162" s="40"/>
      <c r="AG162" s="139"/>
      <c r="AH162" s="139"/>
      <c r="AI162" s="139"/>
      <c r="AJ162" s="43"/>
      <c r="AK162" s="43"/>
      <c r="AL162" s="139"/>
      <c r="AM162" s="43"/>
      <c r="AN162" s="43"/>
      <c r="AO162" s="139"/>
      <c r="AP162" s="43"/>
      <c r="AQ162" s="43"/>
      <c r="AR162" s="139"/>
      <c r="AS162" s="43"/>
      <c r="AT162" s="43"/>
      <c r="AU162" s="139"/>
      <c r="AV162" s="43"/>
      <c r="AW162" s="43"/>
      <c r="AX162" s="139"/>
      <c r="AY162" s="139"/>
      <c r="AZ162" s="43"/>
      <c r="BA162" s="139"/>
      <c r="BB162" s="139"/>
      <c r="BC162" s="139"/>
      <c r="BD162" s="139"/>
      <c r="BE162" s="139"/>
      <c r="BF162" s="43"/>
      <c r="BG162" s="139"/>
      <c r="BH162" s="139"/>
      <c r="BI162" s="43"/>
      <c r="BJ162" s="139"/>
      <c r="BK162" s="43"/>
      <c r="BL162" s="139"/>
      <c r="BM162" s="139"/>
      <c r="BN162" s="43"/>
      <c r="BO162" s="139"/>
      <c r="BP162" s="139"/>
      <c r="BQ162" s="43"/>
      <c r="BR162" s="43"/>
      <c r="BS162" s="139"/>
      <c r="BT162" s="43"/>
      <c r="BU162" s="43"/>
      <c r="BV162" s="139"/>
      <c r="BW162" s="43"/>
      <c r="BX162" s="43"/>
      <c r="BY162" s="139"/>
      <c r="BZ162" s="43"/>
      <c r="CA162" s="43"/>
      <c r="CB162" s="139"/>
      <c r="CC162" s="43"/>
      <c r="CD162" s="43"/>
      <c r="CE162" s="139"/>
      <c r="CF162" s="43"/>
      <c r="CG162" s="43"/>
      <c r="CH162" s="139"/>
      <c r="CI162" s="43"/>
      <c r="CJ162" s="43"/>
      <c r="CK162" s="139"/>
    </row>
    <row r="163" ht="15.75" customHeight="1">
      <c r="A163" s="43"/>
      <c r="B163" s="43"/>
      <c r="C163" s="15"/>
      <c r="D163" s="15"/>
      <c r="E163" s="146"/>
      <c r="F163" s="139"/>
      <c r="G163" s="15"/>
      <c r="H163" s="43"/>
      <c r="I163" s="43"/>
      <c r="J163" s="43"/>
      <c r="K163" s="61"/>
      <c r="L163" s="139"/>
      <c r="M163" s="139"/>
      <c r="N163" s="145"/>
      <c r="O163" s="43"/>
      <c r="P163" s="145"/>
      <c r="Q163" s="43"/>
      <c r="R163" s="88"/>
      <c r="S163" s="40"/>
      <c r="T163" s="260"/>
      <c r="U163" s="40"/>
      <c r="V163" s="40"/>
      <c r="W163" s="40"/>
      <c r="X163" s="40"/>
      <c r="Y163" s="40"/>
      <c r="Z163" s="40"/>
      <c r="AA163" s="40"/>
      <c r="AB163" s="40"/>
      <c r="AC163" s="139"/>
      <c r="AD163" s="139"/>
      <c r="AE163" s="40"/>
      <c r="AF163" s="40"/>
      <c r="AG163" s="139"/>
      <c r="AH163" s="139"/>
      <c r="AI163" s="139"/>
      <c r="AJ163" s="43"/>
      <c r="AK163" s="43"/>
      <c r="AL163" s="139"/>
      <c r="AM163" s="43"/>
      <c r="AN163" s="43"/>
      <c r="AO163" s="139"/>
      <c r="AP163" s="43"/>
      <c r="AQ163" s="43"/>
      <c r="AR163" s="139"/>
      <c r="AS163" s="43"/>
      <c r="AT163" s="43"/>
      <c r="AU163" s="139"/>
      <c r="AV163" s="43"/>
      <c r="AW163" s="43"/>
      <c r="AX163" s="139"/>
      <c r="AY163" s="139"/>
      <c r="AZ163" s="43"/>
      <c r="BA163" s="139"/>
      <c r="BB163" s="139"/>
      <c r="BC163" s="139"/>
      <c r="BD163" s="139"/>
      <c r="BE163" s="139"/>
      <c r="BF163" s="43"/>
      <c r="BG163" s="139"/>
      <c r="BH163" s="139"/>
      <c r="BI163" s="43"/>
      <c r="BJ163" s="139"/>
      <c r="BK163" s="43"/>
      <c r="BL163" s="139"/>
      <c r="BM163" s="139"/>
      <c r="BN163" s="43"/>
      <c r="BO163" s="139"/>
      <c r="BP163" s="139"/>
      <c r="BQ163" s="43"/>
      <c r="BR163" s="43"/>
      <c r="BS163" s="139"/>
      <c r="BT163" s="43"/>
      <c r="BU163" s="43"/>
      <c r="BV163" s="139"/>
      <c r="BW163" s="43"/>
      <c r="BX163" s="43"/>
      <c r="BY163" s="139"/>
      <c r="BZ163" s="43"/>
      <c r="CA163" s="43"/>
      <c r="CB163" s="139"/>
      <c r="CC163" s="43"/>
      <c r="CD163" s="43"/>
      <c r="CE163" s="139"/>
      <c r="CF163" s="43"/>
      <c r="CG163" s="43"/>
      <c r="CH163" s="139"/>
      <c r="CI163" s="43"/>
      <c r="CJ163" s="43"/>
      <c r="CK163" s="139"/>
    </row>
    <row r="164" ht="15.75" customHeight="1">
      <c r="A164" s="43"/>
      <c r="B164" s="43"/>
      <c r="C164" s="15"/>
      <c r="D164" s="15"/>
      <c r="E164" s="146"/>
      <c r="F164" s="139"/>
      <c r="G164" s="15"/>
      <c r="H164" s="43"/>
      <c r="I164" s="43"/>
      <c r="J164" s="43"/>
      <c r="K164" s="61"/>
      <c r="L164" s="139"/>
      <c r="M164" s="139"/>
      <c r="N164" s="145"/>
      <c r="O164" s="43"/>
      <c r="P164" s="145"/>
      <c r="Q164" s="43"/>
      <c r="R164" s="88"/>
      <c r="S164" s="40"/>
      <c r="T164" s="260"/>
      <c r="U164" s="40"/>
      <c r="V164" s="40"/>
      <c r="W164" s="40"/>
      <c r="X164" s="40"/>
      <c r="Y164" s="40"/>
      <c r="Z164" s="40"/>
      <c r="AA164" s="40"/>
      <c r="AB164" s="40"/>
      <c r="AC164" s="139"/>
      <c r="AD164" s="139"/>
      <c r="AE164" s="40"/>
      <c r="AF164" s="40"/>
      <c r="AG164" s="139"/>
      <c r="AH164" s="139"/>
      <c r="AI164" s="139"/>
      <c r="AJ164" s="43"/>
      <c r="AK164" s="43"/>
      <c r="AL164" s="139"/>
      <c r="AM164" s="43"/>
      <c r="AN164" s="43"/>
      <c r="AO164" s="139"/>
      <c r="AP164" s="43"/>
      <c r="AQ164" s="43"/>
      <c r="AR164" s="139"/>
      <c r="AS164" s="43"/>
      <c r="AT164" s="43"/>
      <c r="AU164" s="139"/>
      <c r="AV164" s="43"/>
      <c r="AW164" s="43"/>
      <c r="AX164" s="139"/>
      <c r="AY164" s="139"/>
      <c r="AZ164" s="43"/>
      <c r="BA164" s="139"/>
      <c r="BB164" s="139"/>
      <c r="BC164" s="139"/>
      <c r="BD164" s="139"/>
      <c r="BE164" s="139"/>
      <c r="BF164" s="43"/>
      <c r="BG164" s="139"/>
      <c r="BH164" s="139"/>
      <c r="BI164" s="43"/>
      <c r="BJ164" s="139"/>
      <c r="BK164" s="43"/>
      <c r="BL164" s="139"/>
      <c r="BM164" s="139"/>
      <c r="BN164" s="43"/>
      <c r="BO164" s="139"/>
      <c r="BP164" s="139"/>
      <c r="BQ164" s="43"/>
      <c r="BR164" s="43"/>
      <c r="BS164" s="139"/>
      <c r="BT164" s="43"/>
      <c r="BU164" s="43"/>
      <c r="BV164" s="139"/>
      <c r="BW164" s="43"/>
      <c r="BX164" s="43"/>
      <c r="BY164" s="139"/>
      <c r="BZ164" s="43"/>
      <c r="CA164" s="43"/>
      <c r="CB164" s="139"/>
      <c r="CC164" s="43"/>
      <c r="CD164" s="43"/>
      <c r="CE164" s="139"/>
      <c r="CF164" s="43"/>
      <c r="CG164" s="43"/>
      <c r="CH164" s="139"/>
      <c r="CI164" s="43"/>
      <c r="CJ164" s="43"/>
      <c r="CK164" s="139"/>
    </row>
    <row r="165" ht="15.75" customHeight="1">
      <c r="A165" s="43"/>
      <c r="B165" s="43"/>
      <c r="C165" s="15"/>
      <c r="D165" s="15"/>
      <c r="E165" s="146"/>
      <c r="F165" s="139"/>
      <c r="G165" s="15"/>
      <c r="H165" s="43"/>
      <c r="I165" s="43"/>
      <c r="J165" s="43"/>
      <c r="K165" s="61"/>
      <c r="L165" s="139"/>
      <c r="M165" s="139"/>
      <c r="N165" s="145"/>
      <c r="O165" s="43"/>
      <c r="P165" s="145"/>
      <c r="Q165" s="43"/>
      <c r="R165" s="88"/>
      <c r="S165" s="40"/>
      <c r="T165" s="260"/>
      <c r="U165" s="40"/>
      <c r="V165" s="40"/>
      <c r="W165" s="40"/>
      <c r="X165" s="40"/>
      <c r="Y165" s="40"/>
      <c r="Z165" s="40"/>
      <c r="AA165" s="40"/>
      <c r="AB165" s="40"/>
      <c r="AC165" s="139"/>
      <c r="AD165" s="139"/>
      <c r="AE165" s="40"/>
      <c r="AF165" s="40"/>
      <c r="AG165" s="139"/>
      <c r="AH165" s="139"/>
      <c r="AI165" s="139"/>
      <c r="AJ165" s="43"/>
      <c r="AK165" s="43"/>
      <c r="AL165" s="139"/>
      <c r="AM165" s="43"/>
      <c r="AN165" s="43"/>
      <c r="AO165" s="139"/>
      <c r="AP165" s="43"/>
      <c r="AQ165" s="43"/>
      <c r="AR165" s="139"/>
      <c r="AS165" s="43"/>
      <c r="AT165" s="43"/>
      <c r="AU165" s="139"/>
      <c r="AV165" s="43"/>
      <c r="AW165" s="43"/>
      <c r="AX165" s="139"/>
      <c r="AY165" s="139"/>
      <c r="AZ165" s="43"/>
      <c r="BA165" s="139"/>
      <c r="BB165" s="139"/>
      <c r="BC165" s="139"/>
      <c r="BD165" s="139"/>
      <c r="BE165" s="139"/>
      <c r="BF165" s="43"/>
      <c r="BG165" s="139"/>
      <c r="BH165" s="139"/>
      <c r="BI165" s="43"/>
      <c r="BJ165" s="139"/>
      <c r="BK165" s="43"/>
      <c r="BL165" s="139"/>
      <c r="BM165" s="139"/>
      <c r="BN165" s="43"/>
      <c r="BO165" s="139"/>
      <c r="BP165" s="139"/>
      <c r="BQ165" s="43"/>
      <c r="BR165" s="43"/>
      <c r="BS165" s="139"/>
      <c r="BT165" s="43"/>
      <c r="BU165" s="43"/>
      <c r="BV165" s="139"/>
      <c r="BW165" s="43"/>
      <c r="BX165" s="43"/>
      <c r="BY165" s="139"/>
      <c r="BZ165" s="43"/>
      <c r="CA165" s="43"/>
      <c r="CB165" s="139"/>
      <c r="CC165" s="43"/>
      <c r="CD165" s="43"/>
      <c r="CE165" s="139"/>
      <c r="CF165" s="43"/>
      <c r="CG165" s="43"/>
      <c r="CH165" s="139"/>
      <c r="CI165" s="43"/>
      <c r="CJ165" s="43"/>
      <c r="CK165" s="139"/>
    </row>
    <row r="166" ht="15.75" customHeight="1">
      <c r="A166" s="43"/>
      <c r="B166" s="43"/>
      <c r="C166" s="15"/>
      <c r="D166" s="15"/>
      <c r="E166" s="146"/>
      <c r="F166" s="139"/>
      <c r="G166" s="15"/>
      <c r="H166" s="43"/>
      <c r="I166" s="43"/>
      <c r="J166" s="43"/>
      <c r="K166" s="61"/>
      <c r="L166" s="139"/>
      <c r="M166" s="139"/>
      <c r="N166" s="145"/>
      <c r="O166" s="43"/>
      <c r="P166" s="145"/>
      <c r="Q166" s="43"/>
      <c r="R166" s="88"/>
      <c r="S166" s="40"/>
      <c r="T166" s="260"/>
      <c r="U166" s="40"/>
      <c r="V166" s="40"/>
      <c r="W166" s="40"/>
      <c r="X166" s="40"/>
      <c r="Y166" s="40"/>
      <c r="Z166" s="40"/>
      <c r="AA166" s="40"/>
      <c r="AB166" s="40"/>
      <c r="AC166" s="139"/>
      <c r="AD166" s="139"/>
      <c r="AE166" s="40"/>
      <c r="AF166" s="40"/>
      <c r="AG166" s="139"/>
      <c r="AH166" s="139"/>
      <c r="AI166" s="139"/>
      <c r="AJ166" s="43"/>
      <c r="AK166" s="43"/>
      <c r="AL166" s="139"/>
      <c r="AM166" s="43"/>
      <c r="AN166" s="43"/>
      <c r="AO166" s="139"/>
      <c r="AP166" s="43"/>
      <c r="AQ166" s="43"/>
      <c r="AR166" s="139"/>
      <c r="AS166" s="43"/>
      <c r="AT166" s="43"/>
      <c r="AU166" s="139"/>
      <c r="AV166" s="43"/>
      <c r="AW166" s="43"/>
      <c r="AX166" s="139"/>
      <c r="AY166" s="139"/>
      <c r="AZ166" s="43"/>
      <c r="BA166" s="139"/>
      <c r="BB166" s="139"/>
      <c r="BC166" s="139"/>
      <c r="BD166" s="139"/>
      <c r="BE166" s="139"/>
      <c r="BF166" s="43"/>
      <c r="BG166" s="139"/>
      <c r="BH166" s="139"/>
      <c r="BI166" s="43"/>
      <c r="BJ166" s="139"/>
      <c r="BK166" s="43"/>
      <c r="BL166" s="139"/>
      <c r="BM166" s="139"/>
      <c r="BN166" s="43"/>
      <c r="BO166" s="139"/>
      <c r="BP166" s="139"/>
      <c r="BQ166" s="43"/>
      <c r="BR166" s="43"/>
      <c r="BS166" s="139"/>
      <c r="BT166" s="43"/>
      <c r="BU166" s="43"/>
      <c r="BV166" s="139"/>
      <c r="BW166" s="43"/>
      <c r="BX166" s="43"/>
      <c r="BY166" s="139"/>
      <c r="BZ166" s="43"/>
      <c r="CA166" s="43"/>
      <c r="CB166" s="139"/>
      <c r="CC166" s="43"/>
      <c r="CD166" s="43"/>
      <c r="CE166" s="139"/>
      <c r="CF166" s="43"/>
      <c r="CG166" s="43"/>
      <c r="CH166" s="139"/>
      <c r="CI166" s="43"/>
      <c r="CJ166" s="43"/>
      <c r="CK166" s="139"/>
    </row>
    <row r="167" ht="15.75" customHeight="1">
      <c r="A167" s="43"/>
      <c r="B167" s="43"/>
      <c r="C167" s="15"/>
      <c r="D167" s="15"/>
      <c r="E167" s="146"/>
      <c r="F167" s="139"/>
      <c r="G167" s="15"/>
      <c r="H167" s="43"/>
      <c r="I167" s="43"/>
      <c r="J167" s="43"/>
      <c r="K167" s="61"/>
      <c r="L167" s="139"/>
      <c r="M167" s="139"/>
      <c r="N167" s="145"/>
      <c r="O167" s="43"/>
      <c r="P167" s="145"/>
      <c r="Q167" s="43"/>
      <c r="R167" s="88"/>
      <c r="S167" s="40"/>
      <c r="T167" s="260"/>
      <c r="U167" s="40"/>
      <c r="V167" s="40"/>
      <c r="W167" s="40"/>
      <c r="X167" s="40"/>
      <c r="Y167" s="40"/>
      <c r="Z167" s="40"/>
      <c r="AA167" s="40"/>
      <c r="AB167" s="40"/>
      <c r="AC167" s="139"/>
      <c r="AD167" s="139"/>
      <c r="AE167" s="40"/>
      <c r="AF167" s="40"/>
      <c r="AG167" s="139"/>
      <c r="AH167" s="139"/>
      <c r="AI167" s="139"/>
      <c r="AJ167" s="43"/>
      <c r="AK167" s="43"/>
      <c r="AL167" s="139"/>
      <c r="AM167" s="43"/>
      <c r="AN167" s="43"/>
      <c r="AO167" s="139"/>
      <c r="AP167" s="43"/>
      <c r="AQ167" s="43"/>
      <c r="AR167" s="139"/>
      <c r="AS167" s="43"/>
      <c r="AT167" s="43"/>
      <c r="AU167" s="139"/>
      <c r="AV167" s="43"/>
      <c r="AW167" s="43"/>
      <c r="AX167" s="139"/>
      <c r="AY167" s="139"/>
      <c r="AZ167" s="43"/>
      <c r="BA167" s="139"/>
      <c r="BB167" s="139"/>
      <c r="BC167" s="139"/>
      <c r="BD167" s="139"/>
      <c r="BE167" s="139"/>
      <c r="BF167" s="43"/>
      <c r="BG167" s="139"/>
      <c r="BH167" s="139"/>
      <c r="BI167" s="43"/>
      <c r="BJ167" s="139"/>
      <c r="BK167" s="43"/>
      <c r="BL167" s="139"/>
      <c r="BM167" s="139"/>
      <c r="BN167" s="43"/>
      <c r="BO167" s="139"/>
      <c r="BP167" s="139"/>
      <c r="BQ167" s="43"/>
      <c r="BR167" s="43"/>
      <c r="BS167" s="139"/>
      <c r="BT167" s="43"/>
      <c r="BU167" s="43"/>
      <c r="BV167" s="139"/>
      <c r="BW167" s="43"/>
      <c r="BX167" s="43"/>
      <c r="BY167" s="139"/>
      <c r="BZ167" s="43"/>
      <c r="CA167" s="43"/>
      <c r="CB167" s="139"/>
      <c r="CC167" s="43"/>
      <c r="CD167" s="43"/>
      <c r="CE167" s="139"/>
      <c r="CF167" s="43"/>
      <c r="CG167" s="43"/>
      <c r="CH167" s="139"/>
      <c r="CI167" s="43"/>
      <c r="CJ167" s="43"/>
      <c r="CK167" s="139"/>
    </row>
    <row r="168" ht="15.75" customHeight="1">
      <c r="A168" s="43"/>
      <c r="B168" s="43"/>
      <c r="C168" s="15"/>
      <c r="D168" s="15"/>
      <c r="E168" s="146"/>
      <c r="F168" s="139"/>
      <c r="G168" s="15"/>
      <c r="H168" s="43"/>
      <c r="I168" s="43"/>
      <c r="J168" s="43"/>
      <c r="K168" s="61"/>
      <c r="L168" s="139"/>
      <c r="M168" s="139"/>
      <c r="N168" s="145"/>
      <c r="O168" s="43"/>
      <c r="P168" s="145"/>
      <c r="Q168" s="43"/>
      <c r="R168" s="88"/>
      <c r="S168" s="40"/>
      <c r="T168" s="260"/>
      <c r="U168" s="40"/>
      <c r="V168" s="40"/>
      <c r="W168" s="40"/>
      <c r="X168" s="40"/>
      <c r="Y168" s="40"/>
      <c r="Z168" s="40"/>
      <c r="AA168" s="40"/>
      <c r="AB168" s="40"/>
      <c r="AC168" s="139"/>
      <c r="AD168" s="139"/>
      <c r="AE168" s="40"/>
      <c r="AF168" s="40"/>
      <c r="AG168" s="139"/>
      <c r="AH168" s="139"/>
      <c r="AI168" s="139"/>
      <c r="AJ168" s="43"/>
      <c r="AK168" s="43"/>
      <c r="AL168" s="139"/>
      <c r="AM168" s="43"/>
      <c r="AN168" s="43"/>
      <c r="AO168" s="139"/>
      <c r="AP168" s="43"/>
      <c r="AQ168" s="43"/>
      <c r="AR168" s="139"/>
      <c r="AS168" s="43"/>
      <c r="AT168" s="43"/>
      <c r="AU168" s="139"/>
      <c r="AV168" s="43"/>
      <c r="AW168" s="43"/>
      <c r="AX168" s="139"/>
      <c r="AY168" s="139"/>
      <c r="AZ168" s="43"/>
      <c r="BA168" s="139"/>
      <c r="BB168" s="139"/>
      <c r="BC168" s="139"/>
      <c r="BD168" s="139"/>
      <c r="BE168" s="139"/>
      <c r="BF168" s="43"/>
      <c r="BG168" s="139"/>
      <c r="BH168" s="139"/>
      <c r="BI168" s="43"/>
      <c r="BJ168" s="139"/>
      <c r="BK168" s="43"/>
      <c r="BL168" s="139"/>
      <c r="BM168" s="139"/>
      <c r="BN168" s="43"/>
      <c r="BO168" s="139"/>
      <c r="BP168" s="139"/>
      <c r="BQ168" s="43"/>
      <c r="BR168" s="43"/>
      <c r="BS168" s="139"/>
      <c r="BT168" s="43"/>
      <c r="BU168" s="43"/>
      <c r="BV168" s="139"/>
      <c r="BW168" s="43"/>
      <c r="BX168" s="43"/>
      <c r="BY168" s="139"/>
      <c r="BZ168" s="43"/>
      <c r="CA168" s="43"/>
      <c r="CB168" s="139"/>
      <c r="CC168" s="43"/>
      <c r="CD168" s="43"/>
      <c r="CE168" s="139"/>
      <c r="CF168" s="43"/>
      <c r="CG168" s="43"/>
      <c r="CH168" s="139"/>
      <c r="CI168" s="43"/>
      <c r="CJ168" s="43"/>
      <c r="CK168" s="139"/>
    </row>
    <row r="169" ht="15.75" customHeight="1">
      <c r="A169" s="43"/>
      <c r="B169" s="43"/>
      <c r="C169" s="15"/>
      <c r="D169" s="15"/>
      <c r="E169" s="146"/>
      <c r="F169" s="139"/>
      <c r="G169" s="15"/>
      <c r="H169" s="43"/>
      <c r="I169" s="43"/>
      <c r="J169" s="43"/>
      <c r="K169" s="61"/>
      <c r="L169" s="139"/>
      <c r="M169" s="139"/>
      <c r="N169" s="145"/>
      <c r="O169" s="43"/>
      <c r="P169" s="145"/>
      <c r="Q169" s="43"/>
      <c r="R169" s="88"/>
      <c r="S169" s="40"/>
      <c r="T169" s="260"/>
      <c r="U169" s="40"/>
      <c r="V169" s="40"/>
      <c r="W169" s="40"/>
      <c r="X169" s="40"/>
      <c r="Y169" s="40"/>
      <c r="Z169" s="40"/>
      <c r="AA169" s="40"/>
      <c r="AB169" s="40"/>
      <c r="AC169" s="139"/>
      <c r="AD169" s="139"/>
      <c r="AE169" s="40"/>
      <c r="AF169" s="40"/>
      <c r="AG169" s="139"/>
      <c r="AH169" s="139"/>
      <c r="AI169" s="139"/>
      <c r="AJ169" s="43"/>
      <c r="AK169" s="43"/>
      <c r="AL169" s="139"/>
      <c r="AM169" s="43"/>
      <c r="AN169" s="43"/>
      <c r="AO169" s="139"/>
      <c r="AP169" s="43"/>
      <c r="AQ169" s="43"/>
      <c r="AR169" s="139"/>
      <c r="AS169" s="43"/>
      <c r="AT169" s="43"/>
      <c r="AU169" s="139"/>
      <c r="AV169" s="43"/>
      <c r="AW169" s="43"/>
      <c r="AX169" s="139"/>
      <c r="AY169" s="139"/>
      <c r="AZ169" s="43"/>
      <c r="BA169" s="139"/>
      <c r="BB169" s="139"/>
      <c r="BC169" s="139"/>
      <c r="BD169" s="139"/>
      <c r="BE169" s="139"/>
      <c r="BF169" s="43"/>
      <c r="BG169" s="139"/>
      <c r="BH169" s="139"/>
      <c r="BI169" s="43"/>
      <c r="BJ169" s="139"/>
      <c r="BK169" s="43"/>
      <c r="BL169" s="139"/>
      <c r="BM169" s="139"/>
      <c r="BN169" s="43"/>
      <c r="BO169" s="139"/>
      <c r="BP169" s="139"/>
      <c r="BQ169" s="43"/>
      <c r="BR169" s="43"/>
      <c r="BS169" s="139"/>
      <c r="BT169" s="43"/>
      <c r="BU169" s="43"/>
      <c r="BV169" s="139"/>
      <c r="BW169" s="43"/>
      <c r="BX169" s="43"/>
      <c r="BY169" s="139"/>
      <c r="BZ169" s="43"/>
      <c r="CA169" s="43"/>
      <c r="CB169" s="139"/>
      <c r="CC169" s="43"/>
      <c r="CD169" s="43"/>
      <c r="CE169" s="139"/>
      <c r="CF169" s="43"/>
      <c r="CG169" s="43"/>
      <c r="CH169" s="139"/>
      <c r="CI169" s="43"/>
      <c r="CJ169" s="43"/>
      <c r="CK169" s="139"/>
    </row>
    <row r="170" ht="15.75" customHeight="1">
      <c r="A170" s="43"/>
      <c r="B170" s="43"/>
      <c r="C170" s="15"/>
      <c r="D170" s="15"/>
      <c r="E170" s="146"/>
      <c r="F170" s="139"/>
      <c r="G170" s="15"/>
      <c r="H170" s="43"/>
      <c r="I170" s="43"/>
      <c r="J170" s="43"/>
      <c r="K170" s="61"/>
      <c r="L170" s="139"/>
      <c r="M170" s="139"/>
      <c r="N170" s="145"/>
      <c r="O170" s="43"/>
      <c r="P170" s="145"/>
      <c r="Q170" s="43"/>
      <c r="R170" s="88"/>
      <c r="S170" s="40"/>
      <c r="T170" s="260"/>
      <c r="U170" s="40"/>
      <c r="V170" s="40"/>
      <c r="W170" s="40"/>
      <c r="X170" s="40"/>
      <c r="Y170" s="40"/>
      <c r="Z170" s="40"/>
      <c r="AA170" s="40"/>
      <c r="AB170" s="40"/>
      <c r="AC170" s="139"/>
      <c r="AD170" s="139"/>
      <c r="AE170" s="40"/>
      <c r="AF170" s="40"/>
      <c r="AG170" s="139"/>
      <c r="AH170" s="139"/>
      <c r="AI170" s="139"/>
      <c r="AJ170" s="43"/>
      <c r="AK170" s="43"/>
      <c r="AL170" s="139"/>
      <c r="AM170" s="43"/>
      <c r="AN170" s="43"/>
      <c r="AO170" s="139"/>
      <c r="AP170" s="43"/>
      <c r="AQ170" s="43"/>
      <c r="AR170" s="139"/>
      <c r="AS170" s="43"/>
      <c r="AT170" s="43"/>
      <c r="AU170" s="139"/>
      <c r="AV170" s="43"/>
      <c r="AW170" s="43"/>
      <c r="AX170" s="139"/>
      <c r="AY170" s="139"/>
      <c r="AZ170" s="43"/>
      <c r="BA170" s="139"/>
      <c r="BB170" s="139"/>
      <c r="BC170" s="139"/>
      <c r="BD170" s="139"/>
      <c r="BE170" s="139"/>
      <c r="BF170" s="43"/>
      <c r="BG170" s="139"/>
      <c r="BH170" s="139"/>
      <c r="BI170" s="43"/>
      <c r="BJ170" s="139"/>
      <c r="BK170" s="43"/>
      <c r="BL170" s="139"/>
      <c r="BM170" s="139"/>
      <c r="BN170" s="43"/>
      <c r="BO170" s="139"/>
      <c r="BP170" s="139"/>
      <c r="BQ170" s="43"/>
      <c r="BR170" s="43"/>
      <c r="BS170" s="139"/>
      <c r="BT170" s="43"/>
      <c r="BU170" s="43"/>
      <c r="BV170" s="139"/>
      <c r="BW170" s="43"/>
      <c r="BX170" s="43"/>
      <c r="BY170" s="139"/>
      <c r="BZ170" s="43"/>
      <c r="CA170" s="43"/>
      <c r="CB170" s="139"/>
      <c r="CC170" s="43"/>
      <c r="CD170" s="43"/>
      <c r="CE170" s="139"/>
      <c r="CF170" s="43"/>
      <c r="CG170" s="43"/>
      <c r="CH170" s="139"/>
      <c r="CI170" s="43"/>
      <c r="CJ170" s="43"/>
      <c r="CK170" s="139"/>
    </row>
    <row r="171" ht="15.75" customHeight="1">
      <c r="A171" s="43"/>
      <c r="B171" s="43"/>
      <c r="C171" s="15"/>
      <c r="D171" s="15"/>
      <c r="E171" s="146"/>
      <c r="F171" s="139"/>
      <c r="G171" s="15"/>
      <c r="H171" s="43"/>
      <c r="I171" s="43"/>
      <c r="J171" s="43"/>
      <c r="K171" s="61"/>
      <c r="L171" s="139"/>
      <c r="M171" s="139"/>
      <c r="N171" s="145"/>
      <c r="O171" s="43"/>
      <c r="P171" s="145"/>
      <c r="Q171" s="43"/>
      <c r="R171" s="88"/>
      <c r="S171" s="40"/>
      <c r="T171" s="260"/>
      <c r="U171" s="40"/>
      <c r="V171" s="40"/>
      <c r="W171" s="40"/>
      <c r="X171" s="40"/>
      <c r="Y171" s="40"/>
      <c r="Z171" s="40"/>
      <c r="AA171" s="40"/>
      <c r="AB171" s="40"/>
      <c r="AC171" s="139"/>
      <c r="AD171" s="139"/>
      <c r="AE171" s="40"/>
      <c r="AF171" s="40"/>
      <c r="AG171" s="139"/>
      <c r="AH171" s="139"/>
      <c r="AI171" s="139"/>
      <c r="AJ171" s="43"/>
      <c r="AK171" s="43"/>
      <c r="AL171" s="139"/>
      <c r="AM171" s="43"/>
      <c r="AN171" s="43"/>
      <c r="AO171" s="139"/>
      <c r="AP171" s="43"/>
      <c r="AQ171" s="43"/>
      <c r="AR171" s="139"/>
      <c r="AS171" s="43"/>
      <c r="AT171" s="43"/>
      <c r="AU171" s="139"/>
      <c r="AV171" s="43"/>
      <c r="AW171" s="43"/>
      <c r="AX171" s="139"/>
      <c r="AY171" s="139"/>
      <c r="AZ171" s="43"/>
      <c r="BA171" s="139"/>
      <c r="BB171" s="139"/>
      <c r="BC171" s="139"/>
      <c r="BD171" s="139"/>
      <c r="BE171" s="139"/>
      <c r="BF171" s="43"/>
      <c r="BG171" s="139"/>
      <c r="BH171" s="139"/>
      <c r="BI171" s="43"/>
      <c r="BJ171" s="139"/>
      <c r="BK171" s="43"/>
      <c r="BL171" s="139"/>
      <c r="BM171" s="139"/>
      <c r="BN171" s="43"/>
      <c r="BO171" s="139"/>
      <c r="BP171" s="139"/>
      <c r="BQ171" s="43"/>
      <c r="BR171" s="43"/>
      <c r="BS171" s="139"/>
      <c r="BT171" s="43"/>
      <c r="BU171" s="43"/>
      <c r="BV171" s="139"/>
      <c r="BW171" s="43"/>
      <c r="BX171" s="43"/>
      <c r="BY171" s="139"/>
      <c r="BZ171" s="43"/>
      <c r="CA171" s="43"/>
      <c r="CB171" s="139"/>
      <c r="CC171" s="43"/>
      <c r="CD171" s="43"/>
      <c r="CE171" s="139"/>
      <c r="CF171" s="43"/>
      <c r="CG171" s="43"/>
      <c r="CH171" s="139"/>
      <c r="CI171" s="43"/>
      <c r="CJ171" s="43"/>
      <c r="CK171" s="139"/>
    </row>
    <row r="172" ht="15.75" customHeight="1">
      <c r="A172" s="43"/>
      <c r="B172" s="43"/>
      <c r="C172" s="15"/>
      <c r="D172" s="15"/>
      <c r="E172" s="146"/>
      <c r="F172" s="139"/>
      <c r="G172" s="15"/>
      <c r="H172" s="43"/>
      <c r="I172" s="43"/>
      <c r="J172" s="43"/>
      <c r="K172" s="61"/>
      <c r="L172" s="139"/>
      <c r="M172" s="139"/>
      <c r="N172" s="145"/>
      <c r="O172" s="43"/>
      <c r="P172" s="145"/>
      <c r="Q172" s="43"/>
      <c r="R172" s="88"/>
      <c r="S172" s="40"/>
      <c r="T172" s="260"/>
      <c r="U172" s="40"/>
      <c r="V172" s="40"/>
      <c r="W172" s="40"/>
      <c r="X172" s="40"/>
      <c r="Y172" s="40"/>
      <c r="Z172" s="40"/>
      <c r="AA172" s="40"/>
      <c r="AB172" s="40"/>
      <c r="AC172" s="139"/>
      <c r="AD172" s="139"/>
      <c r="AE172" s="40"/>
      <c r="AF172" s="40"/>
      <c r="AG172" s="139"/>
      <c r="AH172" s="139"/>
      <c r="AI172" s="139"/>
      <c r="AJ172" s="43"/>
      <c r="AK172" s="43"/>
      <c r="AL172" s="139"/>
      <c r="AM172" s="43"/>
      <c r="AN172" s="43"/>
      <c r="AO172" s="139"/>
      <c r="AP172" s="43"/>
      <c r="AQ172" s="43"/>
      <c r="AR172" s="139"/>
      <c r="AS172" s="43"/>
      <c r="AT172" s="43"/>
      <c r="AU172" s="139"/>
      <c r="AV172" s="43"/>
      <c r="AW172" s="43"/>
      <c r="AX172" s="139"/>
      <c r="AY172" s="139"/>
      <c r="AZ172" s="43"/>
      <c r="BA172" s="139"/>
      <c r="BB172" s="139"/>
      <c r="BC172" s="139"/>
      <c r="BD172" s="139"/>
      <c r="BE172" s="139"/>
      <c r="BF172" s="43"/>
      <c r="BG172" s="139"/>
      <c r="BH172" s="139"/>
      <c r="BI172" s="43"/>
      <c r="BJ172" s="139"/>
      <c r="BK172" s="43"/>
      <c r="BL172" s="139"/>
      <c r="BM172" s="139"/>
      <c r="BN172" s="43"/>
      <c r="BO172" s="139"/>
      <c r="BP172" s="139"/>
      <c r="BQ172" s="43"/>
      <c r="BR172" s="43"/>
      <c r="BS172" s="139"/>
      <c r="BT172" s="43"/>
      <c r="BU172" s="43"/>
      <c r="BV172" s="139"/>
      <c r="BW172" s="43"/>
      <c r="BX172" s="43"/>
      <c r="BY172" s="139"/>
      <c r="BZ172" s="43"/>
      <c r="CA172" s="43"/>
      <c r="CB172" s="139"/>
      <c r="CC172" s="43"/>
      <c r="CD172" s="43"/>
      <c r="CE172" s="139"/>
      <c r="CF172" s="43"/>
      <c r="CG172" s="43"/>
      <c r="CH172" s="139"/>
      <c r="CI172" s="43"/>
      <c r="CJ172" s="43"/>
      <c r="CK172" s="139"/>
    </row>
    <row r="173" ht="15.75" customHeight="1">
      <c r="A173" s="43"/>
      <c r="B173" s="43"/>
      <c r="C173" s="15"/>
      <c r="D173" s="15"/>
      <c r="E173" s="146"/>
      <c r="F173" s="139"/>
      <c r="G173" s="15"/>
      <c r="H173" s="43"/>
      <c r="I173" s="43"/>
      <c r="J173" s="43"/>
      <c r="K173" s="61"/>
      <c r="L173" s="139"/>
      <c r="M173" s="139"/>
      <c r="N173" s="145"/>
      <c r="O173" s="43"/>
      <c r="P173" s="145"/>
      <c r="Q173" s="43"/>
      <c r="R173" s="88"/>
      <c r="S173" s="40"/>
      <c r="T173" s="260"/>
      <c r="U173" s="40"/>
      <c r="V173" s="40"/>
      <c r="W173" s="40"/>
      <c r="X173" s="40"/>
      <c r="Y173" s="40"/>
      <c r="Z173" s="40"/>
      <c r="AA173" s="40"/>
      <c r="AB173" s="40"/>
      <c r="AC173" s="139"/>
      <c r="AD173" s="139"/>
      <c r="AE173" s="40"/>
      <c r="AF173" s="40"/>
      <c r="AG173" s="139"/>
      <c r="AH173" s="139"/>
      <c r="AI173" s="139"/>
      <c r="AJ173" s="43"/>
      <c r="AK173" s="43"/>
      <c r="AL173" s="139"/>
      <c r="AM173" s="43"/>
      <c r="AN173" s="43"/>
      <c r="AO173" s="139"/>
      <c r="AP173" s="43"/>
      <c r="AQ173" s="43"/>
      <c r="AR173" s="139"/>
      <c r="AS173" s="43"/>
      <c r="AT173" s="43"/>
      <c r="AU173" s="139"/>
      <c r="AV173" s="43"/>
      <c r="AW173" s="43"/>
      <c r="AX173" s="139"/>
      <c r="AY173" s="139"/>
      <c r="AZ173" s="43"/>
      <c r="BA173" s="139"/>
      <c r="BB173" s="139"/>
      <c r="BC173" s="139"/>
      <c r="BD173" s="139"/>
      <c r="BE173" s="139"/>
      <c r="BF173" s="43"/>
      <c r="BG173" s="139"/>
      <c r="BH173" s="139"/>
      <c r="BI173" s="43"/>
      <c r="BJ173" s="139"/>
      <c r="BK173" s="43"/>
      <c r="BL173" s="139"/>
      <c r="BM173" s="139"/>
      <c r="BN173" s="43"/>
      <c r="BO173" s="139"/>
      <c r="BP173" s="139"/>
      <c r="BQ173" s="43"/>
      <c r="BR173" s="43"/>
      <c r="BS173" s="139"/>
      <c r="BT173" s="43"/>
      <c r="BU173" s="43"/>
      <c r="BV173" s="139"/>
      <c r="BW173" s="43"/>
      <c r="BX173" s="43"/>
      <c r="BY173" s="139"/>
      <c r="BZ173" s="43"/>
      <c r="CA173" s="43"/>
      <c r="CB173" s="139"/>
      <c r="CC173" s="43"/>
      <c r="CD173" s="43"/>
      <c r="CE173" s="139"/>
      <c r="CF173" s="43"/>
      <c r="CG173" s="43"/>
      <c r="CH173" s="139"/>
      <c r="CI173" s="43"/>
      <c r="CJ173" s="43"/>
      <c r="CK173" s="139"/>
    </row>
    <row r="174" ht="15.75" customHeight="1">
      <c r="A174" s="43"/>
      <c r="B174" s="43"/>
      <c r="C174" s="15"/>
      <c r="D174" s="15"/>
      <c r="E174" s="146"/>
      <c r="F174" s="139"/>
      <c r="G174" s="15"/>
      <c r="H174" s="43"/>
      <c r="I174" s="43"/>
      <c r="J174" s="43"/>
      <c r="K174" s="61"/>
      <c r="L174" s="139"/>
      <c r="M174" s="139"/>
      <c r="N174" s="145"/>
      <c r="O174" s="43"/>
      <c r="P174" s="145"/>
      <c r="Q174" s="43"/>
      <c r="R174" s="88"/>
      <c r="S174" s="40"/>
      <c r="T174" s="260"/>
      <c r="U174" s="40"/>
      <c r="V174" s="40"/>
      <c r="W174" s="40"/>
      <c r="X174" s="40"/>
      <c r="Y174" s="40"/>
      <c r="Z174" s="40"/>
      <c r="AA174" s="40"/>
      <c r="AB174" s="40"/>
      <c r="AC174" s="139"/>
      <c r="AD174" s="139"/>
      <c r="AE174" s="40"/>
      <c r="AF174" s="40"/>
      <c r="AG174" s="139"/>
      <c r="AH174" s="139"/>
      <c r="AI174" s="139"/>
      <c r="AJ174" s="43"/>
      <c r="AK174" s="43"/>
      <c r="AL174" s="139"/>
      <c r="AM174" s="43"/>
      <c r="AN174" s="43"/>
      <c r="AO174" s="139"/>
      <c r="AP174" s="43"/>
      <c r="AQ174" s="43"/>
      <c r="AR174" s="139"/>
      <c r="AS174" s="43"/>
      <c r="AT174" s="43"/>
      <c r="AU174" s="139"/>
      <c r="AV174" s="43"/>
      <c r="AW174" s="43"/>
      <c r="AX174" s="139"/>
      <c r="AY174" s="139"/>
      <c r="AZ174" s="43"/>
      <c r="BA174" s="139"/>
      <c r="BB174" s="139"/>
      <c r="BC174" s="139"/>
      <c r="BD174" s="139"/>
      <c r="BE174" s="139"/>
      <c r="BF174" s="43"/>
      <c r="BG174" s="139"/>
      <c r="BH174" s="139"/>
      <c r="BI174" s="43"/>
      <c r="BJ174" s="139"/>
      <c r="BK174" s="43"/>
      <c r="BL174" s="139"/>
      <c r="BM174" s="139"/>
      <c r="BN174" s="43"/>
      <c r="BO174" s="139"/>
      <c r="BP174" s="139"/>
      <c r="BQ174" s="43"/>
      <c r="BR174" s="43"/>
      <c r="BS174" s="139"/>
      <c r="BT174" s="43"/>
      <c r="BU174" s="43"/>
      <c r="BV174" s="139"/>
      <c r="BW174" s="43"/>
      <c r="BX174" s="43"/>
      <c r="BY174" s="139"/>
      <c r="BZ174" s="43"/>
      <c r="CA174" s="43"/>
      <c r="CB174" s="139"/>
      <c r="CC174" s="43"/>
      <c r="CD174" s="43"/>
      <c r="CE174" s="139"/>
      <c r="CF174" s="43"/>
      <c r="CG174" s="43"/>
      <c r="CH174" s="139"/>
      <c r="CI174" s="43"/>
      <c r="CJ174" s="43"/>
      <c r="CK174" s="139"/>
    </row>
    <row r="175" ht="15.75" customHeight="1">
      <c r="A175" s="43"/>
      <c r="B175" s="43"/>
      <c r="C175" s="15"/>
      <c r="D175" s="15"/>
      <c r="E175" s="146"/>
      <c r="F175" s="139"/>
      <c r="G175" s="15"/>
      <c r="H175" s="43"/>
      <c r="I175" s="43"/>
      <c r="J175" s="43"/>
      <c r="K175" s="61"/>
      <c r="L175" s="139"/>
      <c r="M175" s="139"/>
      <c r="N175" s="145"/>
      <c r="O175" s="43"/>
      <c r="P175" s="145"/>
      <c r="Q175" s="43"/>
      <c r="R175" s="88"/>
      <c r="S175" s="40"/>
      <c r="T175" s="260"/>
      <c r="U175" s="40"/>
      <c r="V175" s="40"/>
      <c r="W175" s="40"/>
      <c r="X175" s="40"/>
      <c r="Y175" s="40"/>
      <c r="Z175" s="40"/>
      <c r="AA175" s="40"/>
      <c r="AB175" s="40"/>
      <c r="AC175" s="139"/>
      <c r="AD175" s="139"/>
      <c r="AE175" s="40"/>
      <c r="AF175" s="40"/>
      <c r="AG175" s="139"/>
      <c r="AH175" s="139"/>
      <c r="AI175" s="139"/>
      <c r="AJ175" s="43"/>
      <c r="AK175" s="43"/>
      <c r="AL175" s="139"/>
      <c r="AM175" s="43"/>
      <c r="AN175" s="43"/>
      <c r="AO175" s="139"/>
      <c r="AP175" s="43"/>
      <c r="AQ175" s="43"/>
      <c r="AR175" s="139"/>
      <c r="AS175" s="43"/>
      <c r="AT175" s="43"/>
      <c r="AU175" s="139"/>
      <c r="AV175" s="43"/>
      <c r="AW175" s="43"/>
      <c r="AX175" s="139"/>
      <c r="AY175" s="139"/>
      <c r="AZ175" s="43"/>
      <c r="BA175" s="139"/>
      <c r="BB175" s="139"/>
      <c r="BC175" s="139"/>
      <c r="BD175" s="139"/>
      <c r="BE175" s="139"/>
      <c r="BF175" s="43"/>
      <c r="BG175" s="139"/>
      <c r="BH175" s="139"/>
      <c r="BI175" s="43"/>
      <c r="BJ175" s="139"/>
      <c r="BK175" s="43"/>
      <c r="BL175" s="139"/>
      <c r="BM175" s="139"/>
      <c r="BN175" s="43"/>
      <c r="BO175" s="139"/>
      <c r="BP175" s="139"/>
      <c r="BQ175" s="43"/>
      <c r="BR175" s="43"/>
      <c r="BS175" s="139"/>
      <c r="BT175" s="43"/>
      <c r="BU175" s="43"/>
      <c r="BV175" s="139"/>
      <c r="BW175" s="43"/>
      <c r="BX175" s="43"/>
      <c r="BY175" s="139"/>
      <c r="BZ175" s="43"/>
      <c r="CA175" s="43"/>
      <c r="CB175" s="139"/>
      <c r="CC175" s="43"/>
      <c r="CD175" s="43"/>
      <c r="CE175" s="139"/>
      <c r="CF175" s="43"/>
      <c r="CG175" s="43"/>
      <c r="CH175" s="139"/>
      <c r="CI175" s="43"/>
      <c r="CJ175" s="43"/>
      <c r="CK175" s="139"/>
    </row>
    <row r="176" ht="15.75" customHeight="1">
      <c r="A176" s="43"/>
      <c r="B176" s="43"/>
      <c r="C176" s="15"/>
      <c r="D176" s="15"/>
      <c r="E176" s="146"/>
      <c r="F176" s="139"/>
      <c r="G176" s="15"/>
      <c r="H176" s="43"/>
      <c r="I176" s="43"/>
      <c r="J176" s="43"/>
      <c r="K176" s="61"/>
      <c r="L176" s="139"/>
      <c r="M176" s="139"/>
      <c r="N176" s="145"/>
      <c r="O176" s="43"/>
      <c r="P176" s="145"/>
      <c r="Q176" s="43"/>
      <c r="R176" s="88"/>
      <c r="S176" s="40"/>
      <c r="T176" s="260"/>
      <c r="U176" s="40"/>
      <c r="V176" s="40"/>
      <c r="W176" s="40"/>
      <c r="X176" s="40"/>
      <c r="Y176" s="40"/>
      <c r="Z176" s="40"/>
      <c r="AA176" s="40"/>
      <c r="AB176" s="40"/>
      <c r="AC176" s="139"/>
      <c r="AD176" s="139"/>
      <c r="AE176" s="40"/>
      <c r="AF176" s="40"/>
      <c r="AG176" s="139"/>
      <c r="AH176" s="139"/>
      <c r="AI176" s="139"/>
      <c r="AJ176" s="43"/>
      <c r="AK176" s="43"/>
      <c r="AL176" s="139"/>
      <c r="AM176" s="43"/>
      <c r="AN176" s="43"/>
      <c r="AO176" s="139"/>
      <c r="AP176" s="43"/>
      <c r="AQ176" s="43"/>
      <c r="AR176" s="139"/>
      <c r="AS176" s="43"/>
      <c r="AT176" s="43"/>
      <c r="AU176" s="139"/>
      <c r="AV176" s="43"/>
      <c r="AW176" s="43"/>
      <c r="AX176" s="139"/>
      <c r="AY176" s="139"/>
      <c r="AZ176" s="43"/>
      <c r="BA176" s="139"/>
      <c r="BB176" s="139"/>
      <c r="BC176" s="139"/>
      <c r="BD176" s="139"/>
      <c r="BE176" s="139"/>
      <c r="BF176" s="43"/>
      <c r="BG176" s="139"/>
      <c r="BH176" s="139"/>
      <c r="BI176" s="43"/>
      <c r="BJ176" s="139"/>
      <c r="BK176" s="43"/>
      <c r="BL176" s="139"/>
      <c r="BM176" s="139"/>
      <c r="BN176" s="43"/>
      <c r="BO176" s="139"/>
      <c r="BP176" s="139"/>
      <c r="BQ176" s="43"/>
      <c r="BR176" s="43"/>
      <c r="BS176" s="139"/>
      <c r="BT176" s="43"/>
      <c r="BU176" s="43"/>
      <c r="BV176" s="139"/>
      <c r="BW176" s="43"/>
      <c r="BX176" s="43"/>
      <c r="BY176" s="139"/>
      <c r="BZ176" s="43"/>
      <c r="CA176" s="43"/>
      <c r="CB176" s="139"/>
      <c r="CC176" s="43"/>
      <c r="CD176" s="43"/>
      <c r="CE176" s="139"/>
      <c r="CF176" s="43"/>
      <c r="CG176" s="43"/>
      <c r="CH176" s="139"/>
      <c r="CI176" s="43"/>
      <c r="CJ176" s="43"/>
      <c r="CK176" s="139"/>
    </row>
    <row r="177" ht="15.75" customHeight="1">
      <c r="A177" s="43"/>
      <c r="B177" s="43"/>
      <c r="C177" s="15"/>
      <c r="D177" s="15"/>
      <c r="E177" s="146"/>
      <c r="F177" s="139"/>
      <c r="G177" s="15"/>
      <c r="H177" s="43"/>
      <c r="I177" s="43"/>
      <c r="J177" s="43"/>
      <c r="K177" s="61"/>
      <c r="L177" s="139"/>
      <c r="M177" s="139"/>
      <c r="N177" s="145"/>
      <c r="O177" s="43"/>
      <c r="P177" s="145"/>
      <c r="Q177" s="43"/>
      <c r="R177" s="88"/>
      <c r="S177" s="40"/>
      <c r="T177" s="260"/>
      <c r="U177" s="40"/>
      <c r="V177" s="40"/>
      <c r="W177" s="40"/>
      <c r="X177" s="40"/>
      <c r="Y177" s="40"/>
      <c r="Z177" s="40"/>
      <c r="AA177" s="40"/>
      <c r="AB177" s="40"/>
      <c r="AC177" s="139"/>
      <c r="AD177" s="139"/>
      <c r="AE177" s="40"/>
      <c r="AF177" s="40"/>
      <c r="AG177" s="139"/>
      <c r="AH177" s="139"/>
      <c r="AI177" s="139"/>
      <c r="AJ177" s="43"/>
      <c r="AK177" s="43"/>
      <c r="AL177" s="139"/>
      <c r="AM177" s="43"/>
      <c r="AN177" s="43"/>
      <c r="AO177" s="139"/>
      <c r="AP177" s="43"/>
      <c r="AQ177" s="43"/>
      <c r="AR177" s="139"/>
      <c r="AS177" s="43"/>
      <c r="AT177" s="43"/>
      <c r="AU177" s="139"/>
      <c r="AV177" s="43"/>
      <c r="AW177" s="43"/>
      <c r="AX177" s="139"/>
      <c r="AY177" s="139"/>
      <c r="AZ177" s="43"/>
      <c r="BA177" s="139"/>
      <c r="BB177" s="139"/>
      <c r="BC177" s="139"/>
      <c r="BD177" s="139"/>
      <c r="BE177" s="139"/>
      <c r="BF177" s="43"/>
      <c r="BG177" s="139"/>
      <c r="BH177" s="139"/>
      <c r="BI177" s="43"/>
      <c r="BJ177" s="139"/>
      <c r="BK177" s="43"/>
      <c r="BL177" s="139"/>
      <c r="BM177" s="139"/>
      <c r="BN177" s="43"/>
      <c r="BO177" s="139"/>
      <c r="BP177" s="139"/>
      <c r="BQ177" s="43"/>
      <c r="BR177" s="43"/>
      <c r="BS177" s="139"/>
      <c r="BT177" s="43"/>
      <c r="BU177" s="43"/>
      <c r="BV177" s="139"/>
      <c r="BW177" s="43"/>
      <c r="BX177" s="43"/>
      <c r="BY177" s="139"/>
      <c r="BZ177" s="43"/>
      <c r="CA177" s="43"/>
      <c r="CB177" s="139"/>
      <c r="CC177" s="43"/>
      <c r="CD177" s="43"/>
      <c r="CE177" s="139"/>
      <c r="CF177" s="43"/>
      <c r="CG177" s="43"/>
      <c r="CH177" s="139"/>
      <c r="CI177" s="43"/>
      <c r="CJ177" s="43"/>
      <c r="CK177" s="139"/>
    </row>
    <row r="178" ht="15.75" customHeight="1">
      <c r="A178" s="43"/>
      <c r="B178" s="43"/>
      <c r="C178" s="15"/>
      <c r="D178" s="15"/>
      <c r="E178" s="146"/>
      <c r="F178" s="139"/>
      <c r="G178" s="15"/>
      <c r="H178" s="43"/>
      <c r="I178" s="43"/>
      <c r="J178" s="43"/>
      <c r="K178" s="61"/>
      <c r="L178" s="139"/>
      <c r="M178" s="139"/>
      <c r="N178" s="145"/>
      <c r="O178" s="43"/>
      <c r="P178" s="145"/>
      <c r="Q178" s="43"/>
      <c r="R178" s="88"/>
      <c r="S178" s="40"/>
      <c r="T178" s="260"/>
      <c r="U178" s="40"/>
      <c r="V178" s="40"/>
      <c r="W178" s="40"/>
      <c r="X178" s="40"/>
      <c r="Y178" s="40"/>
      <c r="Z178" s="40"/>
      <c r="AA178" s="40"/>
      <c r="AB178" s="40"/>
      <c r="AC178" s="139"/>
      <c r="AD178" s="139"/>
      <c r="AE178" s="40"/>
      <c r="AF178" s="40"/>
      <c r="AG178" s="139"/>
      <c r="AH178" s="139"/>
      <c r="AI178" s="139"/>
      <c r="AJ178" s="43"/>
      <c r="AK178" s="43"/>
      <c r="AL178" s="139"/>
      <c r="AM178" s="43"/>
      <c r="AN178" s="43"/>
      <c r="AO178" s="139"/>
      <c r="AP178" s="43"/>
      <c r="AQ178" s="43"/>
      <c r="AR178" s="139"/>
      <c r="AS178" s="43"/>
      <c r="AT178" s="43"/>
      <c r="AU178" s="139"/>
      <c r="AV178" s="43"/>
      <c r="AW178" s="43"/>
      <c r="AX178" s="139"/>
      <c r="AY178" s="139"/>
      <c r="AZ178" s="43"/>
      <c r="BA178" s="139"/>
      <c r="BB178" s="139"/>
      <c r="BC178" s="139"/>
      <c r="BD178" s="139"/>
      <c r="BE178" s="139"/>
      <c r="BF178" s="43"/>
      <c r="BG178" s="139"/>
      <c r="BH178" s="139"/>
      <c r="BI178" s="43"/>
      <c r="BJ178" s="139"/>
      <c r="BK178" s="43"/>
      <c r="BL178" s="139"/>
      <c r="BM178" s="139"/>
      <c r="BN178" s="43"/>
      <c r="BO178" s="139"/>
      <c r="BP178" s="139"/>
      <c r="BQ178" s="43"/>
      <c r="BR178" s="43"/>
      <c r="BS178" s="139"/>
      <c r="BT178" s="43"/>
      <c r="BU178" s="43"/>
      <c r="BV178" s="139"/>
      <c r="BW178" s="43"/>
      <c r="BX178" s="43"/>
      <c r="BY178" s="139"/>
      <c r="BZ178" s="43"/>
      <c r="CA178" s="43"/>
      <c r="CB178" s="139"/>
      <c r="CC178" s="43"/>
      <c r="CD178" s="43"/>
      <c r="CE178" s="139"/>
      <c r="CF178" s="43"/>
      <c r="CG178" s="43"/>
      <c r="CH178" s="139"/>
      <c r="CI178" s="43"/>
      <c r="CJ178" s="43"/>
      <c r="CK178" s="139"/>
    </row>
    <row r="179" ht="15.75" customHeight="1">
      <c r="A179" s="43"/>
      <c r="B179" s="43"/>
      <c r="C179" s="15"/>
      <c r="D179" s="15"/>
      <c r="E179" s="146"/>
      <c r="F179" s="139"/>
      <c r="G179" s="15"/>
      <c r="H179" s="43"/>
      <c r="I179" s="43"/>
      <c r="J179" s="43"/>
      <c r="K179" s="61"/>
      <c r="L179" s="139"/>
      <c r="M179" s="139"/>
      <c r="N179" s="145"/>
      <c r="O179" s="43"/>
      <c r="P179" s="145"/>
      <c r="Q179" s="43"/>
      <c r="R179" s="88"/>
      <c r="S179" s="40"/>
      <c r="T179" s="260"/>
      <c r="U179" s="40"/>
      <c r="V179" s="40"/>
      <c r="W179" s="40"/>
      <c r="X179" s="40"/>
      <c r="Y179" s="40"/>
      <c r="Z179" s="40"/>
      <c r="AA179" s="40"/>
      <c r="AB179" s="40"/>
      <c r="AC179" s="139"/>
      <c r="AD179" s="139"/>
      <c r="AE179" s="40"/>
      <c r="AF179" s="40"/>
      <c r="AG179" s="139"/>
      <c r="AH179" s="139"/>
      <c r="AI179" s="139"/>
      <c r="AJ179" s="43"/>
      <c r="AK179" s="43"/>
      <c r="AL179" s="139"/>
      <c r="AM179" s="43"/>
      <c r="AN179" s="43"/>
      <c r="AO179" s="139"/>
      <c r="AP179" s="43"/>
      <c r="AQ179" s="43"/>
      <c r="AR179" s="139"/>
      <c r="AS179" s="43"/>
      <c r="AT179" s="43"/>
      <c r="AU179" s="139"/>
      <c r="AV179" s="43"/>
      <c r="AW179" s="43"/>
      <c r="AX179" s="139"/>
      <c r="AY179" s="139"/>
      <c r="AZ179" s="43"/>
      <c r="BA179" s="139"/>
      <c r="BB179" s="139"/>
      <c r="BC179" s="139"/>
      <c r="BD179" s="139"/>
      <c r="BE179" s="139"/>
      <c r="BF179" s="43"/>
      <c r="BG179" s="139"/>
      <c r="BH179" s="139"/>
      <c r="BI179" s="43"/>
      <c r="BJ179" s="139"/>
      <c r="BK179" s="43"/>
      <c r="BL179" s="139"/>
      <c r="BM179" s="139"/>
      <c r="BN179" s="43"/>
      <c r="BO179" s="139"/>
      <c r="BP179" s="139"/>
      <c r="BQ179" s="43"/>
      <c r="BR179" s="43"/>
      <c r="BS179" s="139"/>
      <c r="BT179" s="43"/>
      <c r="BU179" s="43"/>
      <c r="BV179" s="139"/>
      <c r="BW179" s="43"/>
      <c r="BX179" s="43"/>
      <c r="BY179" s="139"/>
      <c r="BZ179" s="43"/>
      <c r="CA179" s="43"/>
      <c r="CB179" s="139"/>
      <c r="CC179" s="43"/>
      <c r="CD179" s="43"/>
      <c r="CE179" s="139"/>
      <c r="CF179" s="43"/>
      <c r="CG179" s="43"/>
      <c r="CH179" s="139"/>
      <c r="CI179" s="43"/>
      <c r="CJ179" s="43"/>
      <c r="CK179" s="139"/>
    </row>
    <row r="180" ht="15.75" customHeight="1">
      <c r="A180" s="43"/>
      <c r="B180" s="43"/>
      <c r="C180" s="15"/>
      <c r="D180" s="15"/>
      <c r="E180" s="146"/>
      <c r="F180" s="139"/>
      <c r="G180" s="15"/>
      <c r="H180" s="43"/>
      <c r="I180" s="43"/>
      <c r="J180" s="43"/>
      <c r="K180" s="61"/>
      <c r="L180" s="139"/>
      <c r="M180" s="139"/>
      <c r="N180" s="145"/>
      <c r="O180" s="43"/>
      <c r="P180" s="145"/>
      <c r="Q180" s="43"/>
      <c r="R180" s="88"/>
      <c r="S180" s="40"/>
      <c r="T180" s="260"/>
      <c r="U180" s="40"/>
      <c r="V180" s="40"/>
      <c r="W180" s="40"/>
      <c r="X180" s="40"/>
      <c r="Y180" s="40"/>
      <c r="Z180" s="40"/>
      <c r="AA180" s="40"/>
      <c r="AB180" s="40"/>
      <c r="AC180" s="139"/>
      <c r="AD180" s="139"/>
      <c r="AE180" s="40"/>
      <c r="AF180" s="40"/>
      <c r="AG180" s="139"/>
      <c r="AH180" s="139"/>
      <c r="AI180" s="139"/>
      <c r="AJ180" s="43"/>
      <c r="AK180" s="43"/>
      <c r="AL180" s="139"/>
      <c r="AM180" s="43"/>
      <c r="AN180" s="43"/>
      <c r="AO180" s="139"/>
      <c r="AP180" s="43"/>
      <c r="AQ180" s="43"/>
      <c r="AR180" s="139"/>
      <c r="AS180" s="43"/>
      <c r="AT180" s="43"/>
      <c r="AU180" s="139"/>
      <c r="AV180" s="43"/>
      <c r="AW180" s="43"/>
      <c r="AX180" s="139"/>
      <c r="AY180" s="139"/>
      <c r="AZ180" s="43"/>
      <c r="BA180" s="139"/>
      <c r="BB180" s="139"/>
      <c r="BC180" s="139"/>
      <c r="BD180" s="139"/>
      <c r="BE180" s="139"/>
      <c r="BF180" s="43"/>
      <c r="BG180" s="139"/>
      <c r="BH180" s="139"/>
      <c r="BI180" s="43"/>
      <c r="BJ180" s="139"/>
      <c r="BK180" s="43"/>
      <c r="BL180" s="139"/>
      <c r="BM180" s="139"/>
      <c r="BN180" s="43"/>
      <c r="BO180" s="139"/>
      <c r="BP180" s="139"/>
      <c r="BQ180" s="43"/>
      <c r="BR180" s="43"/>
      <c r="BS180" s="139"/>
      <c r="BT180" s="43"/>
      <c r="BU180" s="43"/>
      <c r="BV180" s="139"/>
      <c r="BW180" s="43"/>
      <c r="BX180" s="43"/>
      <c r="BY180" s="139"/>
      <c r="BZ180" s="43"/>
      <c r="CA180" s="43"/>
      <c r="CB180" s="139"/>
      <c r="CC180" s="43"/>
      <c r="CD180" s="43"/>
      <c r="CE180" s="139"/>
      <c r="CF180" s="43"/>
      <c r="CG180" s="43"/>
      <c r="CH180" s="139"/>
      <c r="CI180" s="43"/>
      <c r="CJ180" s="43"/>
      <c r="CK180" s="139"/>
    </row>
    <row r="181" ht="15.75" customHeight="1">
      <c r="A181" s="43"/>
      <c r="B181" s="43"/>
      <c r="C181" s="15"/>
      <c r="D181" s="15"/>
      <c r="E181" s="146"/>
      <c r="F181" s="139"/>
      <c r="G181" s="15"/>
      <c r="H181" s="43"/>
      <c r="I181" s="43"/>
      <c r="J181" s="43"/>
      <c r="K181" s="61"/>
      <c r="L181" s="139"/>
      <c r="M181" s="139"/>
      <c r="N181" s="145"/>
      <c r="O181" s="43"/>
      <c r="P181" s="145"/>
      <c r="Q181" s="43"/>
      <c r="R181" s="88"/>
      <c r="S181" s="40"/>
      <c r="T181" s="260"/>
      <c r="U181" s="40"/>
      <c r="V181" s="40"/>
      <c r="W181" s="40"/>
      <c r="X181" s="40"/>
      <c r="Y181" s="40"/>
      <c r="Z181" s="40"/>
      <c r="AA181" s="40"/>
      <c r="AB181" s="40"/>
      <c r="AC181" s="139"/>
      <c r="AD181" s="139"/>
      <c r="AE181" s="40"/>
      <c r="AF181" s="40"/>
      <c r="AG181" s="139"/>
      <c r="AH181" s="139"/>
      <c r="AI181" s="139"/>
      <c r="AJ181" s="43"/>
      <c r="AK181" s="43"/>
      <c r="AL181" s="139"/>
      <c r="AM181" s="43"/>
      <c r="AN181" s="43"/>
      <c r="AO181" s="139"/>
      <c r="AP181" s="43"/>
      <c r="AQ181" s="43"/>
      <c r="AR181" s="139"/>
      <c r="AS181" s="43"/>
      <c r="AT181" s="43"/>
      <c r="AU181" s="139"/>
      <c r="AV181" s="43"/>
      <c r="AW181" s="43"/>
      <c r="AX181" s="139"/>
      <c r="AY181" s="139"/>
      <c r="AZ181" s="43"/>
      <c r="BA181" s="139"/>
      <c r="BB181" s="139"/>
      <c r="BC181" s="139"/>
      <c r="BD181" s="139"/>
      <c r="BE181" s="139"/>
      <c r="BF181" s="43"/>
      <c r="BG181" s="139"/>
      <c r="BH181" s="139"/>
      <c r="BI181" s="43"/>
      <c r="BJ181" s="139"/>
      <c r="BK181" s="43"/>
      <c r="BL181" s="139"/>
      <c r="BM181" s="139"/>
      <c r="BN181" s="43"/>
      <c r="BO181" s="139"/>
      <c r="BP181" s="139"/>
      <c r="BQ181" s="43"/>
      <c r="BR181" s="43"/>
      <c r="BS181" s="139"/>
      <c r="BT181" s="43"/>
      <c r="BU181" s="43"/>
      <c r="BV181" s="139"/>
      <c r="BW181" s="43"/>
      <c r="BX181" s="43"/>
      <c r="BY181" s="139"/>
      <c r="BZ181" s="43"/>
      <c r="CA181" s="43"/>
      <c r="CB181" s="139"/>
      <c r="CC181" s="43"/>
      <c r="CD181" s="43"/>
      <c r="CE181" s="139"/>
      <c r="CF181" s="43"/>
      <c r="CG181" s="43"/>
      <c r="CH181" s="139"/>
      <c r="CI181" s="43"/>
      <c r="CJ181" s="43"/>
      <c r="CK181" s="139"/>
    </row>
    <row r="182" ht="15.75" customHeight="1">
      <c r="A182" s="43"/>
      <c r="B182" s="43"/>
      <c r="C182" s="15"/>
      <c r="D182" s="15"/>
      <c r="E182" s="146"/>
      <c r="F182" s="139"/>
      <c r="G182" s="15"/>
      <c r="H182" s="43"/>
      <c r="I182" s="43"/>
      <c r="J182" s="43"/>
      <c r="K182" s="61"/>
      <c r="L182" s="139"/>
      <c r="M182" s="139"/>
      <c r="N182" s="145"/>
      <c r="O182" s="43"/>
      <c r="P182" s="145"/>
      <c r="Q182" s="43"/>
      <c r="R182" s="88"/>
      <c r="S182" s="40"/>
      <c r="T182" s="260"/>
      <c r="U182" s="40"/>
      <c r="V182" s="40"/>
      <c r="W182" s="40"/>
      <c r="X182" s="40"/>
      <c r="Y182" s="40"/>
      <c r="Z182" s="40"/>
      <c r="AA182" s="40"/>
      <c r="AB182" s="40"/>
      <c r="AC182" s="139"/>
      <c r="AD182" s="139"/>
      <c r="AE182" s="40"/>
      <c r="AF182" s="40"/>
      <c r="AG182" s="139"/>
      <c r="AH182" s="139"/>
      <c r="AI182" s="139"/>
      <c r="AJ182" s="43"/>
      <c r="AK182" s="43"/>
      <c r="AL182" s="139"/>
      <c r="AM182" s="43"/>
      <c r="AN182" s="43"/>
      <c r="AO182" s="139"/>
      <c r="AP182" s="43"/>
      <c r="AQ182" s="43"/>
      <c r="AR182" s="139"/>
      <c r="AS182" s="43"/>
      <c r="AT182" s="43"/>
      <c r="AU182" s="139"/>
      <c r="AV182" s="43"/>
      <c r="AW182" s="43"/>
      <c r="AX182" s="139"/>
      <c r="AY182" s="139"/>
      <c r="AZ182" s="43"/>
      <c r="BA182" s="139"/>
      <c r="BB182" s="139"/>
      <c r="BC182" s="139"/>
      <c r="BD182" s="139"/>
      <c r="BE182" s="139"/>
      <c r="BF182" s="43"/>
      <c r="BG182" s="139"/>
      <c r="BH182" s="139"/>
      <c r="BI182" s="43"/>
      <c r="BJ182" s="139"/>
      <c r="BK182" s="43"/>
      <c r="BL182" s="139"/>
      <c r="BM182" s="139"/>
      <c r="BN182" s="43"/>
      <c r="BO182" s="139"/>
      <c r="BP182" s="139"/>
      <c r="BQ182" s="43"/>
      <c r="BR182" s="43"/>
      <c r="BS182" s="139"/>
      <c r="BT182" s="43"/>
      <c r="BU182" s="43"/>
      <c r="BV182" s="139"/>
      <c r="BW182" s="43"/>
      <c r="BX182" s="43"/>
      <c r="BY182" s="139"/>
      <c r="BZ182" s="43"/>
      <c r="CA182" s="43"/>
      <c r="CB182" s="139"/>
      <c r="CC182" s="43"/>
      <c r="CD182" s="43"/>
      <c r="CE182" s="139"/>
      <c r="CF182" s="43"/>
      <c r="CG182" s="43"/>
      <c r="CH182" s="139"/>
      <c r="CI182" s="43"/>
      <c r="CJ182" s="43"/>
      <c r="CK182" s="139"/>
    </row>
    <row r="183" ht="15.75" customHeight="1">
      <c r="A183" s="43"/>
      <c r="B183" s="43"/>
      <c r="C183" s="15"/>
      <c r="D183" s="15"/>
      <c r="E183" s="146"/>
      <c r="F183" s="139"/>
      <c r="G183" s="15"/>
      <c r="H183" s="43"/>
      <c r="I183" s="43"/>
      <c r="J183" s="43"/>
      <c r="K183" s="61"/>
      <c r="L183" s="139"/>
      <c r="M183" s="139"/>
      <c r="N183" s="145"/>
      <c r="O183" s="43"/>
      <c r="P183" s="145"/>
      <c r="Q183" s="43"/>
      <c r="R183" s="88"/>
      <c r="S183" s="40"/>
      <c r="T183" s="260"/>
      <c r="U183" s="40"/>
      <c r="V183" s="40"/>
      <c r="W183" s="40"/>
      <c r="X183" s="40"/>
      <c r="Y183" s="40"/>
      <c r="Z183" s="40"/>
      <c r="AA183" s="40"/>
      <c r="AB183" s="40"/>
      <c r="AC183" s="139"/>
      <c r="AD183" s="139"/>
      <c r="AE183" s="40"/>
      <c r="AF183" s="40"/>
      <c r="AG183" s="139"/>
      <c r="AH183" s="139"/>
      <c r="AI183" s="139"/>
      <c r="AJ183" s="43"/>
      <c r="AK183" s="43"/>
      <c r="AL183" s="139"/>
      <c r="AM183" s="43"/>
      <c r="AN183" s="43"/>
      <c r="AO183" s="139"/>
      <c r="AP183" s="43"/>
      <c r="AQ183" s="43"/>
      <c r="AR183" s="139"/>
      <c r="AS183" s="43"/>
      <c r="AT183" s="43"/>
      <c r="AU183" s="139"/>
      <c r="AV183" s="43"/>
      <c r="AW183" s="43"/>
      <c r="AX183" s="139"/>
      <c r="AY183" s="139"/>
      <c r="AZ183" s="43"/>
      <c r="BA183" s="139"/>
      <c r="BB183" s="139"/>
      <c r="BC183" s="139"/>
      <c r="BD183" s="139"/>
      <c r="BE183" s="139"/>
      <c r="BF183" s="43"/>
      <c r="BG183" s="139"/>
      <c r="BH183" s="139"/>
      <c r="BI183" s="43"/>
      <c r="BJ183" s="139"/>
      <c r="BK183" s="43"/>
      <c r="BL183" s="139"/>
      <c r="BM183" s="139"/>
      <c r="BN183" s="43"/>
      <c r="BO183" s="139"/>
      <c r="BP183" s="139"/>
      <c r="BQ183" s="43"/>
      <c r="BR183" s="43"/>
      <c r="BS183" s="139"/>
      <c r="BT183" s="43"/>
      <c r="BU183" s="43"/>
      <c r="BV183" s="139"/>
      <c r="BW183" s="43"/>
      <c r="BX183" s="43"/>
      <c r="BY183" s="139"/>
      <c r="BZ183" s="43"/>
      <c r="CA183" s="43"/>
      <c r="CB183" s="139"/>
      <c r="CC183" s="43"/>
      <c r="CD183" s="43"/>
      <c r="CE183" s="139"/>
      <c r="CF183" s="43"/>
      <c r="CG183" s="43"/>
      <c r="CH183" s="139"/>
      <c r="CI183" s="43"/>
      <c r="CJ183" s="43"/>
      <c r="CK183" s="139"/>
    </row>
    <row r="184" ht="15.75" customHeight="1">
      <c r="A184" s="43"/>
      <c r="B184" s="43"/>
      <c r="C184" s="15"/>
      <c r="D184" s="15"/>
      <c r="E184" s="146"/>
      <c r="F184" s="139"/>
      <c r="G184" s="15"/>
      <c r="H184" s="43"/>
      <c r="I184" s="43"/>
      <c r="J184" s="43"/>
      <c r="K184" s="61"/>
      <c r="L184" s="139"/>
      <c r="M184" s="139"/>
      <c r="N184" s="145"/>
      <c r="O184" s="43"/>
      <c r="P184" s="145"/>
      <c r="Q184" s="43"/>
      <c r="R184" s="88"/>
      <c r="S184" s="40"/>
      <c r="T184" s="260"/>
      <c r="U184" s="40"/>
      <c r="V184" s="40"/>
      <c r="W184" s="40"/>
      <c r="X184" s="40"/>
      <c r="Y184" s="40"/>
      <c r="Z184" s="40"/>
      <c r="AA184" s="40"/>
      <c r="AB184" s="40"/>
      <c r="AC184" s="139"/>
      <c r="AD184" s="139"/>
      <c r="AE184" s="40"/>
      <c r="AF184" s="40"/>
      <c r="AG184" s="139"/>
      <c r="AH184" s="139"/>
      <c r="AI184" s="139"/>
      <c r="AJ184" s="43"/>
      <c r="AK184" s="43"/>
      <c r="AL184" s="139"/>
      <c r="AM184" s="43"/>
      <c r="AN184" s="43"/>
      <c r="AO184" s="139"/>
      <c r="AP184" s="43"/>
      <c r="AQ184" s="43"/>
      <c r="AR184" s="139"/>
      <c r="AS184" s="43"/>
      <c r="AT184" s="43"/>
      <c r="AU184" s="139"/>
      <c r="AV184" s="43"/>
      <c r="AW184" s="43"/>
      <c r="AX184" s="139"/>
      <c r="AY184" s="139"/>
      <c r="AZ184" s="43"/>
      <c r="BA184" s="139"/>
      <c r="BB184" s="139"/>
      <c r="BC184" s="139"/>
      <c r="BD184" s="139"/>
      <c r="BE184" s="139"/>
      <c r="BF184" s="43"/>
      <c r="BG184" s="139"/>
      <c r="BH184" s="139"/>
      <c r="BI184" s="43"/>
      <c r="BJ184" s="139"/>
      <c r="BK184" s="43"/>
      <c r="BL184" s="139"/>
      <c r="BM184" s="139"/>
      <c r="BN184" s="43"/>
      <c r="BO184" s="139"/>
      <c r="BP184" s="139"/>
      <c r="BQ184" s="43"/>
      <c r="BR184" s="43"/>
      <c r="BS184" s="139"/>
      <c r="BT184" s="43"/>
      <c r="BU184" s="43"/>
      <c r="BV184" s="139"/>
      <c r="BW184" s="43"/>
      <c r="BX184" s="43"/>
      <c r="BY184" s="139"/>
      <c r="BZ184" s="43"/>
      <c r="CA184" s="43"/>
      <c r="CB184" s="139"/>
      <c r="CC184" s="43"/>
      <c r="CD184" s="43"/>
      <c r="CE184" s="139"/>
      <c r="CF184" s="43"/>
      <c r="CG184" s="43"/>
      <c r="CH184" s="139"/>
      <c r="CI184" s="43"/>
      <c r="CJ184" s="43"/>
      <c r="CK184" s="139"/>
    </row>
    <row r="185" ht="15.75" customHeight="1">
      <c r="A185" s="43"/>
      <c r="B185" s="43"/>
      <c r="C185" s="15"/>
      <c r="D185" s="15"/>
      <c r="E185" s="146"/>
      <c r="F185" s="139"/>
      <c r="G185" s="15"/>
      <c r="H185" s="43"/>
      <c r="I185" s="43"/>
      <c r="J185" s="43"/>
      <c r="K185" s="61"/>
      <c r="L185" s="139"/>
      <c r="M185" s="139"/>
      <c r="N185" s="145"/>
      <c r="O185" s="43"/>
      <c r="P185" s="145"/>
      <c r="Q185" s="43"/>
      <c r="R185" s="88"/>
      <c r="S185" s="40"/>
      <c r="T185" s="260"/>
      <c r="U185" s="40"/>
      <c r="V185" s="40"/>
      <c r="W185" s="40"/>
      <c r="X185" s="40"/>
      <c r="Y185" s="40"/>
      <c r="Z185" s="40"/>
      <c r="AA185" s="40"/>
      <c r="AB185" s="40"/>
      <c r="AC185" s="139"/>
      <c r="AD185" s="139"/>
      <c r="AE185" s="40"/>
      <c r="AF185" s="40"/>
      <c r="AG185" s="139"/>
      <c r="AH185" s="139"/>
      <c r="AI185" s="139"/>
      <c r="AJ185" s="43"/>
      <c r="AK185" s="43"/>
      <c r="AL185" s="139"/>
      <c r="AM185" s="43"/>
      <c r="AN185" s="43"/>
      <c r="AO185" s="139"/>
      <c r="AP185" s="43"/>
      <c r="AQ185" s="43"/>
      <c r="AR185" s="139"/>
      <c r="AS185" s="43"/>
      <c r="AT185" s="43"/>
      <c r="AU185" s="139"/>
      <c r="AV185" s="43"/>
      <c r="AW185" s="43"/>
      <c r="AX185" s="139"/>
      <c r="AY185" s="139"/>
      <c r="AZ185" s="43"/>
      <c r="BA185" s="139"/>
      <c r="BB185" s="139"/>
      <c r="BC185" s="139"/>
      <c r="BD185" s="139"/>
      <c r="BE185" s="139"/>
      <c r="BF185" s="43"/>
      <c r="BG185" s="139"/>
      <c r="BH185" s="139"/>
      <c r="BI185" s="43"/>
      <c r="BJ185" s="139"/>
      <c r="BK185" s="43"/>
      <c r="BL185" s="139"/>
      <c r="BM185" s="139"/>
      <c r="BN185" s="43"/>
      <c r="BO185" s="139"/>
      <c r="BP185" s="139"/>
      <c r="BQ185" s="43"/>
      <c r="BR185" s="43"/>
      <c r="BS185" s="139"/>
      <c r="BT185" s="43"/>
      <c r="BU185" s="43"/>
      <c r="BV185" s="139"/>
      <c r="BW185" s="43"/>
      <c r="BX185" s="43"/>
      <c r="BY185" s="139"/>
      <c r="BZ185" s="43"/>
      <c r="CA185" s="43"/>
      <c r="CB185" s="139"/>
      <c r="CC185" s="43"/>
      <c r="CD185" s="43"/>
      <c r="CE185" s="139"/>
      <c r="CF185" s="43"/>
      <c r="CG185" s="43"/>
      <c r="CH185" s="139"/>
      <c r="CI185" s="43"/>
      <c r="CJ185" s="43"/>
      <c r="CK185" s="139"/>
    </row>
    <row r="186" ht="15.75" customHeight="1">
      <c r="A186" s="43"/>
      <c r="B186" s="43"/>
      <c r="C186" s="15"/>
      <c r="D186" s="15"/>
      <c r="E186" s="146"/>
      <c r="F186" s="139"/>
      <c r="G186" s="15"/>
      <c r="H186" s="43"/>
      <c r="I186" s="43"/>
      <c r="J186" s="43"/>
      <c r="K186" s="61"/>
      <c r="L186" s="139"/>
      <c r="M186" s="139"/>
      <c r="N186" s="145"/>
      <c r="O186" s="43"/>
      <c r="P186" s="145"/>
      <c r="Q186" s="43"/>
      <c r="R186" s="88"/>
      <c r="S186" s="40"/>
      <c r="T186" s="260"/>
      <c r="U186" s="40"/>
      <c r="V186" s="40"/>
      <c r="W186" s="40"/>
      <c r="X186" s="40"/>
      <c r="Y186" s="40"/>
      <c r="Z186" s="40"/>
      <c r="AA186" s="40"/>
      <c r="AB186" s="40"/>
      <c r="AC186" s="139"/>
      <c r="AD186" s="139"/>
      <c r="AE186" s="40"/>
      <c r="AF186" s="40"/>
      <c r="AG186" s="139"/>
      <c r="AH186" s="139"/>
      <c r="AI186" s="139"/>
      <c r="AJ186" s="43"/>
      <c r="AK186" s="43"/>
      <c r="AL186" s="139"/>
      <c r="AM186" s="43"/>
      <c r="AN186" s="43"/>
      <c r="AO186" s="139"/>
      <c r="AP186" s="43"/>
      <c r="AQ186" s="43"/>
      <c r="AR186" s="139"/>
      <c r="AS186" s="43"/>
      <c r="AT186" s="43"/>
      <c r="AU186" s="139"/>
      <c r="AV186" s="43"/>
      <c r="AW186" s="43"/>
      <c r="AX186" s="139"/>
      <c r="AY186" s="139"/>
      <c r="AZ186" s="43"/>
      <c r="BA186" s="139"/>
      <c r="BB186" s="139"/>
      <c r="BC186" s="139"/>
      <c r="BD186" s="139"/>
      <c r="BE186" s="139"/>
      <c r="BF186" s="43"/>
      <c r="BG186" s="139"/>
      <c r="BH186" s="139"/>
      <c r="BI186" s="43"/>
      <c r="BJ186" s="139"/>
      <c r="BK186" s="43"/>
      <c r="BL186" s="139"/>
      <c r="BM186" s="139"/>
      <c r="BN186" s="43"/>
      <c r="BO186" s="139"/>
      <c r="BP186" s="139"/>
      <c r="BQ186" s="43"/>
      <c r="BR186" s="43"/>
      <c r="BS186" s="139"/>
      <c r="BT186" s="43"/>
      <c r="BU186" s="43"/>
      <c r="BV186" s="139"/>
      <c r="BW186" s="43"/>
      <c r="BX186" s="43"/>
      <c r="BY186" s="139"/>
      <c r="BZ186" s="43"/>
      <c r="CA186" s="43"/>
      <c r="CB186" s="139"/>
      <c r="CC186" s="43"/>
      <c r="CD186" s="43"/>
      <c r="CE186" s="139"/>
      <c r="CF186" s="43"/>
      <c r="CG186" s="43"/>
      <c r="CH186" s="139"/>
      <c r="CI186" s="43"/>
      <c r="CJ186" s="43"/>
      <c r="CK186" s="139"/>
    </row>
    <row r="187" ht="15.75" customHeight="1">
      <c r="A187" s="43"/>
      <c r="B187" s="43"/>
      <c r="C187" s="15"/>
      <c r="D187" s="15"/>
      <c r="E187" s="146"/>
      <c r="F187" s="139"/>
      <c r="G187" s="15"/>
      <c r="H187" s="43"/>
      <c r="I187" s="43"/>
      <c r="J187" s="43"/>
      <c r="K187" s="61"/>
      <c r="L187" s="139"/>
      <c r="M187" s="139"/>
      <c r="N187" s="145"/>
      <c r="O187" s="43"/>
      <c r="P187" s="145"/>
      <c r="Q187" s="43"/>
      <c r="R187" s="88"/>
      <c r="S187" s="40"/>
      <c r="T187" s="260"/>
      <c r="U187" s="40"/>
      <c r="V187" s="40"/>
      <c r="W187" s="40"/>
      <c r="X187" s="40"/>
      <c r="Y187" s="40"/>
      <c r="Z187" s="40"/>
      <c r="AA187" s="40"/>
      <c r="AB187" s="40"/>
      <c r="AC187" s="139"/>
      <c r="AD187" s="139"/>
      <c r="AE187" s="40"/>
      <c r="AF187" s="40"/>
      <c r="AG187" s="139"/>
      <c r="AH187" s="139"/>
      <c r="AI187" s="139"/>
      <c r="AJ187" s="43"/>
      <c r="AK187" s="43"/>
      <c r="AL187" s="139"/>
      <c r="AM187" s="43"/>
      <c r="AN187" s="43"/>
      <c r="AO187" s="139"/>
      <c r="AP187" s="43"/>
      <c r="AQ187" s="43"/>
      <c r="AR187" s="139"/>
      <c r="AS187" s="43"/>
      <c r="AT187" s="43"/>
      <c r="AU187" s="139"/>
      <c r="AV187" s="43"/>
      <c r="AW187" s="43"/>
      <c r="AX187" s="139"/>
      <c r="AY187" s="139"/>
      <c r="AZ187" s="43"/>
      <c r="BA187" s="139"/>
      <c r="BB187" s="139"/>
      <c r="BC187" s="139"/>
      <c r="BD187" s="139"/>
      <c r="BE187" s="139"/>
      <c r="BF187" s="43"/>
      <c r="BG187" s="139"/>
      <c r="BH187" s="139"/>
      <c r="BI187" s="43"/>
      <c r="BJ187" s="139"/>
      <c r="BK187" s="43"/>
      <c r="BL187" s="139"/>
      <c r="BM187" s="139"/>
      <c r="BN187" s="43"/>
      <c r="BO187" s="139"/>
      <c r="BP187" s="139"/>
      <c r="BQ187" s="43"/>
      <c r="BR187" s="43"/>
      <c r="BS187" s="139"/>
      <c r="BT187" s="43"/>
      <c r="BU187" s="43"/>
      <c r="BV187" s="139"/>
      <c r="BW187" s="43"/>
      <c r="BX187" s="43"/>
      <c r="BY187" s="139"/>
      <c r="BZ187" s="43"/>
      <c r="CA187" s="43"/>
      <c r="CB187" s="139"/>
      <c r="CC187" s="43"/>
      <c r="CD187" s="43"/>
      <c r="CE187" s="139"/>
      <c r="CF187" s="43"/>
      <c r="CG187" s="43"/>
      <c r="CH187" s="139"/>
      <c r="CI187" s="43"/>
      <c r="CJ187" s="43"/>
      <c r="CK187" s="139"/>
    </row>
    <row r="188" ht="15.75" customHeight="1">
      <c r="A188" s="43"/>
      <c r="B188" s="43"/>
      <c r="C188" s="15"/>
      <c r="D188" s="15"/>
      <c r="E188" s="146"/>
      <c r="F188" s="139"/>
      <c r="G188" s="15"/>
      <c r="H188" s="43"/>
      <c r="I188" s="43"/>
      <c r="J188" s="43"/>
      <c r="K188" s="61"/>
      <c r="L188" s="139"/>
      <c r="M188" s="139"/>
      <c r="N188" s="145"/>
      <c r="O188" s="43"/>
      <c r="P188" s="145"/>
      <c r="Q188" s="43"/>
      <c r="R188" s="88"/>
      <c r="S188" s="40"/>
      <c r="T188" s="260"/>
      <c r="U188" s="40"/>
      <c r="V188" s="40"/>
      <c r="W188" s="40"/>
      <c r="X188" s="40"/>
      <c r="Y188" s="40"/>
      <c r="Z188" s="40"/>
      <c r="AA188" s="40"/>
      <c r="AB188" s="40"/>
      <c r="AC188" s="139"/>
      <c r="AD188" s="139"/>
      <c r="AE188" s="40"/>
      <c r="AF188" s="40"/>
      <c r="AG188" s="139"/>
      <c r="AH188" s="139"/>
      <c r="AI188" s="139"/>
      <c r="AJ188" s="43"/>
      <c r="AK188" s="43"/>
      <c r="AL188" s="139"/>
      <c r="AM188" s="43"/>
      <c r="AN188" s="43"/>
      <c r="AO188" s="139"/>
      <c r="AP188" s="43"/>
      <c r="AQ188" s="43"/>
      <c r="AR188" s="139"/>
      <c r="AS188" s="43"/>
      <c r="AT188" s="43"/>
      <c r="AU188" s="139"/>
      <c r="AV188" s="43"/>
      <c r="AW188" s="43"/>
      <c r="AX188" s="139"/>
      <c r="AY188" s="139"/>
      <c r="AZ188" s="43"/>
      <c r="BA188" s="139"/>
      <c r="BB188" s="139"/>
      <c r="BC188" s="139"/>
      <c r="BD188" s="139"/>
      <c r="BE188" s="139"/>
      <c r="BF188" s="43"/>
      <c r="BG188" s="139"/>
      <c r="BH188" s="139"/>
      <c r="BI188" s="43"/>
      <c r="BJ188" s="139"/>
      <c r="BK188" s="43"/>
      <c r="BL188" s="139"/>
      <c r="BM188" s="139"/>
      <c r="BN188" s="43"/>
      <c r="BO188" s="139"/>
      <c r="BP188" s="139"/>
      <c r="BQ188" s="43"/>
      <c r="BR188" s="43"/>
      <c r="BS188" s="139"/>
      <c r="BT188" s="43"/>
      <c r="BU188" s="43"/>
      <c r="BV188" s="139"/>
      <c r="BW188" s="43"/>
      <c r="BX188" s="43"/>
      <c r="BY188" s="139"/>
      <c r="BZ188" s="43"/>
      <c r="CA188" s="43"/>
      <c r="CB188" s="139"/>
      <c r="CC188" s="43"/>
      <c r="CD188" s="43"/>
      <c r="CE188" s="139"/>
      <c r="CF188" s="43"/>
      <c r="CG188" s="43"/>
      <c r="CH188" s="139"/>
      <c r="CI188" s="43"/>
      <c r="CJ188" s="43"/>
      <c r="CK188" s="139"/>
    </row>
    <row r="189" ht="15.75" customHeight="1">
      <c r="A189" s="43"/>
      <c r="B189" s="43"/>
      <c r="C189" s="15"/>
      <c r="D189" s="15"/>
      <c r="E189" s="146"/>
      <c r="F189" s="139"/>
      <c r="G189" s="15"/>
      <c r="H189" s="43"/>
      <c r="I189" s="43"/>
      <c r="J189" s="43"/>
      <c r="K189" s="61"/>
      <c r="L189" s="139"/>
      <c r="M189" s="139"/>
      <c r="N189" s="145"/>
      <c r="O189" s="43"/>
      <c r="P189" s="145"/>
      <c r="Q189" s="43"/>
      <c r="R189" s="88"/>
      <c r="S189" s="40"/>
      <c r="T189" s="260"/>
      <c r="U189" s="40"/>
      <c r="V189" s="40"/>
      <c r="W189" s="40"/>
      <c r="X189" s="40"/>
      <c r="Y189" s="40"/>
      <c r="Z189" s="40"/>
      <c r="AA189" s="40"/>
      <c r="AB189" s="40"/>
      <c r="AC189" s="139"/>
      <c r="AD189" s="139"/>
      <c r="AE189" s="40"/>
      <c r="AF189" s="40"/>
      <c r="AG189" s="139"/>
      <c r="AH189" s="139"/>
      <c r="AI189" s="139"/>
      <c r="AJ189" s="43"/>
      <c r="AK189" s="43"/>
      <c r="AL189" s="139"/>
      <c r="AM189" s="43"/>
      <c r="AN189" s="43"/>
      <c r="AO189" s="139"/>
      <c r="AP189" s="43"/>
      <c r="AQ189" s="43"/>
      <c r="AR189" s="139"/>
      <c r="AS189" s="43"/>
      <c r="AT189" s="43"/>
      <c r="AU189" s="139"/>
      <c r="AV189" s="43"/>
      <c r="AW189" s="43"/>
      <c r="AX189" s="139"/>
      <c r="AY189" s="139"/>
      <c r="AZ189" s="43"/>
      <c r="BA189" s="139"/>
      <c r="BB189" s="139"/>
      <c r="BC189" s="139"/>
      <c r="BD189" s="139"/>
      <c r="BE189" s="139"/>
      <c r="BF189" s="43"/>
      <c r="BG189" s="139"/>
      <c r="BH189" s="139"/>
      <c r="BI189" s="43"/>
      <c r="BJ189" s="139"/>
      <c r="BK189" s="43"/>
      <c r="BL189" s="139"/>
      <c r="BM189" s="139"/>
      <c r="BN189" s="43"/>
      <c r="BO189" s="139"/>
      <c r="BP189" s="139"/>
      <c r="BQ189" s="43"/>
      <c r="BR189" s="43"/>
      <c r="BS189" s="139"/>
      <c r="BT189" s="43"/>
      <c r="BU189" s="43"/>
      <c r="BV189" s="139"/>
      <c r="BW189" s="43"/>
      <c r="BX189" s="43"/>
      <c r="BY189" s="139"/>
      <c r="BZ189" s="43"/>
      <c r="CA189" s="43"/>
      <c r="CB189" s="139"/>
      <c r="CC189" s="43"/>
      <c r="CD189" s="43"/>
      <c r="CE189" s="139"/>
      <c r="CF189" s="43"/>
      <c r="CG189" s="43"/>
      <c r="CH189" s="139"/>
      <c r="CI189" s="43"/>
      <c r="CJ189" s="43"/>
      <c r="CK189" s="139"/>
    </row>
    <row r="190" ht="15.75" customHeight="1">
      <c r="A190" s="43"/>
      <c r="B190" s="43"/>
      <c r="C190" s="15"/>
      <c r="D190" s="15"/>
      <c r="E190" s="146"/>
      <c r="F190" s="139"/>
      <c r="G190" s="15"/>
      <c r="H190" s="43"/>
      <c r="I190" s="43"/>
      <c r="J190" s="43"/>
      <c r="K190" s="61"/>
      <c r="L190" s="139"/>
      <c r="M190" s="139"/>
      <c r="N190" s="145"/>
      <c r="O190" s="43"/>
      <c r="P190" s="145"/>
      <c r="Q190" s="43"/>
      <c r="R190" s="88"/>
      <c r="S190" s="40"/>
      <c r="T190" s="260"/>
      <c r="U190" s="40"/>
      <c r="V190" s="40"/>
      <c r="W190" s="40"/>
      <c r="X190" s="40"/>
      <c r="Y190" s="40"/>
      <c r="Z190" s="40"/>
      <c r="AA190" s="40"/>
      <c r="AB190" s="40"/>
      <c r="AC190" s="139"/>
      <c r="AD190" s="139"/>
      <c r="AE190" s="40"/>
      <c r="AF190" s="40"/>
      <c r="AG190" s="139"/>
      <c r="AH190" s="139"/>
      <c r="AI190" s="139"/>
      <c r="AJ190" s="43"/>
      <c r="AK190" s="43"/>
      <c r="AL190" s="139"/>
      <c r="AM190" s="43"/>
      <c r="AN190" s="43"/>
      <c r="AO190" s="139"/>
      <c r="AP190" s="43"/>
      <c r="AQ190" s="43"/>
      <c r="AR190" s="139"/>
      <c r="AS190" s="43"/>
      <c r="AT190" s="43"/>
      <c r="AU190" s="139"/>
      <c r="AV190" s="43"/>
      <c r="AW190" s="43"/>
      <c r="AX190" s="139"/>
      <c r="AY190" s="139"/>
      <c r="AZ190" s="43"/>
      <c r="BA190" s="139"/>
      <c r="BB190" s="139"/>
      <c r="BC190" s="139"/>
      <c r="BD190" s="139"/>
      <c r="BE190" s="139"/>
      <c r="BF190" s="43"/>
      <c r="BG190" s="139"/>
      <c r="BH190" s="139"/>
      <c r="BI190" s="43"/>
      <c r="BJ190" s="139"/>
      <c r="BK190" s="43"/>
      <c r="BL190" s="139"/>
      <c r="BM190" s="139"/>
      <c r="BN190" s="43"/>
      <c r="BO190" s="139"/>
      <c r="BP190" s="139"/>
      <c r="BQ190" s="43"/>
      <c r="BR190" s="43"/>
      <c r="BS190" s="139"/>
      <c r="BT190" s="43"/>
      <c r="BU190" s="43"/>
      <c r="BV190" s="139"/>
      <c r="BW190" s="43"/>
      <c r="BX190" s="43"/>
      <c r="BY190" s="139"/>
      <c r="BZ190" s="43"/>
      <c r="CA190" s="43"/>
      <c r="CB190" s="139"/>
      <c r="CC190" s="43"/>
      <c r="CD190" s="43"/>
      <c r="CE190" s="139"/>
      <c r="CF190" s="43"/>
      <c r="CG190" s="43"/>
      <c r="CH190" s="139"/>
      <c r="CI190" s="43"/>
      <c r="CJ190" s="43"/>
      <c r="CK190" s="139"/>
    </row>
    <row r="191" ht="15.75" customHeight="1">
      <c r="A191" s="43"/>
      <c r="B191" s="43"/>
      <c r="C191" s="15"/>
      <c r="D191" s="15"/>
      <c r="E191" s="146"/>
      <c r="F191" s="139"/>
      <c r="G191" s="15"/>
      <c r="H191" s="43"/>
      <c r="I191" s="43"/>
      <c r="J191" s="43"/>
      <c r="K191" s="61"/>
      <c r="L191" s="139"/>
      <c r="M191" s="139"/>
      <c r="N191" s="145"/>
      <c r="O191" s="43"/>
      <c r="P191" s="145"/>
      <c r="Q191" s="43"/>
      <c r="R191" s="88"/>
      <c r="S191" s="40"/>
      <c r="T191" s="260"/>
      <c r="U191" s="40"/>
      <c r="V191" s="40"/>
      <c r="W191" s="40"/>
      <c r="X191" s="40"/>
      <c r="Y191" s="40"/>
      <c r="Z191" s="40"/>
      <c r="AA191" s="40"/>
      <c r="AB191" s="40"/>
      <c r="AC191" s="139"/>
      <c r="AD191" s="139"/>
      <c r="AE191" s="40"/>
      <c r="AF191" s="40"/>
      <c r="AG191" s="139"/>
      <c r="AH191" s="139"/>
      <c r="AI191" s="139"/>
      <c r="AJ191" s="43"/>
      <c r="AK191" s="43"/>
      <c r="AL191" s="139"/>
      <c r="AM191" s="43"/>
      <c r="AN191" s="43"/>
      <c r="AO191" s="139"/>
      <c r="AP191" s="43"/>
      <c r="AQ191" s="43"/>
      <c r="AR191" s="139"/>
      <c r="AS191" s="43"/>
      <c r="AT191" s="43"/>
      <c r="AU191" s="139"/>
      <c r="AV191" s="43"/>
      <c r="AW191" s="43"/>
      <c r="AX191" s="139"/>
      <c r="AY191" s="139"/>
      <c r="AZ191" s="43"/>
      <c r="BA191" s="139"/>
      <c r="BB191" s="139"/>
      <c r="BC191" s="139"/>
      <c r="BD191" s="139"/>
      <c r="BE191" s="139"/>
      <c r="BF191" s="43"/>
      <c r="BG191" s="139"/>
      <c r="BH191" s="139"/>
      <c r="BI191" s="43"/>
      <c r="BJ191" s="139"/>
      <c r="BK191" s="43"/>
      <c r="BL191" s="139"/>
      <c r="BM191" s="139"/>
      <c r="BN191" s="43"/>
      <c r="BO191" s="139"/>
      <c r="BP191" s="139"/>
      <c r="BQ191" s="43"/>
      <c r="BR191" s="43"/>
      <c r="BS191" s="139"/>
      <c r="BT191" s="43"/>
      <c r="BU191" s="43"/>
      <c r="BV191" s="139"/>
      <c r="BW191" s="43"/>
      <c r="BX191" s="43"/>
      <c r="BY191" s="139"/>
      <c r="BZ191" s="43"/>
      <c r="CA191" s="43"/>
      <c r="CB191" s="139"/>
      <c r="CC191" s="43"/>
      <c r="CD191" s="43"/>
      <c r="CE191" s="139"/>
      <c r="CF191" s="43"/>
      <c r="CG191" s="43"/>
      <c r="CH191" s="139"/>
      <c r="CI191" s="43"/>
      <c r="CJ191" s="43"/>
      <c r="CK191" s="139"/>
    </row>
    <row r="192" ht="15.75" customHeight="1">
      <c r="A192" s="43"/>
      <c r="B192" s="43"/>
      <c r="C192" s="15"/>
      <c r="D192" s="15"/>
      <c r="E192" s="146"/>
      <c r="F192" s="139"/>
      <c r="G192" s="15"/>
      <c r="H192" s="43"/>
      <c r="I192" s="43"/>
      <c r="J192" s="43"/>
      <c r="K192" s="61"/>
      <c r="L192" s="139"/>
      <c r="M192" s="139"/>
      <c r="N192" s="145"/>
      <c r="O192" s="43"/>
      <c r="P192" s="145"/>
      <c r="Q192" s="43"/>
      <c r="R192" s="88"/>
      <c r="S192" s="40"/>
      <c r="T192" s="260"/>
      <c r="U192" s="40"/>
      <c r="V192" s="40"/>
      <c r="W192" s="40"/>
      <c r="X192" s="40"/>
      <c r="Y192" s="40"/>
      <c r="Z192" s="40"/>
      <c r="AA192" s="40"/>
      <c r="AB192" s="40"/>
      <c r="AC192" s="139"/>
      <c r="AD192" s="139"/>
      <c r="AE192" s="40"/>
      <c r="AF192" s="40"/>
      <c r="AG192" s="139"/>
      <c r="AH192" s="139"/>
      <c r="AI192" s="139"/>
      <c r="AJ192" s="43"/>
      <c r="AK192" s="43"/>
      <c r="AL192" s="139"/>
      <c r="AM192" s="43"/>
      <c r="AN192" s="43"/>
      <c r="AO192" s="139"/>
      <c r="AP192" s="43"/>
      <c r="AQ192" s="43"/>
      <c r="AR192" s="139"/>
      <c r="AS192" s="43"/>
      <c r="AT192" s="43"/>
      <c r="AU192" s="139"/>
      <c r="AV192" s="43"/>
      <c r="AW192" s="43"/>
      <c r="AX192" s="139"/>
      <c r="AY192" s="139"/>
      <c r="AZ192" s="43"/>
      <c r="BA192" s="139"/>
      <c r="BB192" s="139"/>
      <c r="BC192" s="139"/>
      <c r="BD192" s="139"/>
      <c r="BE192" s="139"/>
      <c r="BF192" s="43"/>
      <c r="BG192" s="139"/>
      <c r="BH192" s="139"/>
      <c r="BI192" s="43"/>
      <c r="BJ192" s="139"/>
      <c r="BK192" s="43"/>
      <c r="BL192" s="139"/>
      <c r="BM192" s="139"/>
      <c r="BN192" s="43"/>
      <c r="BO192" s="139"/>
      <c r="BP192" s="139"/>
      <c r="BQ192" s="43"/>
      <c r="BR192" s="43"/>
      <c r="BS192" s="139"/>
      <c r="BT192" s="43"/>
      <c r="BU192" s="43"/>
      <c r="BV192" s="139"/>
      <c r="BW192" s="43"/>
      <c r="BX192" s="43"/>
      <c r="BY192" s="139"/>
      <c r="BZ192" s="43"/>
      <c r="CA192" s="43"/>
      <c r="CB192" s="139"/>
      <c r="CC192" s="43"/>
      <c r="CD192" s="43"/>
      <c r="CE192" s="139"/>
      <c r="CF192" s="43"/>
      <c r="CG192" s="43"/>
      <c r="CH192" s="139"/>
      <c r="CI192" s="43"/>
      <c r="CJ192" s="43"/>
      <c r="CK192" s="139"/>
    </row>
    <row r="193" ht="15.75" customHeight="1">
      <c r="A193" s="43"/>
      <c r="B193" s="43"/>
      <c r="C193" s="15"/>
      <c r="D193" s="15"/>
      <c r="E193" s="146"/>
      <c r="F193" s="139"/>
      <c r="G193" s="15"/>
      <c r="H193" s="43"/>
      <c r="I193" s="43"/>
      <c r="J193" s="43"/>
      <c r="K193" s="61"/>
      <c r="L193" s="139"/>
      <c r="M193" s="139"/>
      <c r="N193" s="145"/>
      <c r="O193" s="43"/>
      <c r="P193" s="145"/>
      <c r="Q193" s="43"/>
      <c r="R193" s="88"/>
      <c r="S193" s="40"/>
      <c r="T193" s="260"/>
      <c r="U193" s="40"/>
      <c r="V193" s="40"/>
      <c r="W193" s="40"/>
      <c r="X193" s="40"/>
      <c r="Y193" s="40"/>
      <c r="Z193" s="40"/>
      <c r="AA193" s="40"/>
      <c r="AB193" s="40"/>
      <c r="AC193" s="139"/>
      <c r="AD193" s="139"/>
      <c r="AE193" s="40"/>
      <c r="AF193" s="40"/>
      <c r="AG193" s="139"/>
      <c r="AH193" s="139"/>
      <c r="AI193" s="139"/>
      <c r="AJ193" s="43"/>
      <c r="AK193" s="43"/>
      <c r="AL193" s="139"/>
      <c r="AM193" s="43"/>
      <c r="AN193" s="43"/>
      <c r="AO193" s="139"/>
      <c r="AP193" s="43"/>
      <c r="AQ193" s="43"/>
      <c r="AR193" s="139"/>
      <c r="AS193" s="43"/>
      <c r="AT193" s="43"/>
      <c r="AU193" s="139"/>
      <c r="AV193" s="43"/>
      <c r="AW193" s="43"/>
      <c r="AX193" s="139"/>
      <c r="AY193" s="139"/>
      <c r="AZ193" s="43"/>
      <c r="BA193" s="139"/>
      <c r="BB193" s="139"/>
      <c r="BC193" s="139"/>
      <c r="BD193" s="139"/>
      <c r="BE193" s="139"/>
      <c r="BF193" s="43"/>
      <c r="BG193" s="139"/>
      <c r="BH193" s="139"/>
      <c r="BI193" s="43"/>
      <c r="BJ193" s="139"/>
      <c r="BK193" s="43"/>
      <c r="BL193" s="139"/>
      <c r="BM193" s="139"/>
      <c r="BN193" s="43"/>
      <c r="BO193" s="139"/>
      <c r="BP193" s="139"/>
      <c r="BQ193" s="43"/>
      <c r="BR193" s="43"/>
      <c r="BS193" s="139"/>
      <c r="BT193" s="43"/>
      <c r="BU193" s="43"/>
      <c r="BV193" s="139"/>
      <c r="BW193" s="43"/>
      <c r="BX193" s="43"/>
      <c r="BY193" s="139"/>
      <c r="BZ193" s="43"/>
      <c r="CA193" s="43"/>
      <c r="CB193" s="139"/>
      <c r="CC193" s="43"/>
      <c r="CD193" s="43"/>
      <c r="CE193" s="139"/>
      <c r="CF193" s="43"/>
      <c r="CG193" s="43"/>
      <c r="CH193" s="139"/>
      <c r="CI193" s="43"/>
      <c r="CJ193" s="43"/>
      <c r="CK193" s="139"/>
    </row>
    <row r="194" ht="15.75" customHeight="1">
      <c r="A194" s="43"/>
      <c r="B194" s="43"/>
      <c r="C194" s="15"/>
      <c r="D194" s="15"/>
      <c r="E194" s="146"/>
      <c r="F194" s="139"/>
      <c r="G194" s="15"/>
      <c r="H194" s="43"/>
      <c r="I194" s="43"/>
      <c r="J194" s="43"/>
      <c r="K194" s="61"/>
      <c r="L194" s="139"/>
      <c r="M194" s="139"/>
      <c r="N194" s="145"/>
      <c r="O194" s="43"/>
      <c r="P194" s="145"/>
      <c r="Q194" s="43"/>
      <c r="R194" s="88"/>
      <c r="S194" s="40"/>
      <c r="T194" s="260"/>
      <c r="U194" s="40"/>
      <c r="V194" s="40"/>
      <c r="W194" s="40"/>
      <c r="X194" s="40"/>
      <c r="Y194" s="40"/>
      <c r="Z194" s="40"/>
      <c r="AA194" s="40"/>
      <c r="AB194" s="40"/>
      <c r="AC194" s="139"/>
      <c r="AD194" s="139"/>
      <c r="AE194" s="40"/>
      <c r="AF194" s="40"/>
      <c r="AG194" s="139"/>
      <c r="AH194" s="139"/>
      <c r="AI194" s="139"/>
      <c r="AJ194" s="43"/>
      <c r="AK194" s="43"/>
      <c r="AL194" s="139"/>
      <c r="AM194" s="43"/>
      <c r="AN194" s="43"/>
      <c r="AO194" s="139"/>
      <c r="AP194" s="43"/>
      <c r="AQ194" s="43"/>
      <c r="AR194" s="139"/>
      <c r="AS194" s="43"/>
      <c r="AT194" s="43"/>
      <c r="AU194" s="139"/>
      <c r="AV194" s="43"/>
      <c r="AW194" s="43"/>
      <c r="AX194" s="139"/>
      <c r="AY194" s="139"/>
      <c r="AZ194" s="43"/>
      <c r="BA194" s="139"/>
      <c r="BB194" s="139"/>
      <c r="BC194" s="139"/>
      <c r="BD194" s="139"/>
      <c r="BE194" s="139"/>
      <c r="BF194" s="43"/>
      <c r="BG194" s="139"/>
      <c r="BH194" s="139"/>
      <c r="BI194" s="43"/>
      <c r="BJ194" s="139"/>
      <c r="BK194" s="43"/>
      <c r="BL194" s="139"/>
      <c r="BM194" s="139"/>
      <c r="BN194" s="43"/>
      <c r="BO194" s="139"/>
      <c r="BP194" s="139"/>
      <c r="BQ194" s="43"/>
      <c r="BR194" s="43"/>
      <c r="BS194" s="139"/>
      <c r="BT194" s="43"/>
      <c r="BU194" s="43"/>
      <c r="BV194" s="139"/>
      <c r="BW194" s="43"/>
      <c r="BX194" s="43"/>
      <c r="BY194" s="139"/>
      <c r="BZ194" s="43"/>
      <c r="CA194" s="43"/>
      <c r="CB194" s="139"/>
      <c r="CC194" s="43"/>
      <c r="CD194" s="43"/>
      <c r="CE194" s="139"/>
      <c r="CF194" s="43"/>
      <c r="CG194" s="43"/>
      <c r="CH194" s="139"/>
      <c r="CI194" s="43"/>
      <c r="CJ194" s="43"/>
      <c r="CK194" s="139"/>
    </row>
    <row r="195" ht="15.75" customHeight="1">
      <c r="A195" s="43"/>
      <c r="B195" s="43"/>
      <c r="C195" s="15"/>
      <c r="D195" s="15"/>
      <c r="E195" s="146"/>
      <c r="F195" s="139"/>
      <c r="G195" s="15"/>
      <c r="H195" s="43"/>
      <c r="I195" s="43"/>
      <c r="J195" s="43"/>
      <c r="K195" s="61"/>
      <c r="L195" s="139"/>
      <c r="M195" s="139"/>
      <c r="N195" s="145"/>
      <c r="O195" s="43"/>
      <c r="P195" s="145"/>
      <c r="Q195" s="43"/>
      <c r="R195" s="88"/>
      <c r="S195" s="40"/>
      <c r="T195" s="260"/>
      <c r="U195" s="40"/>
      <c r="V195" s="40"/>
      <c r="W195" s="40"/>
      <c r="X195" s="40"/>
      <c r="Y195" s="40"/>
      <c r="Z195" s="40"/>
      <c r="AA195" s="40"/>
      <c r="AB195" s="40"/>
      <c r="AC195" s="139"/>
      <c r="AD195" s="139"/>
      <c r="AE195" s="40"/>
      <c r="AF195" s="40"/>
      <c r="AG195" s="139"/>
      <c r="AH195" s="139"/>
      <c r="AI195" s="139"/>
      <c r="AJ195" s="43"/>
      <c r="AK195" s="43"/>
      <c r="AL195" s="139"/>
      <c r="AM195" s="43"/>
      <c r="AN195" s="43"/>
      <c r="AO195" s="139"/>
      <c r="AP195" s="43"/>
      <c r="AQ195" s="43"/>
      <c r="AR195" s="139"/>
      <c r="AS195" s="43"/>
      <c r="AT195" s="43"/>
      <c r="AU195" s="139"/>
      <c r="AV195" s="43"/>
      <c r="AW195" s="43"/>
      <c r="AX195" s="139"/>
      <c r="AY195" s="139"/>
      <c r="AZ195" s="43"/>
      <c r="BA195" s="139"/>
      <c r="BB195" s="139"/>
      <c r="BC195" s="139"/>
      <c r="BD195" s="139"/>
      <c r="BE195" s="139"/>
      <c r="BF195" s="43"/>
      <c r="BG195" s="139"/>
      <c r="BH195" s="139"/>
      <c r="BI195" s="43"/>
      <c r="BJ195" s="139"/>
      <c r="BK195" s="43"/>
      <c r="BL195" s="139"/>
      <c r="BM195" s="139"/>
      <c r="BN195" s="43"/>
      <c r="BO195" s="139"/>
      <c r="BP195" s="139"/>
      <c r="BQ195" s="43"/>
      <c r="BR195" s="43"/>
      <c r="BS195" s="139"/>
      <c r="BT195" s="43"/>
      <c r="BU195" s="43"/>
      <c r="BV195" s="139"/>
      <c r="BW195" s="43"/>
      <c r="BX195" s="43"/>
      <c r="BY195" s="139"/>
      <c r="BZ195" s="43"/>
      <c r="CA195" s="43"/>
      <c r="CB195" s="139"/>
      <c r="CC195" s="43"/>
      <c r="CD195" s="43"/>
      <c r="CE195" s="139"/>
      <c r="CF195" s="43"/>
      <c r="CG195" s="43"/>
      <c r="CH195" s="139"/>
      <c r="CI195" s="43"/>
      <c r="CJ195" s="43"/>
      <c r="CK195" s="139"/>
    </row>
    <row r="196" ht="15.75" customHeight="1">
      <c r="A196" s="43"/>
      <c r="B196" s="43"/>
      <c r="C196" s="15"/>
      <c r="D196" s="15"/>
      <c r="E196" s="146"/>
      <c r="F196" s="139"/>
      <c r="G196" s="15"/>
      <c r="H196" s="43"/>
      <c r="I196" s="43"/>
      <c r="J196" s="43"/>
      <c r="K196" s="61"/>
      <c r="L196" s="139"/>
      <c r="M196" s="139"/>
      <c r="N196" s="145"/>
      <c r="O196" s="43"/>
      <c r="P196" s="145"/>
      <c r="Q196" s="43"/>
      <c r="R196" s="88"/>
      <c r="S196" s="40"/>
      <c r="T196" s="260"/>
      <c r="U196" s="40"/>
      <c r="V196" s="40"/>
      <c r="W196" s="40"/>
      <c r="X196" s="40"/>
      <c r="Y196" s="40"/>
      <c r="Z196" s="40"/>
      <c r="AA196" s="40"/>
      <c r="AB196" s="40"/>
      <c r="AC196" s="139"/>
      <c r="AD196" s="139"/>
      <c r="AE196" s="40"/>
      <c r="AF196" s="40"/>
      <c r="AG196" s="139"/>
      <c r="AH196" s="139"/>
      <c r="AI196" s="139"/>
      <c r="AJ196" s="43"/>
      <c r="AK196" s="43"/>
      <c r="AL196" s="139"/>
      <c r="AM196" s="43"/>
      <c r="AN196" s="43"/>
      <c r="AO196" s="139"/>
      <c r="AP196" s="43"/>
      <c r="AQ196" s="43"/>
      <c r="AR196" s="139"/>
      <c r="AS196" s="43"/>
      <c r="AT196" s="43"/>
      <c r="AU196" s="139"/>
      <c r="AV196" s="43"/>
      <c r="AW196" s="43"/>
      <c r="AX196" s="139"/>
      <c r="AY196" s="139"/>
      <c r="AZ196" s="43"/>
      <c r="BA196" s="139"/>
      <c r="BB196" s="139"/>
      <c r="BC196" s="139"/>
      <c r="BD196" s="139"/>
      <c r="BE196" s="139"/>
      <c r="BF196" s="43"/>
      <c r="BG196" s="139"/>
      <c r="BH196" s="139"/>
      <c r="BI196" s="43"/>
      <c r="BJ196" s="139"/>
      <c r="BK196" s="43"/>
      <c r="BL196" s="139"/>
      <c r="BM196" s="139"/>
      <c r="BN196" s="43"/>
      <c r="BO196" s="139"/>
      <c r="BP196" s="139"/>
      <c r="BQ196" s="43"/>
      <c r="BR196" s="43"/>
      <c r="BS196" s="139"/>
      <c r="BT196" s="43"/>
      <c r="BU196" s="43"/>
      <c r="BV196" s="139"/>
      <c r="BW196" s="43"/>
      <c r="BX196" s="43"/>
      <c r="BY196" s="139"/>
      <c r="BZ196" s="43"/>
      <c r="CA196" s="43"/>
      <c r="CB196" s="139"/>
      <c r="CC196" s="43"/>
      <c r="CD196" s="43"/>
      <c r="CE196" s="139"/>
      <c r="CF196" s="43"/>
      <c r="CG196" s="43"/>
      <c r="CH196" s="139"/>
      <c r="CI196" s="43"/>
      <c r="CJ196" s="43"/>
      <c r="CK196" s="139"/>
    </row>
    <row r="197" ht="15.75" customHeight="1">
      <c r="A197" s="43"/>
      <c r="B197" s="43"/>
      <c r="C197" s="15"/>
      <c r="D197" s="15"/>
      <c r="E197" s="146"/>
      <c r="F197" s="139"/>
      <c r="G197" s="15"/>
      <c r="H197" s="43"/>
      <c r="I197" s="43"/>
      <c r="J197" s="43"/>
      <c r="K197" s="61"/>
      <c r="L197" s="139"/>
      <c r="M197" s="139"/>
      <c r="N197" s="145"/>
      <c r="O197" s="43"/>
      <c r="P197" s="145"/>
      <c r="Q197" s="43"/>
      <c r="R197" s="88"/>
      <c r="S197" s="40"/>
      <c r="T197" s="260"/>
      <c r="U197" s="40"/>
      <c r="V197" s="40"/>
      <c r="W197" s="40"/>
      <c r="X197" s="40"/>
      <c r="Y197" s="40"/>
      <c r="Z197" s="40"/>
      <c r="AA197" s="40"/>
      <c r="AB197" s="40"/>
      <c r="AC197" s="139"/>
      <c r="AD197" s="139"/>
      <c r="AE197" s="40"/>
      <c r="AF197" s="40"/>
      <c r="AG197" s="139"/>
      <c r="AH197" s="139"/>
      <c r="AI197" s="139"/>
      <c r="AJ197" s="43"/>
      <c r="AK197" s="43"/>
      <c r="AL197" s="139"/>
      <c r="AM197" s="43"/>
      <c r="AN197" s="43"/>
      <c r="AO197" s="139"/>
      <c r="AP197" s="43"/>
      <c r="AQ197" s="43"/>
      <c r="AR197" s="139"/>
      <c r="AS197" s="43"/>
      <c r="AT197" s="43"/>
      <c r="AU197" s="139"/>
      <c r="AV197" s="43"/>
      <c r="AW197" s="43"/>
      <c r="AX197" s="139"/>
      <c r="AY197" s="139"/>
      <c r="AZ197" s="43"/>
      <c r="BA197" s="139"/>
      <c r="BB197" s="139"/>
      <c r="BC197" s="139"/>
      <c r="BD197" s="139"/>
      <c r="BE197" s="139"/>
      <c r="BF197" s="43"/>
      <c r="BG197" s="139"/>
      <c r="BH197" s="139"/>
      <c r="BI197" s="43"/>
      <c r="BJ197" s="139"/>
      <c r="BK197" s="43"/>
      <c r="BL197" s="139"/>
      <c r="BM197" s="139"/>
      <c r="BN197" s="43"/>
      <c r="BO197" s="139"/>
      <c r="BP197" s="139"/>
      <c r="BQ197" s="43"/>
      <c r="BR197" s="43"/>
      <c r="BS197" s="139"/>
      <c r="BT197" s="43"/>
      <c r="BU197" s="43"/>
      <c r="BV197" s="139"/>
      <c r="BW197" s="43"/>
      <c r="BX197" s="43"/>
      <c r="BY197" s="139"/>
      <c r="BZ197" s="43"/>
      <c r="CA197" s="43"/>
      <c r="CB197" s="139"/>
      <c r="CC197" s="43"/>
      <c r="CD197" s="43"/>
      <c r="CE197" s="139"/>
      <c r="CF197" s="43"/>
      <c r="CG197" s="43"/>
      <c r="CH197" s="139"/>
      <c r="CI197" s="43"/>
      <c r="CJ197" s="43"/>
      <c r="CK197" s="139"/>
    </row>
    <row r="198" ht="15.75" customHeight="1">
      <c r="A198" s="43"/>
      <c r="B198" s="43"/>
      <c r="C198" s="15"/>
      <c r="D198" s="15"/>
      <c r="E198" s="146"/>
      <c r="F198" s="139"/>
      <c r="G198" s="15"/>
      <c r="H198" s="43"/>
      <c r="I198" s="43"/>
      <c r="J198" s="43"/>
      <c r="K198" s="61"/>
      <c r="L198" s="139"/>
      <c r="M198" s="139"/>
      <c r="N198" s="145"/>
      <c r="O198" s="43"/>
      <c r="P198" s="145"/>
      <c r="Q198" s="43"/>
      <c r="R198" s="88"/>
      <c r="S198" s="40"/>
      <c r="T198" s="260"/>
      <c r="U198" s="40"/>
      <c r="V198" s="40"/>
      <c r="W198" s="40"/>
      <c r="X198" s="40"/>
      <c r="Y198" s="40"/>
      <c r="Z198" s="40"/>
      <c r="AA198" s="40"/>
      <c r="AB198" s="40"/>
      <c r="AC198" s="139"/>
      <c r="AD198" s="139"/>
      <c r="AE198" s="40"/>
      <c r="AF198" s="40"/>
      <c r="AG198" s="139"/>
      <c r="AH198" s="139"/>
      <c r="AI198" s="139"/>
      <c r="AJ198" s="43"/>
      <c r="AK198" s="43"/>
      <c r="AL198" s="139"/>
      <c r="AM198" s="43"/>
      <c r="AN198" s="43"/>
      <c r="AO198" s="139"/>
      <c r="AP198" s="43"/>
      <c r="AQ198" s="43"/>
      <c r="AR198" s="139"/>
      <c r="AS198" s="43"/>
      <c r="AT198" s="43"/>
      <c r="AU198" s="139"/>
      <c r="AV198" s="43"/>
      <c r="AW198" s="43"/>
      <c r="AX198" s="139"/>
      <c r="AY198" s="139"/>
      <c r="AZ198" s="43"/>
      <c r="BA198" s="139"/>
      <c r="BB198" s="139"/>
      <c r="BC198" s="139"/>
      <c r="BD198" s="139"/>
      <c r="BE198" s="139"/>
      <c r="BF198" s="43"/>
      <c r="BG198" s="139"/>
      <c r="BH198" s="139"/>
      <c r="BI198" s="43"/>
      <c r="BJ198" s="139"/>
      <c r="BK198" s="43"/>
      <c r="BL198" s="139"/>
      <c r="BM198" s="139"/>
      <c r="BN198" s="43"/>
      <c r="BO198" s="139"/>
      <c r="BP198" s="139"/>
      <c r="BQ198" s="43"/>
      <c r="BR198" s="43"/>
      <c r="BS198" s="139"/>
      <c r="BT198" s="43"/>
      <c r="BU198" s="43"/>
      <c r="BV198" s="139"/>
      <c r="BW198" s="43"/>
      <c r="BX198" s="43"/>
      <c r="BY198" s="139"/>
      <c r="BZ198" s="43"/>
      <c r="CA198" s="43"/>
      <c r="CB198" s="139"/>
      <c r="CC198" s="43"/>
      <c r="CD198" s="43"/>
      <c r="CE198" s="139"/>
      <c r="CF198" s="43"/>
      <c r="CG198" s="43"/>
      <c r="CH198" s="139"/>
      <c r="CI198" s="43"/>
      <c r="CJ198" s="43"/>
      <c r="CK198" s="139"/>
    </row>
    <row r="199" ht="15.75" customHeight="1">
      <c r="A199" s="43"/>
      <c r="B199" s="43"/>
      <c r="C199" s="15"/>
      <c r="D199" s="15"/>
      <c r="E199" s="146"/>
      <c r="F199" s="139"/>
      <c r="G199" s="15"/>
      <c r="H199" s="43"/>
      <c r="I199" s="43"/>
      <c r="J199" s="43"/>
      <c r="K199" s="61"/>
      <c r="L199" s="139"/>
      <c r="M199" s="139"/>
      <c r="N199" s="145"/>
      <c r="O199" s="43"/>
      <c r="P199" s="145"/>
      <c r="Q199" s="43"/>
      <c r="R199" s="88"/>
      <c r="S199" s="40"/>
      <c r="T199" s="260"/>
      <c r="U199" s="40"/>
      <c r="V199" s="40"/>
      <c r="W199" s="40"/>
      <c r="X199" s="40"/>
      <c r="Y199" s="40"/>
      <c r="Z199" s="40"/>
      <c r="AA199" s="40"/>
      <c r="AB199" s="40"/>
      <c r="AC199" s="139"/>
      <c r="AD199" s="139"/>
      <c r="AE199" s="40"/>
      <c r="AF199" s="40"/>
      <c r="AG199" s="139"/>
      <c r="AH199" s="139"/>
      <c r="AI199" s="139"/>
      <c r="AJ199" s="43"/>
      <c r="AK199" s="43"/>
      <c r="AL199" s="139"/>
      <c r="AM199" s="43"/>
      <c r="AN199" s="43"/>
      <c r="AO199" s="139"/>
      <c r="AP199" s="43"/>
      <c r="AQ199" s="43"/>
      <c r="AR199" s="139"/>
      <c r="AS199" s="43"/>
      <c r="AT199" s="43"/>
      <c r="AU199" s="139"/>
      <c r="AV199" s="43"/>
      <c r="AW199" s="43"/>
      <c r="AX199" s="139"/>
      <c r="AY199" s="139"/>
      <c r="AZ199" s="43"/>
      <c r="BA199" s="139"/>
      <c r="BB199" s="139"/>
      <c r="BC199" s="139"/>
      <c r="BD199" s="139"/>
      <c r="BE199" s="139"/>
      <c r="BF199" s="43"/>
      <c r="BG199" s="139"/>
      <c r="BH199" s="139"/>
      <c r="BI199" s="43"/>
      <c r="BJ199" s="139"/>
      <c r="BK199" s="43"/>
      <c r="BL199" s="139"/>
      <c r="BM199" s="139"/>
      <c r="BN199" s="43"/>
      <c r="BO199" s="139"/>
      <c r="BP199" s="139"/>
      <c r="BQ199" s="43"/>
      <c r="BR199" s="43"/>
      <c r="BS199" s="139"/>
      <c r="BT199" s="43"/>
      <c r="BU199" s="43"/>
      <c r="BV199" s="139"/>
      <c r="BW199" s="43"/>
      <c r="BX199" s="43"/>
      <c r="BY199" s="139"/>
      <c r="BZ199" s="43"/>
      <c r="CA199" s="43"/>
      <c r="CB199" s="139"/>
      <c r="CC199" s="43"/>
      <c r="CD199" s="43"/>
      <c r="CE199" s="139"/>
      <c r="CF199" s="43"/>
      <c r="CG199" s="43"/>
      <c r="CH199" s="139"/>
      <c r="CI199" s="43"/>
      <c r="CJ199" s="43"/>
      <c r="CK199" s="139"/>
    </row>
    <row r="200" ht="15.75" customHeight="1">
      <c r="A200" s="43"/>
      <c r="B200" s="43"/>
      <c r="C200" s="15"/>
      <c r="D200" s="15"/>
      <c r="E200" s="146"/>
      <c r="F200" s="139"/>
      <c r="G200" s="15"/>
      <c r="H200" s="43"/>
      <c r="I200" s="43"/>
      <c r="J200" s="43"/>
      <c r="K200" s="61"/>
      <c r="L200" s="139"/>
      <c r="M200" s="139"/>
      <c r="N200" s="145"/>
      <c r="O200" s="43"/>
      <c r="P200" s="145"/>
      <c r="Q200" s="43"/>
      <c r="R200" s="88"/>
      <c r="S200" s="40"/>
      <c r="T200" s="260"/>
      <c r="U200" s="40"/>
      <c r="V200" s="40"/>
      <c r="W200" s="40"/>
      <c r="X200" s="40"/>
      <c r="Y200" s="40"/>
      <c r="Z200" s="40"/>
      <c r="AA200" s="40"/>
      <c r="AB200" s="40"/>
      <c r="AC200" s="139"/>
      <c r="AD200" s="139"/>
      <c r="AE200" s="40"/>
      <c r="AF200" s="40"/>
      <c r="AG200" s="139"/>
      <c r="AH200" s="139"/>
      <c r="AI200" s="139"/>
      <c r="AJ200" s="43"/>
      <c r="AK200" s="43"/>
      <c r="AL200" s="139"/>
      <c r="AM200" s="43"/>
      <c r="AN200" s="43"/>
      <c r="AO200" s="139"/>
      <c r="AP200" s="43"/>
      <c r="AQ200" s="43"/>
      <c r="AR200" s="139"/>
      <c r="AS200" s="43"/>
      <c r="AT200" s="43"/>
      <c r="AU200" s="139"/>
      <c r="AV200" s="43"/>
      <c r="AW200" s="43"/>
      <c r="AX200" s="139"/>
      <c r="AY200" s="139"/>
      <c r="AZ200" s="43"/>
      <c r="BA200" s="139"/>
      <c r="BB200" s="139"/>
      <c r="BC200" s="139"/>
      <c r="BD200" s="139"/>
      <c r="BE200" s="139"/>
      <c r="BF200" s="43"/>
      <c r="BG200" s="139"/>
      <c r="BH200" s="139"/>
      <c r="BI200" s="43"/>
      <c r="BJ200" s="139"/>
      <c r="BK200" s="43"/>
      <c r="BL200" s="139"/>
      <c r="BM200" s="139"/>
      <c r="BN200" s="43"/>
      <c r="BO200" s="139"/>
      <c r="BP200" s="139"/>
      <c r="BQ200" s="43"/>
      <c r="BR200" s="43"/>
      <c r="BS200" s="139"/>
      <c r="BT200" s="43"/>
      <c r="BU200" s="43"/>
      <c r="BV200" s="139"/>
      <c r="BW200" s="43"/>
      <c r="BX200" s="43"/>
      <c r="BY200" s="139"/>
      <c r="BZ200" s="43"/>
      <c r="CA200" s="43"/>
      <c r="CB200" s="139"/>
      <c r="CC200" s="43"/>
      <c r="CD200" s="43"/>
      <c r="CE200" s="139"/>
      <c r="CF200" s="43"/>
      <c r="CG200" s="43"/>
      <c r="CH200" s="139"/>
      <c r="CI200" s="43"/>
      <c r="CJ200" s="43"/>
      <c r="CK200" s="139"/>
    </row>
    <row r="201" ht="15.75" customHeight="1">
      <c r="A201" s="43"/>
      <c r="B201" s="43"/>
      <c r="C201" s="15"/>
      <c r="D201" s="15"/>
      <c r="E201" s="146"/>
      <c r="F201" s="139"/>
      <c r="G201" s="15"/>
      <c r="H201" s="43"/>
      <c r="I201" s="43"/>
      <c r="J201" s="43"/>
      <c r="K201" s="61"/>
      <c r="L201" s="139"/>
      <c r="M201" s="139"/>
      <c r="N201" s="145"/>
      <c r="O201" s="43"/>
      <c r="P201" s="145"/>
      <c r="Q201" s="43"/>
      <c r="R201" s="88"/>
      <c r="S201" s="40"/>
      <c r="T201" s="260"/>
      <c r="U201" s="40"/>
      <c r="V201" s="40"/>
      <c r="W201" s="40"/>
      <c r="X201" s="40"/>
      <c r="Y201" s="40"/>
      <c r="Z201" s="40"/>
      <c r="AA201" s="40"/>
      <c r="AB201" s="40"/>
      <c r="AC201" s="139"/>
      <c r="AD201" s="139"/>
      <c r="AE201" s="40"/>
      <c r="AF201" s="40"/>
      <c r="AG201" s="139"/>
      <c r="AH201" s="139"/>
      <c r="AI201" s="139"/>
      <c r="AJ201" s="43"/>
      <c r="AK201" s="43"/>
      <c r="AL201" s="139"/>
      <c r="AM201" s="43"/>
      <c r="AN201" s="43"/>
      <c r="AO201" s="139"/>
      <c r="AP201" s="43"/>
      <c r="AQ201" s="43"/>
      <c r="AR201" s="139"/>
      <c r="AS201" s="43"/>
      <c r="AT201" s="43"/>
      <c r="AU201" s="139"/>
      <c r="AV201" s="43"/>
      <c r="AW201" s="43"/>
      <c r="AX201" s="139"/>
      <c r="AY201" s="139"/>
      <c r="AZ201" s="43"/>
      <c r="BA201" s="139"/>
      <c r="BB201" s="139"/>
      <c r="BC201" s="139"/>
      <c r="BD201" s="139"/>
      <c r="BE201" s="139"/>
      <c r="BF201" s="43"/>
      <c r="BG201" s="139"/>
      <c r="BH201" s="139"/>
      <c r="BI201" s="43"/>
      <c r="BJ201" s="139"/>
      <c r="BK201" s="43"/>
      <c r="BL201" s="139"/>
      <c r="BM201" s="139"/>
      <c r="BN201" s="43"/>
      <c r="BO201" s="139"/>
      <c r="BP201" s="139"/>
      <c r="BQ201" s="43"/>
      <c r="BR201" s="43"/>
      <c r="BS201" s="139"/>
      <c r="BT201" s="43"/>
      <c r="BU201" s="43"/>
      <c r="BV201" s="139"/>
      <c r="BW201" s="43"/>
      <c r="BX201" s="43"/>
      <c r="BY201" s="139"/>
      <c r="BZ201" s="43"/>
      <c r="CA201" s="43"/>
      <c r="CB201" s="139"/>
      <c r="CC201" s="43"/>
      <c r="CD201" s="43"/>
      <c r="CE201" s="139"/>
      <c r="CF201" s="43"/>
      <c r="CG201" s="43"/>
      <c r="CH201" s="139"/>
      <c r="CI201" s="43"/>
      <c r="CJ201" s="43"/>
      <c r="CK201" s="139"/>
    </row>
    <row r="202" ht="15.75" customHeight="1">
      <c r="A202" s="43"/>
      <c r="B202" s="43"/>
      <c r="C202" s="15"/>
      <c r="D202" s="15"/>
      <c r="E202" s="146"/>
      <c r="F202" s="139"/>
      <c r="G202" s="15"/>
      <c r="H202" s="43"/>
      <c r="I202" s="43"/>
      <c r="J202" s="43"/>
      <c r="K202" s="61"/>
      <c r="L202" s="139"/>
      <c r="M202" s="139"/>
      <c r="N202" s="145"/>
      <c r="O202" s="43"/>
      <c r="P202" s="145"/>
      <c r="Q202" s="43"/>
      <c r="R202" s="88"/>
      <c r="S202" s="40"/>
      <c r="T202" s="260"/>
      <c r="U202" s="40"/>
      <c r="V202" s="40"/>
      <c r="W202" s="40"/>
      <c r="X202" s="40"/>
      <c r="Y202" s="40"/>
      <c r="Z202" s="40"/>
      <c r="AA202" s="40"/>
      <c r="AB202" s="40"/>
      <c r="AC202" s="139"/>
      <c r="AD202" s="139"/>
      <c r="AE202" s="40"/>
      <c r="AF202" s="40"/>
      <c r="AG202" s="139"/>
      <c r="AH202" s="139"/>
      <c r="AI202" s="139"/>
      <c r="AJ202" s="43"/>
      <c r="AK202" s="43"/>
      <c r="AL202" s="139"/>
      <c r="AM202" s="43"/>
      <c r="AN202" s="43"/>
      <c r="AO202" s="139"/>
      <c r="AP202" s="43"/>
      <c r="AQ202" s="43"/>
      <c r="AR202" s="139"/>
      <c r="AS202" s="43"/>
      <c r="AT202" s="43"/>
      <c r="AU202" s="139"/>
      <c r="AV202" s="43"/>
      <c r="AW202" s="43"/>
      <c r="AX202" s="139"/>
      <c r="AY202" s="139"/>
      <c r="AZ202" s="43"/>
      <c r="BA202" s="139"/>
      <c r="BB202" s="139"/>
      <c r="BC202" s="139"/>
      <c r="BD202" s="139"/>
      <c r="BE202" s="139"/>
      <c r="BF202" s="43"/>
      <c r="BG202" s="139"/>
      <c r="BH202" s="139"/>
      <c r="BI202" s="43"/>
      <c r="BJ202" s="139"/>
      <c r="BK202" s="43"/>
      <c r="BL202" s="139"/>
      <c r="BM202" s="139"/>
      <c r="BN202" s="43"/>
      <c r="BO202" s="139"/>
      <c r="BP202" s="139"/>
      <c r="BQ202" s="43"/>
      <c r="BR202" s="43"/>
      <c r="BS202" s="139"/>
      <c r="BT202" s="43"/>
      <c r="BU202" s="43"/>
      <c r="BV202" s="139"/>
      <c r="BW202" s="43"/>
      <c r="BX202" s="43"/>
      <c r="BY202" s="139"/>
      <c r="BZ202" s="43"/>
      <c r="CA202" s="43"/>
      <c r="CB202" s="139"/>
      <c r="CC202" s="43"/>
      <c r="CD202" s="43"/>
      <c r="CE202" s="139"/>
      <c r="CF202" s="43"/>
      <c r="CG202" s="43"/>
      <c r="CH202" s="139"/>
      <c r="CI202" s="43"/>
      <c r="CJ202" s="43"/>
      <c r="CK202" s="139"/>
    </row>
    <row r="203" ht="15.75" customHeight="1">
      <c r="A203" s="43"/>
      <c r="B203" s="43"/>
      <c r="C203" s="15"/>
      <c r="D203" s="15"/>
      <c r="E203" s="146"/>
      <c r="F203" s="139"/>
      <c r="G203" s="15"/>
      <c r="H203" s="43"/>
      <c r="I203" s="43"/>
      <c r="J203" s="43"/>
      <c r="K203" s="61"/>
      <c r="L203" s="139"/>
      <c r="M203" s="139"/>
      <c r="N203" s="145"/>
      <c r="O203" s="43"/>
      <c r="P203" s="145"/>
      <c r="Q203" s="43"/>
      <c r="R203" s="88"/>
      <c r="S203" s="40"/>
      <c r="T203" s="260"/>
      <c r="U203" s="40"/>
      <c r="V203" s="40"/>
      <c r="W203" s="40"/>
      <c r="X203" s="40"/>
      <c r="Y203" s="40"/>
      <c r="Z203" s="40"/>
      <c r="AA203" s="40"/>
      <c r="AB203" s="40"/>
      <c r="AC203" s="139"/>
      <c r="AD203" s="139"/>
      <c r="AE203" s="40"/>
      <c r="AF203" s="40"/>
      <c r="AG203" s="139"/>
      <c r="AH203" s="139"/>
      <c r="AI203" s="139"/>
      <c r="AJ203" s="43"/>
      <c r="AK203" s="43"/>
      <c r="AL203" s="139"/>
      <c r="AM203" s="43"/>
      <c r="AN203" s="43"/>
      <c r="AO203" s="139"/>
      <c r="AP203" s="43"/>
      <c r="AQ203" s="43"/>
      <c r="AR203" s="139"/>
      <c r="AS203" s="43"/>
      <c r="AT203" s="43"/>
      <c r="AU203" s="139"/>
      <c r="AV203" s="43"/>
      <c r="AW203" s="43"/>
      <c r="AX203" s="139"/>
      <c r="AY203" s="139"/>
      <c r="AZ203" s="43"/>
      <c r="BA203" s="139"/>
      <c r="BB203" s="139"/>
      <c r="BC203" s="139"/>
      <c r="BD203" s="139"/>
      <c r="BE203" s="139"/>
      <c r="BF203" s="43"/>
      <c r="BG203" s="139"/>
      <c r="BH203" s="139"/>
      <c r="BI203" s="43"/>
      <c r="BJ203" s="139"/>
      <c r="BK203" s="43"/>
      <c r="BL203" s="139"/>
      <c r="BM203" s="139"/>
      <c r="BN203" s="43"/>
      <c r="BO203" s="139"/>
      <c r="BP203" s="139"/>
      <c r="BQ203" s="43"/>
      <c r="BR203" s="43"/>
      <c r="BS203" s="139"/>
      <c r="BT203" s="43"/>
      <c r="BU203" s="43"/>
      <c r="BV203" s="139"/>
      <c r="BW203" s="43"/>
      <c r="BX203" s="43"/>
      <c r="BY203" s="139"/>
      <c r="BZ203" s="43"/>
      <c r="CA203" s="43"/>
      <c r="CB203" s="139"/>
      <c r="CC203" s="43"/>
      <c r="CD203" s="43"/>
      <c r="CE203" s="139"/>
      <c r="CF203" s="43"/>
      <c r="CG203" s="43"/>
      <c r="CH203" s="139"/>
      <c r="CI203" s="43"/>
      <c r="CJ203" s="43"/>
      <c r="CK203" s="139"/>
    </row>
    <row r="204" ht="15.75" customHeight="1">
      <c r="A204" s="43"/>
      <c r="B204" s="43"/>
      <c r="C204" s="15"/>
      <c r="D204" s="15"/>
      <c r="E204" s="146"/>
      <c r="F204" s="139"/>
      <c r="G204" s="15"/>
      <c r="H204" s="43"/>
      <c r="I204" s="43"/>
      <c r="J204" s="43"/>
      <c r="K204" s="61"/>
      <c r="L204" s="139"/>
      <c r="M204" s="139"/>
      <c r="N204" s="145"/>
      <c r="O204" s="43"/>
      <c r="P204" s="145"/>
      <c r="Q204" s="43"/>
      <c r="R204" s="88"/>
      <c r="S204" s="40"/>
      <c r="T204" s="260"/>
      <c r="U204" s="40"/>
      <c r="V204" s="40"/>
      <c r="W204" s="40"/>
      <c r="X204" s="40"/>
      <c r="Y204" s="40"/>
      <c r="Z204" s="40"/>
      <c r="AA204" s="40"/>
      <c r="AB204" s="40"/>
      <c r="AC204" s="139"/>
      <c r="AD204" s="139"/>
      <c r="AE204" s="40"/>
      <c r="AF204" s="40"/>
      <c r="AG204" s="139"/>
      <c r="AH204" s="139"/>
      <c r="AI204" s="139"/>
      <c r="AJ204" s="43"/>
      <c r="AK204" s="43"/>
      <c r="AL204" s="139"/>
      <c r="AM204" s="43"/>
      <c r="AN204" s="43"/>
      <c r="AO204" s="139"/>
      <c r="AP204" s="43"/>
      <c r="AQ204" s="43"/>
      <c r="AR204" s="139"/>
      <c r="AS204" s="43"/>
      <c r="AT204" s="43"/>
      <c r="AU204" s="139"/>
      <c r="AV204" s="43"/>
      <c r="AW204" s="43"/>
      <c r="AX204" s="139"/>
      <c r="AY204" s="139"/>
      <c r="AZ204" s="43"/>
      <c r="BA204" s="139"/>
      <c r="BB204" s="139"/>
      <c r="BC204" s="139"/>
      <c r="BD204" s="139"/>
      <c r="BE204" s="139"/>
      <c r="BF204" s="43"/>
      <c r="BG204" s="139"/>
      <c r="BH204" s="139"/>
      <c r="BI204" s="43"/>
      <c r="BJ204" s="139"/>
      <c r="BK204" s="43"/>
      <c r="BL204" s="139"/>
      <c r="BM204" s="139"/>
      <c r="BN204" s="43"/>
      <c r="BO204" s="139"/>
      <c r="BP204" s="139"/>
      <c r="BQ204" s="43"/>
      <c r="BR204" s="43"/>
      <c r="BS204" s="139"/>
      <c r="BT204" s="43"/>
      <c r="BU204" s="43"/>
      <c r="BV204" s="139"/>
      <c r="BW204" s="43"/>
      <c r="BX204" s="43"/>
      <c r="BY204" s="139"/>
      <c r="BZ204" s="43"/>
      <c r="CA204" s="43"/>
      <c r="CB204" s="139"/>
      <c r="CC204" s="43"/>
      <c r="CD204" s="43"/>
      <c r="CE204" s="139"/>
      <c r="CF204" s="43"/>
      <c r="CG204" s="43"/>
      <c r="CH204" s="139"/>
      <c r="CI204" s="43"/>
      <c r="CJ204" s="43"/>
      <c r="CK204" s="139"/>
    </row>
    <row r="205" ht="15.75" customHeight="1">
      <c r="A205" s="43"/>
      <c r="B205" s="43"/>
      <c r="C205" s="15"/>
      <c r="D205" s="15"/>
      <c r="E205" s="146"/>
      <c r="F205" s="139"/>
      <c r="G205" s="15"/>
      <c r="H205" s="43"/>
      <c r="I205" s="43"/>
      <c r="J205" s="43"/>
      <c r="K205" s="61"/>
      <c r="L205" s="139"/>
      <c r="M205" s="139"/>
      <c r="N205" s="145"/>
      <c r="O205" s="43"/>
      <c r="P205" s="145"/>
      <c r="Q205" s="43"/>
      <c r="R205" s="88"/>
      <c r="S205" s="40"/>
      <c r="T205" s="260"/>
      <c r="U205" s="40"/>
      <c r="V205" s="40"/>
      <c r="W205" s="40"/>
      <c r="X205" s="40"/>
      <c r="Y205" s="40"/>
      <c r="Z205" s="40"/>
      <c r="AA205" s="40"/>
      <c r="AB205" s="40"/>
      <c r="AC205" s="139"/>
      <c r="AD205" s="139"/>
      <c r="AE205" s="40"/>
      <c r="AF205" s="40"/>
      <c r="AG205" s="139"/>
      <c r="AH205" s="139"/>
      <c r="AI205" s="139"/>
      <c r="AJ205" s="43"/>
      <c r="AK205" s="43"/>
      <c r="AL205" s="139"/>
      <c r="AM205" s="43"/>
      <c r="AN205" s="43"/>
      <c r="AO205" s="139"/>
      <c r="AP205" s="43"/>
      <c r="AQ205" s="43"/>
      <c r="AR205" s="139"/>
      <c r="AS205" s="43"/>
      <c r="AT205" s="43"/>
      <c r="AU205" s="139"/>
      <c r="AV205" s="43"/>
      <c r="AW205" s="43"/>
      <c r="AX205" s="139"/>
      <c r="AY205" s="139"/>
      <c r="AZ205" s="43"/>
      <c r="BA205" s="139"/>
      <c r="BB205" s="139"/>
      <c r="BC205" s="139"/>
      <c r="BD205" s="139"/>
      <c r="BE205" s="139"/>
      <c r="BF205" s="43"/>
      <c r="BG205" s="139"/>
      <c r="BH205" s="139"/>
      <c r="BI205" s="43"/>
      <c r="BJ205" s="139"/>
      <c r="BK205" s="43"/>
      <c r="BL205" s="139"/>
      <c r="BM205" s="139"/>
      <c r="BN205" s="43"/>
      <c r="BO205" s="139"/>
      <c r="BP205" s="139"/>
      <c r="BQ205" s="43"/>
      <c r="BR205" s="43"/>
      <c r="BS205" s="139"/>
      <c r="BT205" s="43"/>
      <c r="BU205" s="43"/>
      <c r="BV205" s="139"/>
      <c r="BW205" s="43"/>
      <c r="BX205" s="43"/>
      <c r="BY205" s="139"/>
      <c r="BZ205" s="43"/>
      <c r="CA205" s="43"/>
      <c r="CB205" s="139"/>
      <c r="CC205" s="43"/>
      <c r="CD205" s="43"/>
      <c r="CE205" s="139"/>
      <c r="CF205" s="43"/>
      <c r="CG205" s="43"/>
      <c r="CH205" s="139"/>
      <c r="CI205" s="43"/>
      <c r="CJ205" s="43"/>
      <c r="CK205" s="139"/>
    </row>
    <row r="206" ht="15.75" customHeight="1">
      <c r="A206" s="43"/>
      <c r="B206" s="43"/>
      <c r="C206" s="15"/>
      <c r="D206" s="15"/>
      <c r="E206" s="146"/>
      <c r="F206" s="139"/>
      <c r="G206" s="15"/>
      <c r="H206" s="43"/>
      <c r="I206" s="43"/>
      <c r="J206" s="43"/>
      <c r="K206" s="61"/>
      <c r="L206" s="139"/>
      <c r="M206" s="139"/>
      <c r="N206" s="145"/>
      <c r="O206" s="43"/>
      <c r="P206" s="145"/>
      <c r="Q206" s="43"/>
      <c r="R206" s="88"/>
      <c r="S206" s="40"/>
      <c r="T206" s="260"/>
      <c r="U206" s="40"/>
      <c r="V206" s="40"/>
      <c r="W206" s="40"/>
      <c r="X206" s="40"/>
      <c r="Y206" s="40"/>
      <c r="Z206" s="40"/>
      <c r="AA206" s="40"/>
      <c r="AB206" s="40"/>
      <c r="AC206" s="139"/>
      <c r="AD206" s="139"/>
      <c r="AE206" s="40"/>
      <c r="AF206" s="40"/>
      <c r="AG206" s="139"/>
      <c r="AH206" s="139"/>
      <c r="AI206" s="139"/>
      <c r="AJ206" s="43"/>
      <c r="AK206" s="43"/>
      <c r="AL206" s="139"/>
      <c r="AM206" s="43"/>
      <c r="AN206" s="43"/>
      <c r="AO206" s="139"/>
      <c r="AP206" s="43"/>
      <c r="AQ206" s="43"/>
      <c r="AR206" s="139"/>
      <c r="AS206" s="43"/>
      <c r="AT206" s="43"/>
      <c r="AU206" s="139"/>
      <c r="AV206" s="43"/>
      <c r="AW206" s="43"/>
      <c r="AX206" s="139"/>
      <c r="AY206" s="139"/>
      <c r="AZ206" s="43"/>
      <c r="BA206" s="139"/>
      <c r="BB206" s="139"/>
      <c r="BC206" s="139"/>
      <c r="BD206" s="139"/>
      <c r="BE206" s="139"/>
      <c r="BF206" s="43"/>
      <c r="BG206" s="139"/>
      <c r="BH206" s="139"/>
      <c r="BI206" s="43"/>
      <c r="BJ206" s="139"/>
      <c r="BK206" s="43"/>
      <c r="BL206" s="139"/>
      <c r="BM206" s="139"/>
      <c r="BN206" s="43"/>
      <c r="BO206" s="139"/>
      <c r="BP206" s="139"/>
      <c r="BQ206" s="43"/>
      <c r="BR206" s="43"/>
      <c r="BS206" s="139"/>
      <c r="BT206" s="43"/>
      <c r="BU206" s="43"/>
      <c r="BV206" s="139"/>
      <c r="BW206" s="43"/>
      <c r="BX206" s="43"/>
      <c r="BY206" s="139"/>
      <c r="BZ206" s="43"/>
      <c r="CA206" s="43"/>
      <c r="CB206" s="139"/>
      <c r="CC206" s="43"/>
      <c r="CD206" s="43"/>
      <c r="CE206" s="139"/>
      <c r="CF206" s="43"/>
      <c r="CG206" s="43"/>
      <c r="CH206" s="139"/>
      <c r="CI206" s="43"/>
      <c r="CJ206" s="43"/>
      <c r="CK206" s="139"/>
    </row>
    <row r="207" ht="15.75" customHeight="1">
      <c r="A207" s="43"/>
      <c r="B207" s="43"/>
      <c r="C207" s="15"/>
      <c r="D207" s="15"/>
      <c r="E207" s="146"/>
      <c r="F207" s="139"/>
      <c r="G207" s="15"/>
      <c r="H207" s="43"/>
      <c r="I207" s="43"/>
      <c r="J207" s="43"/>
      <c r="K207" s="61"/>
      <c r="L207" s="139"/>
      <c r="M207" s="139"/>
      <c r="N207" s="145"/>
      <c r="O207" s="43"/>
      <c r="P207" s="145"/>
      <c r="Q207" s="43"/>
      <c r="R207" s="88"/>
      <c r="S207" s="40"/>
      <c r="T207" s="260"/>
      <c r="U207" s="40"/>
      <c r="V207" s="40"/>
      <c r="W207" s="40"/>
      <c r="X207" s="40"/>
      <c r="Y207" s="40"/>
      <c r="Z207" s="40"/>
      <c r="AA207" s="40"/>
      <c r="AB207" s="40"/>
      <c r="AC207" s="139"/>
      <c r="AD207" s="139"/>
      <c r="AE207" s="40"/>
      <c r="AF207" s="40"/>
      <c r="AG207" s="139"/>
      <c r="AH207" s="139"/>
      <c r="AI207" s="139"/>
      <c r="AJ207" s="43"/>
      <c r="AK207" s="43"/>
      <c r="AL207" s="139"/>
      <c r="AM207" s="43"/>
      <c r="AN207" s="43"/>
      <c r="AO207" s="139"/>
      <c r="AP207" s="43"/>
      <c r="AQ207" s="43"/>
      <c r="AR207" s="139"/>
      <c r="AS207" s="43"/>
      <c r="AT207" s="43"/>
      <c r="AU207" s="139"/>
      <c r="AV207" s="43"/>
      <c r="AW207" s="43"/>
      <c r="AX207" s="139"/>
      <c r="AY207" s="139"/>
      <c r="AZ207" s="43"/>
      <c r="BA207" s="139"/>
      <c r="BB207" s="139"/>
      <c r="BC207" s="139"/>
      <c r="BD207" s="139"/>
      <c r="BE207" s="139"/>
      <c r="BF207" s="43"/>
      <c r="BG207" s="139"/>
      <c r="BH207" s="139"/>
      <c r="BI207" s="43"/>
      <c r="BJ207" s="139"/>
      <c r="BK207" s="43"/>
      <c r="BL207" s="139"/>
      <c r="BM207" s="139"/>
      <c r="BN207" s="43"/>
      <c r="BO207" s="139"/>
      <c r="BP207" s="139"/>
      <c r="BQ207" s="43"/>
      <c r="BR207" s="43"/>
      <c r="BS207" s="139"/>
      <c r="BT207" s="43"/>
      <c r="BU207" s="43"/>
      <c r="BV207" s="139"/>
      <c r="BW207" s="43"/>
      <c r="BX207" s="43"/>
      <c r="BY207" s="139"/>
      <c r="BZ207" s="43"/>
      <c r="CA207" s="43"/>
      <c r="CB207" s="139"/>
      <c r="CC207" s="43"/>
      <c r="CD207" s="43"/>
      <c r="CE207" s="139"/>
      <c r="CF207" s="43"/>
      <c r="CG207" s="43"/>
      <c r="CH207" s="139"/>
      <c r="CI207" s="43"/>
      <c r="CJ207" s="43"/>
      <c r="CK207" s="139"/>
    </row>
    <row r="208" ht="15.75" customHeight="1">
      <c r="A208" s="43"/>
      <c r="B208" s="43"/>
      <c r="C208" s="15"/>
      <c r="D208" s="15"/>
      <c r="E208" s="146"/>
      <c r="F208" s="139"/>
      <c r="G208" s="15"/>
      <c r="H208" s="43"/>
      <c r="I208" s="43"/>
      <c r="J208" s="43"/>
      <c r="K208" s="61"/>
      <c r="L208" s="139"/>
      <c r="M208" s="139"/>
      <c r="N208" s="145"/>
      <c r="O208" s="43"/>
      <c r="P208" s="145"/>
      <c r="Q208" s="43"/>
      <c r="R208" s="88"/>
      <c r="S208" s="40"/>
      <c r="T208" s="260"/>
      <c r="U208" s="40"/>
      <c r="V208" s="40"/>
      <c r="W208" s="40"/>
      <c r="X208" s="40"/>
      <c r="Y208" s="40"/>
      <c r="Z208" s="40"/>
      <c r="AA208" s="40"/>
      <c r="AB208" s="40"/>
      <c r="AC208" s="139"/>
      <c r="AD208" s="139"/>
      <c r="AE208" s="40"/>
      <c r="AF208" s="40"/>
      <c r="AG208" s="139"/>
      <c r="AH208" s="139"/>
      <c r="AI208" s="139"/>
      <c r="AJ208" s="43"/>
      <c r="AK208" s="43"/>
      <c r="AL208" s="139"/>
      <c r="AM208" s="43"/>
      <c r="AN208" s="43"/>
      <c r="AO208" s="139"/>
      <c r="AP208" s="43"/>
      <c r="AQ208" s="43"/>
      <c r="AR208" s="139"/>
      <c r="AS208" s="43"/>
      <c r="AT208" s="43"/>
      <c r="AU208" s="139"/>
      <c r="AV208" s="43"/>
      <c r="AW208" s="43"/>
      <c r="AX208" s="139"/>
      <c r="AY208" s="139"/>
      <c r="AZ208" s="43"/>
      <c r="BA208" s="139"/>
      <c r="BB208" s="139"/>
      <c r="BC208" s="139"/>
      <c r="BD208" s="139"/>
      <c r="BE208" s="139"/>
      <c r="BF208" s="43"/>
      <c r="BG208" s="139"/>
      <c r="BH208" s="139"/>
      <c r="BI208" s="43"/>
      <c r="BJ208" s="139"/>
      <c r="BK208" s="43"/>
      <c r="BL208" s="139"/>
      <c r="BM208" s="139"/>
      <c r="BN208" s="43"/>
      <c r="BO208" s="139"/>
      <c r="BP208" s="139"/>
      <c r="BQ208" s="43"/>
      <c r="BR208" s="43"/>
      <c r="BS208" s="139"/>
      <c r="BT208" s="43"/>
      <c r="BU208" s="43"/>
      <c r="BV208" s="139"/>
      <c r="BW208" s="43"/>
      <c r="BX208" s="43"/>
      <c r="BY208" s="139"/>
      <c r="BZ208" s="43"/>
      <c r="CA208" s="43"/>
      <c r="CB208" s="139"/>
      <c r="CC208" s="43"/>
      <c r="CD208" s="43"/>
      <c r="CE208" s="139"/>
      <c r="CF208" s="43"/>
      <c r="CG208" s="43"/>
      <c r="CH208" s="139"/>
      <c r="CI208" s="43"/>
      <c r="CJ208" s="43"/>
      <c r="CK208" s="139"/>
    </row>
    <row r="209" ht="15.75" customHeight="1">
      <c r="A209" s="43"/>
      <c r="B209" s="43"/>
      <c r="C209" s="15"/>
      <c r="D209" s="15"/>
      <c r="E209" s="146"/>
      <c r="F209" s="139"/>
      <c r="G209" s="15"/>
      <c r="H209" s="43"/>
      <c r="I209" s="43"/>
      <c r="J209" s="43"/>
      <c r="K209" s="61"/>
      <c r="L209" s="139"/>
      <c r="M209" s="139"/>
      <c r="N209" s="145"/>
      <c r="O209" s="43"/>
      <c r="P209" s="145"/>
      <c r="Q209" s="43"/>
      <c r="R209" s="88"/>
      <c r="S209" s="40"/>
      <c r="T209" s="260"/>
      <c r="U209" s="40"/>
      <c r="V209" s="40"/>
      <c r="W209" s="40"/>
      <c r="X209" s="40"/>
      <c r="Y209" s="40"/>
      <c r="Z209" s="40"/>
      <c r="AA209" s="40"/>
      <c r="AB209" s="40"/>
      <c r="AC209" s="139"/>
      <c r="AD209" s="139"/>
      <c r="AE209" s="40"/>
      <c r="AF209" s="40"/>
      <c r="AG209" s="139"/>
      <c r="AH209" s="139"/>
      <c r="AI209" s="139"/>
      <c r="AJ209" s="43"/>
      <c r="AK209" s="43"/>
      <c r="AL209" s="139"/>
      <c r="AM209" s="43"/>
      <c r="AN209" s="43"/>
      <c r="AO209" s="139"/>
      <c r="AP209" s="43"/>
      <c r="AQ209" s="43"/>
      <c r="AR209" s="139"/>
      <c r="AS209" s="43"/>
      <c r="AT209" s="43"/>
      <c r="AU209" s="139"/>
      <c r="AV209" s="43"/>
      <c r="AW209" s="43"/>
      <c r="AX209" s="139"/>
      <c r="AY209" s="139"/>
      <c r="AZ209" s="43"/>
      <c r="BA209" s="139"/>
      <c r="BB209" s="139"/>
      <c r="BC209" s="139"/>
      <c r="BD209" s="139"/>
      <c r="BE209" s="139"/>
      <c r="BF209" s="43"/>
      <c r="BG209" s="139"/>
      <c r="BH209" s="139"/>
      <c r="BI209" s="43"/>
      <c r="BJ209" s="139"/>
      <c r="BK209" s="43"/>
      <c r="BL209" s="139"/>
      <c r="BM209" s="139"/>
      <c r="BN209" s="43"/>
      <c r="BO209" s="139"/>
      <c r="BP209" s="139"/>
      <c r="BQ209" s="43"/>
      <c r="BR209" s="43"/>
      <c r="BS209" s="139"/>
      <c r="BT209" s="43"/>
      <c r="BU209" s="43"/>
      <c r="BV209" s="139"/>
      <c r="BW209" s="43"/>
      <c r="BX209" s="43"/>
      <c r="BY209" s="139"/>
      <c r="BZ209" s="43"/>
      <c r="CA209" s="43"/>
      <c r="CB209" s="139"/>
      <c r="CC209" s="43"/>
      <c r="CD209" s="43"/>
      <c r="CE209" s="139"/>
      <c r="CF209" s="43"/>
      <c r="CG209" s="43"/>
      <c r="CH209" s="139"/>
      <c r="CI209" s="43"/>
      <c r="CJ209" s="43"/>
      <c r="CK209" s="139"/>
    </row>
    <row r="210" ht="15.75" customHeight="1">
      <c r="A210" s="43"/>
      <c r="B210" s="43"/>
      <c r="C210" s="15"/>
      <c r="D210" s="15"/>
      <c r="E210" s="146"/>
      <c r="F210" s="139"/>
      <c r="G210" s="15"/>
      <c r="H210" s="43"/>
      <c r="I210" s="43"/>
      <c r="J210" s="43"/>
      <c r="K210" s="61"/>
      <c r="L210" s="139"/>
      <c r="M210" s="139"/>
      <c r="N210" s="145"/>
      <c r="O210" s="43"/>
      <c r="P210" s="145"/>
      <c r="Q210" s="43"/>
      <c r="R210" s="88"/>
      <c r="S210" s="40"/>
      <c r="T210" s="260"/>
      <c r="U210" s="40"/>
      <c r="V210" s="40"/>
      <c r="W210" s="40"/>
      <c r="X210" s="40"/>
      <c r="Y210" s="40"/>
      <c r="Z210" s="40"/>
      <c r="AA210" s="40"/>
      <c r="AB210" s="40"/>
      <c r="AC210" s="139"/>
      <c r="AD210" s="139"/>
      <c r="AE210" s="40"/>
      <c r="AF210" s="40"/>
      <c r="AG210" s="139"/>
      <c r="AH210" s="139"/>
      <c r="AI210" s="139"/>
      <c r="AJ210" s="43"/>
      <c r="AK210" s="43"/>
      <c r="AL210" s="139"/>
      <c r="AM210" s="43"/>
      <c r="AN210" s="43"/>
      <c r="AO210" s="139"/>
      <c r="AP210" s="43"/>
      <c r="AQ210" s="43"/>
      <c r="AR210" s="139"/>
      <c r="AS210" s="43"/>
      <c r="AT210" s="43"/>
      <c r="AU210" s="139"/>
      <c r="AV210" s="43"/>
      <c r="AW210" s="43"/>
      <c r="AX210" s="139"/>
      <c r="AY210" s="139"/>
      <c r="AZ210" s="43"/>
      <c r="BA210" s="139"/>
      <c r="BB210" s="139"/>
      <c r="BC210" s="139"/>
      <c r="BD210" s="139"/>
      <c r="BE210" s="139"/>
      <c r="BF210" s="43"/>
      <c r="BG210" s="139"/>
      <c r="BH210" s="139"/>
      <c r="BI210" s="43"/>
      <c r="BJ210" s="139"/>
      <c r="BK210" s="43"/>
      <c r="BL210" s="139"/>
      <c r="BM210" s="139"/>
      <c r="BN210" s="43"/>
      <c r="BO210" s="139"/>
      <c r="BP210" s="139"/>
      <c r="BQ210" s="43"/>
      <c r="BR210" s="43"/>
      <c r="BS210" s="139"/>
      <c r="BT210" s="43"/>
      <c r="BU210" s="43"/>
      <c r="BV210" s="139"/>
      <c r="BW210" s="43"/>
      <c r="BX210" s="43"/>
      <c r="BY210" s="139"/>
      <c r="BZ210" s="43"/>
      <c r="CA210" s="43"/>
      <c r="CB210" s="139"/>
      <c r="CC210" s="43"/>
      <c r="CD210" s="43"/>
      <c r="CE210" s="139"/>
      <c r="CF210" s="43"/>
      <c r="CG210" s="43"/>
      <c r="CH210" s="139"/>
      <c r="CI210" s="43"/>
      <c r="CJ210" s="43"/>
      <c r="CK210" s="139"/>
    </row>
    <row r="211" ht="15.75" customHeight="1">
      <c r="A211" s="43"/>
      <c r="B211" s="43"/>
      <c r="C211" s="15"/>
      <c r="D211" s="15"/>
      <c r="E211" s="146"/>
      <c r="F211" s="139"/>
      <c r="G211" s="15"/>
      <c r="H211" s="43"/>
      <c r="I211" s="43"/>
      <c r="J211" s="43"/>
      <c r="K211" s="61"/>
      <c r="L211" s="139"/>
      <c r="M211" s="139"/>
      <c r="N211" s="145"/>
      <c r="O211" s="43"/>
      <c r="P211" s="145"/>
      <c r="Q211" s="43"/>
      <c r="R211" s="88"/>
      <c r="S211" s="40"/>
      <c r="T211" s="260"/>
      <c r="U211" s="40"/>
      <c r="V211" s="40"/>
      <c r="W211" s="40"/>
      <c r="X211" s="40"/>
      <c r="Y211" s="40"/>
      <c r="Z211" s="40"/>
      <c r="AA211" s="40"/>
      <c r="AB211" s="40"/>
      <c r="AC211" s="139"/>
      <c r="AD211" s="139"/>
      <c r="AE211" s="40"/>
      <c r="AF211" s="40"/>
      <c r="AG211" s="139"/>
      <c r="AH211" s="139"/>
      <c r="AI211" s="139"/>
      <c r="AJ211" s="43"/>
      <c r="AK211" s="43"/>
      <c r="AL211" s="139"/>
      <c r="AM211" s="43"/>
      <c r="AN211" s="43"/>
      <c r="AO211" s="139"/>
      <c r="AP211" s="43"/>
      <c r="AQ211" s="43"/>
      <c r="AR211" s="139"/>
      <c r="AS211" s="43"/>
      <c r="AT211" s="43"/>
      <c r="AU211" s="139"/>
      <c r="AV211" s="43"/>
      <c r="AW211" s="43"/>
      <c r="AX211" s="139"/>
      <c r="AY211" s="139"/>
      <c r="AZ211" s="43"/>
      <c r="BA211" s="139"/>
      <c r="BB211" s="139"/>
      <c r="BC211" s="139"/>
      <c r="BD211" s="139"/>
      <c r="BE211" s="139"/>
      <c r="BF211" s="43"/>
      <c r="BG211" s="139"/>
      <c r="BH211" s="139"/>
      <c r="BI211" s="43"/>
      <c r="BJ211" s="139"/>
      <c r="BK211" s="43"/>
      <c r="BL211" s="139"/>
      <c r="BM211" s="139"/>
      <c r="BN211" s="43"/>
      <c r="BO211" s="139"/>
      <c r="BP211" s="139"/>
      <c r="BQ211" s="43"/>
      <c r="BR211" s="43"/>
      <c r="BS211" s="139"/>
      <c r="BT211" s="43"/>
      <c r="BU211" s="43"/>
      <c r="BV211" s="139"/>
      <c r="BW211" s="43"/>
      <c r="BX211" s="43"/>
      <c r="BY211" s="139"/>
      <c r="BZ211" s="43"/>
      <c r="CA211" s="43"/>
      <c r="CB211" s="139"/>
      <c r="CC211" s="43"/>
      <c r="CD211" s="43"/>
      <c r="CE211" s="139"/>
      <c r="CF211" s="43"/>
      <c r="CG211" s="43"/>
      <c r="CH211" s="139"/>
      <c r="CI211" s="43"/>
      <c r="CJ211" s="43"/>
      <c r="CK211" s="139"/>
    </row>
    <row r="212" ht="15.75" customHeight="1">
      <c r="A212" s="43"/>
      <c r="B212" s="43"/>
      <c r="C212" s="15"/>
      <c r="D212" s="15"/>
      <c r="E212" s="146"/>
      <c r="F212" s="139"/>
      <c r="G212" s="15"/>
      <c r="H212" s="43"/>
      <c r="I212" s="43"/>
      <c r="J212" s="43"/>
      <c r="K212" s="61"/>
      <c r="L212" s="139"/>
      <c r="M212" s="139"/>
      <c r="N212" s="145"/>
      <c r="O212" s="43"/>
      <c r="P212" s="145"/>
      <c r="Q212" s="43"/>
      <c r="R212" s="88"/>
      <c r="S212" s="40"/>
      <c r="T212" s="260"/>
      <c r="U212" s="40"/>
      <c r="V212" s="40"/>
      <c r="W212" s="40"/>
      <c r="X212" s="40"/>
      <c r="Y212" s="40"/>
      <c r="Z212" s="40"/>
      <c r="AA212" s="40"/>
      <c r="AB212" s="40"/>
      <c r="AC212" s="139"/>
      <c r="AD212" s="139"/>
      <c r="AE212" s="40"/>
      <c r="AF212" s="40"/>
      <c r="AG212" s="139"/>
      <c r="AH212" s="139"/>
      <c r="AI212" s="139"/>
      <c r="AJ212" s="43"/>
      <c r="AK212" s="43"/>
      <c r="AL212" s="139"/>
      <c r="AM212" s="43"/>
      <c r="AN212" s="43"/>
      <c r="AO212" s="139"/>
      <c r="AP212" s="43"/>
      <c r="AQ212" s="43"/>
      <c r="AR212" s="139"/>
      <c r="AS212" s="43"/>
      <c r="AT212" s="43"/>
      <c r="AU212" s="139"/>
      <c r="AV212" s="43"/>
      <c r="AW212" s="43"/>
      <c r="AX212" s="139"/>
      <c r="AY212" s="139"/>
      <c r="AZ212" s="43"/>
      <c r="BA212" s="139"/>
      <c r="BB212" s="139"/>
      <c r="BC212" s="139"/>
      <c r="BD212" s="139"/>
      <c r="BE212" s="139"/>
      <c r="BF212" s="43"/>
      <c r="BG212" s="139"/>
      <c r="BH212" s="139"/>
      <c r="BI212" s="43"/>
      <c r="BJ212" s="139"/>
      <c r="BK212" s="43"/>
      <c r="BL212" s="139"/>
      <c r="BM212" s="139"/>
      <c r="BN212" s="43"/>
      <c r="BO212" s="139"/>
      <c r="BP212" s="139"/>
      <c r="BQ212" s="43"/>
      <c r="BR212" s="43"/>
      <c r="BS212" s="139"/>
      <c r="BT212" s="43"/>
      <c r="BU212" s="43"/>
      <c r="BV212" s="139"/>
      <c r="BW212" s="43"/>
      <c r="BX212" s="43"/>
      <c r="BY212" s="139"/>
      <c r="BZ212" s="43"/>
      <c r="CA212" s="43"/>
      <c r="CB212" s="139"/>
      <c r="CC212" s="43"/>
      <c r="CD212" s="43"/>
      <c r="CE212" s="139"/>
      <c r="CF212" s="43"/>
      <c r="CG212" s="43"/>
      <c r="CH212" s="139"/>
      <c r="CI212" s="43"/>
      <c r="CJ212" s="43"/>
      <c r="CK212" s="139"/>
    </row>
    <row r="213" ht="15.75" customHeight="1">
      <c r="A213" s="43"/>
      <c r="B213" s="43"/>
      <c r="C213" s="15"/>
      <c r="D213" s="15"/>
      <c r="E213" s="146"/>
      <c r="F213" s="139"/>
      <c r="G213" s="15"/>
      <c r="H213" s="43"/>
      <c r="I213" s="43"/>
      <c r="J213" s="43"/>
      <c r="K213" s="61"/>
      <c r="L213" s="139"/>
      <c r="M213" s="139"/>
      <c r="N213" s="145"/>
      <c r="O213" s="43"/>
      <c r="P213" s="145"/>
      <c r="Q213" s="43"/>
      <c r="R213" s="88"/>
      <c r="S213" s="40"/>
      <c r="T213" s="260"/>
      <c r="U213" s="40"/>
      <c r="V213" s="40"/>
      <c r="W213" s="40"/>
      <c r="X213" s="40"/>
      <c r="Y213" s="40"/>
      <c r="Z213" s="40"/>
      <c r="AA213" s="40"/>
      <c r="AB213" s="40"/>
      <c r="AC213" s="139"/>
      <c r="AD213" s="139"/>
      <c r="AE213" s="40"/>
      <c r="AF213" s="40"/>
      <c r="AG213" s="139"/>
      <c r="AH213" s="139"/>
      <c r="AI213" s="139"/>
      <c r="AJ213" s="43"/>
      <c r="AK213" s="43"/>
      <c r="AL213" s="139"/>
      <c r="AM213" s="43"/>
      <c r="AN213" s="43"/>
      <c r="AO213" s="139"/>
      <c r="AP213" s="43"/>
      <c r="AQ213" s="43"/>
      <c r="AR213" s="139"/>
      <c r="AS213" s="43"/>
      <c r="AT213" s="43"/>
      <c r="AU213" s="139"/>
      <c r="AV213" s="43"/>
      <c r="AW213" s="43"/>
      <c r="AX213" s="139"/>
      <c r="AY213" s="139"/>
      <c r="AZ213" s="43"/>
      <c r="BA213" s="139"/>
      <c r="BB213" s="139"/>
      <c r="BC213" s="139"/>
      <c r="BD213" s="139"/>
      <c r="BE213" s="139"/>
      <c r="BF213" s="43"/>
      <c r="BG213" s="139"/>
      <c r="BH213" s="139"/>
      <c r="BI213" s="43"/>
      <c r="BJ213" s="139"/>
      <c r="BK213" s="43"/>
      <c r="BL213" s="139"/>
      <c r="BM213" s="139"/>
      <c r="BN213" s="43"/>
      <c r="BO213" s="139"/>
      <c r="BP213" s="139"/>
      <c r="BQ213" s="43"/>
      <c r="BR213" s="43"/>
      <c r="BS213" s="139"/>
      <c r="BT213" s="43"/>
      <c r="BU213" s="43"/>
      <c r="BV213" s="139"/>
      <c r="BW213" s="43"/>
      <c r="BX213" s="43"/>
      <c r="BY213" s="139"/>
      <c r="BZ213" s="43"/>
      <c r="CA213" s="43"/>
      <c r="CB213" s="139"/>
      <c r="CC213" s="43"/>
      <c r="CD213" s="43"/>
      <c r="CE213" s="139"/>
      <c r="CF213" s="43"/>
      <c r="CG213" s="43"/>
      <c r="CH213" s="139"/>
      <c r="CI213" s="43"/>
      <c r="CJ213" s="43"/>
      <c r="CK213" s="139"/>
    </row>
    <row r="214" ht="15.75" customHeight="1">
      <c r="A214" s="43"/>
      <c r="B214" s="43"/>
      <c r="C214" s="15"/>
      <c r="D214" s="15"/>
      <c r="E214" s="146"/>
      <c r="F214" s="139"/>
      <c r="G214" s="15"/>
      <c r="H214" s="43"/>
      <c r="I214" s="43"/>
      <c r="J214" s="43"/>
      <c r="K214" s="61"/>
      <c r="L214" s="139"/>
      <c r="M214" s="139"/>
      <c r="N214" s="145"/>
      <c r="O214" s="43"/>
      <c r="P214" s="145"/>
      <c r="Q214" s="43"/>
      <c r="R214" s="88"/>
      <c r="S214" s="40"/>
      <c r="T214" s="260"/>
      <c r="U214" s="40"/>
      <c r="V214" s="40"/>
      <c r="W214" s="40"/>
      <c r="X214" s="40"/>
      <c r="Y214" s="40"/>
      <c r="Z214" s="40"/>
      <c r="AA214" s="40"/>
      <c r="AB214" s="40"/>
      <c r="AC214" s="139"/>
      <c r="AD214" s="139"/>
      <c r="AE214" s="40"/>
      <c r="AF214" s="40"/>
      <c r="AG214" s="139"/>
      <c r="AH214" s="139"/>
      <c r="AI214" s="139"/>
      <c r="AJ214" s="43"/>
      <c r="AK214" s="43"/>
      <c r="AL214" s="139"/>
      <c r="AM214" s="43"/>
      <c r="AN214" s="43"/>
      <c r="AO214" s="139"/>
      <c r="AP214" s="43"/>
      <c r="AQ214" s="43"/>
      <c r="AR214" s="139"/>
      <c r="AS214" s="43"/>
      <c r="AT214" s="43"/>
      <c r="AU214" s="139"/>
      <c r="AV214" s="43"/>
      <c r="AW214" s="43"/>
      <c r="AX214" s="139"/>
      <c r="AY214" s="139"/>
      <c r="AZ214" s="43"/>
      <c r="BA214" s="139"/>
      <c r="BB214" s="139"/>
      <c r="BC214" s="139"/>
      <c r="BD214" s="139"/>
      <c r="BE214" s="139"/>
      <c r="BF214" s="43"/>
      <c r="BG214" s="139"/>
      <c r="BH214" s="139"/>
      <c r="BI214" s="43"/>
      <c r="BJ214" s="139"/>
      <c r="BK214" s="43"/>
      <c r="BL214" s="139"/>
      <c r="BM214" s="139"/>
      <c r="BN214" s="43"/>
      <c r="BO214" s="139"/>
      <c r="BP214" s="139"/>
      <c r="BQ214" s="43"/>
      <c r="BR214" s="43"/>
      <c r="BS214" s="139"/>
      <c r="BT214" s="43"/>
      <c r="BU214" s="43"/>
      <c r="BV214" s="139"/>
      <c r="BW214" s="43"/>
      <c r="BX214" s="43"/>
      <c r="BY214" s="139"/>
      <c r="BZ214" s="43"/>
      <c r="CA214" s="43"/>
      <c r="CB214" s="139"/>
      <c r="CC214" s="43"/>
      <c r="CD214" s="43"/>
      <c r="CE214" s="139"/>
      <c r="CF214" s="43"/>
      <c r="CG214" s="43"/>
      <c r="CH214" s="139"/>
      <c r="CI214" s="43"/>
      <c r="CJ214" s="43"/>
      <c r="CK214" s="139"/>
    </row>
    <row r="215" ht="15.75" customHeight="1">
      <c r="A215" s="43"/>
      <c r="B215" s="43"/>
      <c r="C215" s="15"/>
      <c r="D215" s="15"/>
      <c r="E215" s="146"/>
      <c r="F215" s="139"/>
      <c r="G215" s="15"/>
      <c r="H215" s="43"/>
      <c r="I215" s="43"/>
      <c r="J215" s="43"/>
      <c r="K215" s="61"/>
      <c r="L215" s="139"/>
      <c r="M215" s="139"/>
      <c r="N215" s="145"/>
      <c r="O215" s="43"/>
      <c r="P215" s="145"/>
      <c r="Q215" s="43"/>
      <c r="R215" s="88"/>
      <c r="S215" s="40"/>
      <c r="T215" s="260"/>
      <c r="U215" s="40"/>
      <c r="V215" s="40"/>
      <c r="W215" s="40"/>
      <c r="X215" s="40"/>
      <c r="Y215" s="40"/>
      <c r="Z215" s="40"/>
      <c r="AA215" s="40"/>
      <c r="AB215" s="40"/>
      <c r="AC215" s="139"/>
      <c r="AD215" s="139"/>
      <c r="AE215" s="40"/>
      <c r="AF215" s="40"/>
      <c r="AG215" s="139"/>
      <c r="AH215" s="139"/>
      <c r="AI215" s="139"/>
      <c r="AJ215" s="43"/>
      <c r="AK215" s="43"/>
      <c r="AL215" s="139"/>
      <c r="AM215" s="43"/>
      <c r="AN215" s="43"/>
      <c r="AO215" s="139"/>
      <c r="AP215" s="43"/>
      <c r="AQ215" s="43"/>
      <c r="AR215" s="139"/>
      <c r="AS215" s="43"/>
      <c r="AT215" s="43"/>
      <c r="AU215" s="139"/>
      <c r="AV215" s="43"/>
      <c r="AW215" s="43"/>
      <c r="AX215" s="139"/>
      <c r="AY215" s="139"/>
      <c r="AZ215" s="43"/>
      <c r="BA215" s="139"/>
      <c r="BB215" s="139"/>
      <c r="BC215" s="139"/>
      <c r="BD215" s="139"/>
      <c r="BE215" s="139"/>
      <c r="BF215" s="43"/>
      <c r="BG215" s="139"/>
      <c r="BH215" s="139"/>
      <c r="BI215" s="43"/>
      <c r="BJ215" s="139"/>
      <c r="BK215" s="43"/>
      <c r="BL215" s="139"/>
      <c r="BM215" s="139"/>
      <c r="BN215" s="43"/>
      <c r="BO215" s="139"/>
      <c r="BP215" s="139"/>
      <c r="BQ215" s="43"/>
      <c r="BR215" s="43"/>
      <c r="BS215" s="139"/>
      <c r="BT215" s="43"/>
      <c r="BU215" s="43"/>
      <c r="BV215" s="139"/>
      <c r="BW215" s="43"/>
      <c r="BX215" s="43"/>
      <c r="BY215" s="139"/>
      <c r="BZ215" s="43"/>
      <c r="CA215" s="43"/>
      <c r="CB215" s="139"/>
      <c r="CC215" s="43"/>
      <c r="CD215" s="43"/>
      <c r="CE215" s="139"/>
      <c r="CF215" s="43"/>
      <c r="CG215" s="43"/>
      <c r="CH215" s="139"/>
      <c r="CI215" s="43"/>
      <c r="CJ215" s="43"/>
      <c r="CK215" s="139"/>
    </row>
    <row r="216" ht="15.75" customHeight="1">
      <c r="A216" s="43"/>
      <c r="B216" s="43"/>
      <c r="C216" s="15"/>
      <c r="D216" s="15"/>
      <c r="E216" s="146"/>
      <c r="F216" s="139"/>
      <c r="G216" s="15"/>
      <c r="H216" s="43"/>
      <c r="I216" s="43"/>
      <c r="J216" s="43"/>
      <c r="K216" s="61"/>
      <c r="L216" s="139"/>
      <c r="M216" s="139"/>
      <c r="N216" s="145"/>
      <c r="O216" s="43"/>
      <c r="P216" s="145"/>
      <c r="Q216" s="43"/>
      <c r="R216" s="88"/>
      <c r="S216" s="40"/>
      <c r="T216" s="260"/>
      <c r="U216" s="40"/>
      <c r="V216" s="40"/>
      <c r="W216" s="40"/>
      <c r="X216" s="40"/>
      <c r="Y216" s="40"/>
      <c r="Z216" s="40"/>
      <c r="AA216" s="40"/>
      <c r="AB216" s="40"/>
      <c r="AC216" s="139"/>
      <c r="AD216" s="139"/>
      <c r="AE216" s="40"/>
      <c r="AF216" s="40"/>
      <c r="AG216" s="139"/>
      <c r="AH216" s="139"/>
      <c r="AI216" s="139"/>
      <c r="AJ216" s="43"/>
      <c r="AK216" s="43"/>
      <c r="AL216" s="139"/>
      <c r="AM216" s="43"/>
      <c r="AN216" s="43"/>
      <c r="AO216" s="139"/>
      <c r="AP216" s="43"/>
      <c r="AQ216" s="43"/>
      <c r="AR216" s="139"/>
      <c r="AS216" s="43"/>
      <c r="AT216" s="43"/>
      <c r="AU216" s="139"/>
      <c r="AV216" s="43"/>
      <c r="AW216" s="43"/>
      <c r="AX216" s="139"/>
      <c r="AY216" s="139"/>
      <c r="AZ216" s="43"/>
      <c r="BA216" s="139"/>
      <c r="BB216" s="139"/>
      <c r="BC216" s="139"/>
      <c r="BD216" s="139"/>
      <c r="BE216" s="139"/>
      <c r="BF216" s="43"/>
      <c r="BG216" s="139"/>
      <c r="BH216" s="139"/>
      <c r="BI216" s="43"/>
      <c r="BJ216" s="139"/>
      <c r="BK216" s="43"/>
      <c r="BL216" s="139"/>
      <c r="BM216" s="139"/>
      <c r="BN216" s="43"/>
      <c r="BO216" s="139"/>
      <c r="BP216" s="139"/>
      <c r="BQ216" s="43"/>
      <c r="BR216" s="43"/>
      <c r="BS216" s="139"/>
      <c r="BT216" s="43"/>
      <c r="BU216" s="43"/>
      <c r="BV216" s="139"/>
      <c r="BW216" s="43"/>
      <c r="BX216" s="43"/>
      <c r="BY216" s="139"/>
      <c r="BZ216" s="43"/>
      <c r="CA216" s="43"/>
      <c r="CB216" s="139"/>
      <c r="CC216" s="43"/>
      <c r="CD216" s="43"/>
      <c r="CE216" s="139"/>
      <c r="CF216" s="43"/>
      <c r="CG216" s="43"/>
      <c r="CH216" s="139"/>
      <c r="CI216" s="43"/>
      <c r="CJ216" s="43"/>
      <c r="CK216" s="139"/>
    </row>
    <row r="217" ht="15.75" customHeight="1">
      <c r="A217" s="43"/>
      <c r="B217" s="43"/>
      <c r="C217" s="15"/>
      <c r="D217" s="15"/>
      <c r="E217" s="146"/>
      <c r="F217" s="139"/>
      <c r="G217" s="15"/>
      <c r="H217" s="43"/>
      <c r="I217" s="43"/>
      <c r="J217" s="43"/>
      <c r="K217" s="61"/>
      <c r="L217" s="139"/>
      <c r="M217" s="139"/>
      <c r="N217" s="145"/>
      <c r="O217" s="43"/>
      <c r="P217" s="145"/>
      <c r="Q217" s="43"/>
      <c r="R217" s="88"/>
      <c r="S217" s="40"/>
      <c r="T217" s="260"/>
      <c r="U217" s="40"/>
      <c r="V217" s="40"/>
      <c r="W217" s="40"/>
      <c r="X217" s="40"/>
      <c r="Y217" s="40"/>
      <c r="Z217" s="40"/>
      <c r="AA217" s="40"/>
      <c r="AB217" s="40"/>
      <c r="AC217" s="139"/>
      <c r="AD217" s="139"/>
      <c r="AE217" s="40"/>
      <c r="AF217" s="40"/>
      <c r="AG217" s="139"/>
      <c r="AH217" s="139"/>
      <c r="AI217" s="139"/>
      <c r="AJ217" s="43"/>
      <c r="AK217" s="43"/>
      <c r="AL217" s="139"/>
      <c r="AM217" s="43"/>
      <c r="AN217" s="43"/>
      <c r="AO217" s="139"/>
      <c r="AP217" s="43"/>
      <c r="AQ217" s="43"/>
      <c r="AR217" s="139"/>
      <c r="AS217" s="43"/>
      <c r="AT217" s="43"/>
      <c r="AU217" s="139"/>
      <c r="AV217" s="43"/>
      <c r="AW217" s="43"/>
      <c r="AX217" s="139"/>
      <c r="AY217" s="139"/>
      <c r="AZ217" s="43"/>
      <c r="BA217" s="139"/>
      <c r="BB217" s="139"/>
      <c r="BC217" s="139"/>
      <c r="BD217" s="139"/>
      <c r="BE217" s="139"/>
      <c r="BF217" s="43"/>
      <c r="BG217" s="139"/>
      <c r="BH217" s="139"/>
      <c r="BI217" s="43"/>
      <c r="BJ217" s="139"/>
      <c r="BK217" s="43"/>
      <c r="BL217" s="139"/>
      <c r="BM217" s="139"/>
      <c r="BN217" s="43"/>
      <c r="BO217" s="139"/>
      <c r="BP217" s="139"/>
      <c r="BQ217" s="43"/>
      <c r="BR217" s="43"/>
      <c r="BS217" s="139"/>
      <c r="BT217" s="43"/>
      <c r="BU217" s="43"/>
      <c r="BV217" s="139"/>
      <c r="BW217" s="43"/>
      <c r="BX217" s="43"/>
      <c r="BY217" s="139"/>
      <c r="BZ217" s="43"/>
      <c r="CA217" s="43"/>
      <c r="CB217" s="139"/>
      <c r="CC217" s="43"/>
      <c r="CD217" s="43"/>
      <c r="CE217" s="139"/>
      <c r="CF217" s="43"/>
      <c r="CG217" s="43"/>
      <c r="CH217" s="139"/>
      <c r="CI217" s="43"/>
      <c r="CJ217" s="43"/>
      <c r="CK217" s="139"/>
    </row>
    <row r="218" ht="15.75" customHeight="1">
      <c r="A218" s="43"/>
      <c r="B218" s="43"/>
      <c r="C218" s="15"/>
      <c r="D218" s="15"/>
      <c r="E218" s="146"/>
      <c r="F218" s="139"/>
      <c r="G218" s="15"/>
      <c r="H218" s="43"/>
      <c r="I218" s="43"/>
      <c r="J218" s="43"/>
      <c r="K218" s="61"/>
      <c r="L218" s="139"/>
      <c r="M218" s="139"/>
      <c r="N218" s="145"/>
      <c r="O218" s="43"/>
      <c r="P218" s="145"/>
      <c r="Q218" s="43"/>
      <c r="R218" s="88"/>
      <c r="S218" s="40"/>
      <c r="T218" s="260"/>
      <c r="U218" s="40"/>
      <c r="V218" s="40"/>
      <c r="W218" s="40"/>
      <c r="X218" s="40"/>
      <c r="Y218" s="40"/>
      <c r="Z218" s="40"/>
      <c r="AA218" s="40"/>
      <c r="AB218" s="40"/>
      <c r="AC218" s="139"/>
      <c r="AD218" s="139"/>
      <c r="AE218" s="40"/>
      <c r="AF218" s="40"/>
      <c r="AG218" s="139"/>
      <c r="AH218" s="139"/>
      <c r="AI218" s="139"/>
      <c r="AJ218" s="43"/>
      <c r="AK218" s="43"/>
      <c r="AL218" s="139"/>
      <c r="AM218" s="43"/>
      <c r="AN218" s="43"/>
      <c r="AO218" s="139"/>
      <c r="AP218" s="43"/>
      <c r="AQ218" s="43"/>
      <c r="AR218" s="139"/>
      <c r="AS218" s="43"/>
      <c r="AT218" s="43"/>
      <c r="AU218" s="139"/>
      <c r="AV218" s="43"/>
      <c r="AW218" s="43"/>
      <c r="AX218" s="139"/>
      <c r="AY218" s="139"/>
      <c r="AZ218" s="43"/>
      <c r="BA218" s="139"/>
      <c r="BB218" s="139"/>
      <c r="BC218" s="139"/>
      <c r="BD218" s="139"/>
      <c r="BE218" s="139"/>
      <c r="BF218" s="43"/>
      <c r="BG218" s="139"/>
      <c r="BH218" s="139"/>
      <c r="BI218" s="43"/>
      <c r="BJ218" s="139"/>
      <c r="BK218" s="43"/>
      <c r="BL218" s="139"/>
      <c r="BM218" s="139"/>
      <c r="BN218" s="43"/>
      <c r="BO218" s="139"/>
      <c r="BP218" s="139"/>
      <c r="BQ218" s="43"/>
      <c r="BR218" s="43"/>
      <c r="BS218" s="139"/>
      <c r="BT218" s="43"/>
      <c r="BU218" s="43"/>
      <c r="BV218" s="139"/>
      <c r="BW218" s="43"/>
      <c r="BX218" s="43"/>
      <c r="BY218" s="139"/>
      <c r="BZ218" s="43"/>
      <c r="CA218" s="43"/>
      <c r="CB218" s="139"/>
      <c r="CC218" s="43"/>
      <c r="CD218" s="43"/>
      <c r="CE218" s="139"/>
      <c r="CF218" s="43"/>
      <c r="CG218" s="43"/>
      <c r="CH218" s="139"/>
      <c r="CI218" s="43"/>
      <c r="CJ218" s="43"/>
      <c r="CK218" s="139"/>
    </row>
    <row r="219" ht="15.75" customHeight="1">
      <c r="A219" s="43"/>
      <c r="B219" s="43"/>
      <c r="C219" s="15"/>
      <c r="D219" s="15"/>
      <c r="E219" s="146"/>
      <c r="F219" s="139"/>
      <c r="G219" s="15"/>
      <c r="H219" s="43"/>
      <c r="I219" s="43"/>
      <c r="J219" s="43"/>
      <c r="K219" s="61"/>
      <c r="L219" s="139"/>
      <c r="M219" s="139"/>
      <c r="N219" s="145"/>
      <c r="O219" s="43"/>
      <c r="P219" s="145"/>
      <c r="Q219" s="43"/>
      <c r="R219" s="88"/>
      <c r="S219" s="40"/>
      <c r="T219" s="260"/>
      <c r="U219" s="40"/>
      <c r="V219" s="40"/>
      <c r="W219" s="40"/>
      <c r="X219" s="40"/>
      <c r="Y219" s="40"/>
      <c r="Z219" s="40"/>
      <c r="AA219" s="40"/>
      <c r="AB219" s="40"/>
      <c r="AC219" s="139"/>
      <c r="AD219" s="139"/>
      <c r="AE219" s="40"/>
      <c r="AF219" s="40"/>
      <c r="AG219" s="139"/>
      <c r="AH219" s="139"/>
      <c r="AI219" s="139"/>
      <c r="AJ219" s="43"/>
      <c r="AK219" s="43"/>
      <c r="AL219" s="139"/>
      <c r="AM219" s="43"/>
      <c r="AN219" s="43"/>
      <c r="AO219" s="139"/>
      <c r="AP219" s="43"/>
      <c r="AQ219" s="43"/>
      <c r="AR219" s="139"/>
      <c r="AS219" s="43"/>
      <c r="AT219" s="43"/>
      <c r="AU219" s="139"/>
      <c r="AV219" s="43"/>
      <c r="AW219" s="43"/>
      <c r="AX219" s="139"/>
      <c r="AY219" s="139"/>
      <c r="AZ219" s="43"/>
      <c r="BA219" s="139"/>
      <c r="BB219" s="139"/>
      <c r="BC219" s="139"/>
      <c r="BD219" s="139"/>
      <c r="BE219" s="139"/>
      <c r="BF219" s="43"/>
      <c r="BG219" s="139"/>
      <c r="BH219" s="139"/>
      <c r="BI219" s="43"/>
      <c r="BJ219" s="139"/>
      <c r="BK219" s="43"/>
      <c r="BL219" s="139"/>
      <c r="BM219" s="139"/>
      <c r="BN219" s="43"/>
      <c r="BO219" s="139"/>
      <c r="BP219" s="139"/>
      <c r="BQ219" s="43"/>
      <c r="BR219" s="43"/>
      <c r="BS219" s="139"/>
      <c r="BT219" s="43"/>
      <c r="BU219" s="43"/>
      <c r="BV219" s="139"/>
      <c r="BW219" s="43"/>
      <c r="BX219" s="43"/>
      <c r="BY219" s="139"/>
      <c r="BZ219" s="43"/>
      <c r="CA219" s="43"/>
      <c r="CB219" s="139"/>
      <c r="CC219" s="43"/>
      <c r="CD219" s="43"/>
      <c r="CE219" s="139"/>
      <c r="CF219" s="43"/>
      <c r="CG219" s="43"/>
      <c r="CH219" s="139"/>
      <c r="CI219" s="43"/>
      <c r="CJ219" s="43"/>
      <c r="CK219" s="139"/>
    </row>
    <row r="220" ht="15.75" customHeight="1">
      <c r="A220" s="43"/>
      <c r="B220" s="43"/>
      <c r="C220" s="15"/>
      <c r="D220" s="15"/>
      <c r="E220" s="146"/>
      <c r="F220" s="139"/>
      <c r="G220" s="15"/>
      <c r="H220" s="43"/>
      <c r="I220" s="43"/>
      <c r="J220" s="43"/>
      <c r="K220" s="61"/>
      <c r="L220" s="139"/>
      <c r="M220" s="139"/>
      <c r="N220" s="145"/>
      <c r="O220" s="43"/>
      <c r="P220" s="145"/>
      <c r="Q220" s="43"/>
      <c r="R220" s="88"/>
      <c r="S220" s="40"/>
      <c r="T220" s="260"/>
      <c r="U220" s="40"/>
      <c r="V220" s="40"/>
      <c r="W220" s="40"/>
      <c r="X220" s="40"/>
      <c r="Y220" s="40"/>
      <c r="Z220" s="40"/>
      <c r="AA220" s="40"/>
      <c r="AB220" s="40"/>
      <c r="AC220" s="139"/>
      <c r="AD220" s="139"/>
      <c r="AE220" s="40"/>
      <c r="AF220" s="40"/>
      <c r="AG220" s="139"/>
      <c r="AH220" s="139"/>
      <c r="AI220" s="139"/>
      <c r="AJ220" s="43"/>
      <c r="AK220" s="43"/>
      <c r="AL220" s="139"/>
      <c r="AM220" s="43"/>
      <c r="AN220" s="43"/>
      <c r="AO220" s="139"/>
      <c r="AP220" s="43"/>
      <c r="AQ220" s="43"/>
      <c r="AR220" s="139"/>
      <c r="AS220" s="43"/>
      <c r="AT220" s="43"/>
      <c r="AU220" s="139"/>
      <c r="AV220" s="43"/>
      <c r="AW220" s="43"/>
      <c r="AX220" s="139"/>
      <c r="AY220" s="139"/>
      <c r="AZ220" s="43"/>
      <c r="BA220" s="139"/>
      <c r="BB220" s="139"/>
      <c r="BC220" s="139"/>
      <c r="BD220" s="139"/>
      <c r="BE220" s="139"/>
      <c r="BF220" s="43"/>
      <c r="BG220" s="139"/>
      <c r="BH220" s="139"/>
      <c r="BI220" s="43"/>
      <c r="BJ220" s="139"/>
      <c r="BK220" s="43"/>
      <c r="BL220" s="139"/>
      <c r="BM220" s="139"/>
      <c r="BN220" s="43"/>
      <c r="BO220" s="139"/>
      <c r="BP220" s="139"/>
      <c r="BQ220" s="43"/>
      <c r="BR220" s="43"/>
      <c r="BS220" s="139"/>
      <c r="BT220" s="43"/>
      <c r="BU220" s="43"/>
      <c r="BV220" s="139"/>
      <c r="BW220" s="43"/>
      <c r="BX220" s="43"/>
      <c r="BY220" s="139"/>
      <c r="BZ220" s="43"/>
      <c r="CA220" s="43"/>
      <c r="CB220" s="139"/>
      <c r="CC220" s="43"/>
      <c r="CD220" s="43"/>
      <c r="CE220" s="139"/>
      <c r="CF220" s="43"/>
      <c r="CG220" s="43"/>
      <c r="CH220" s="139"/>
      <c r="CI220" s="43"/>
      <c r="CJ220" s="43"/>
      <c r="CK220" s="139"/>
    </row>
    <row r="221" ht="15.75" customHeight="1">
      <c r="A221" s="43"/>
      <c r="B221" s="43"/>
      <c r="C221" s="15"/>
      <c r="D221" s="15"/>
      <c r="E221" s="146"/>
      <c r="F221" s="139"/>
      <c r="G221" s="15"/>
      <c r="H221" s="43"/>
      <c r="I221" s="43"/>
      <c r="J221" s="43"/>
      <c r="K221" s="61"/>
      <c r="L221" s="139"/>
      <c r="M221" s="139"/>
      <c r="N221" s="145"/>
      <c r="O221" s="43"/>
      <c r="P221" s="145"/>
      <c r="Q221" s="43"/>
      <c r="R221" s="88"/>
      <c r="S221" s="40"/>
      <c r="T221" s="260"/>
      <c r="U221" s="40"/>
      <c r="V221" s="40"/>
      <c r="W221" s="40"/>
      <c r="X221" s="40"/>
      <c r="Y221" s="40"/>
      <c r="Z221" s="40"/>
      <c r="AA221" s="40"/>
      <c r="AB221" s="40"/>
      <c r="AC221" s="139"/>
      <c r="AD221" s="139"/>
      <c r="AE221" s="40"/>
      <c r="AF221" s="40"/>
      <c r="AG221" s="139"/>
      <c r="AH221" s="139"/>
      <c r="AI221" s="139"/>
      <c r="AJ221" s="43"/>
      <c r="AK221" s="43"/>
      <c r="AL221" s="139"/>
      <c r="AM221" s="43"/>
      <c r="AN221" s="43"/>
      <c r="AO221" s="139"/>
      <c r="AP221" s="43"/>
      <c r="AQ221" s="43"/>
      <c r="AR221" s="139"/>
      <c r="AS221" s="43"/>
      <c r="AT221" s="43"/>
      <c r="AU221" s="139"/>
      <c r="AV221" s="43"/>
      <c r="AW221" s="43"/>
      <c r="AX221" s="139"/>
      <c r="AY221" s="139"/>
      <c r="AZ221" s="43"/>
      <c r="BA221" s="139"/>
      <c r="BB221" s="139"/>
      <c r="BC221" s="139"/>
      <c r="BD221" s="139"/>
      <c r="BE221" s="139"/>
      <c r="BF221" s="43"/>
      <c r="BG221" s="139"/>
      <c r="BH221" s="139"/>
      <c r="BI221" s="43"/>
      <c r="BJ221" s="139"/>
      <c r="BK221" s="43"/>
      <c r="BL221" s="139"/>
      <c r="BM221" s="139"/>
      <c r="BN221" s="43"/>
      <c r="BO221" s="139"/>
      <c r="BP221" s="139"/>
      <c r="BQ221" s="43"/>
      <c r="BR221" s="43"/>
      <c r="BS221" s="139"/>
      <c r="BT221" s="43"/>
      <c r="BU221" s="43"/>
      <c r="BV221" s="139"/>
      <c r="BW221" s="43"/>
      <c r="BX221" s="43"/>
      <c r="BY221" s="139"/>
      <c r="BZ221" s="43"/>
      <c r="CA221" s="43"/>
      <c r="CB221" s="139"/>
      <c r="CC221" s="43"/>
      <c r="CD221" s="43"/>
      <c r="CE221" s="139"/>
      <c r="CF221" s="43"/>
      <c r="CG221" s="43"/>
      <c r="CH221" s="139"/>
      <c r="CI221" s="43"/>
      <c r="CJ221" s="43"/>
      <c r="CK221" s="139"/>
    </row>
    <row r="222" ht="15.75" customHeight="1">
      <c r="A222" s="43"/>
      <c r="B222" s="43"/>
      <c r="C222" s="15"/>
      <c r="D222" s="15"/>
      <c r="E222" s="146"/>
      <c r="F222" s="139"/>
      <c r="G222" s="15"/>
      <c r="H222" s="43"/>
      <c r="I222" s="43"/>
      <c r="J222" s="43"/>
      <c r="K222" s="61"/>
      <c r="L222" s="139"/>
      <c r="M222" s="139"/>
      <c r="N222" s="145"/>
      <c r="O222" s="43"/>
      <c r="P222" s="145"/>
      <c r="Q222" s="43"/>
      <c r="R222" s="88"/>
      <c r="S222" s="40"/>
      <c r="T222" s="260"/>
      <c r="U222" s="40"/>
      <c r="V222" s="40"/>
      <c r="W222" s="40"/>
      <c r="X222" s="40"/>
      <c r="Y222" s="40"/>
      <c r="Z222" s="40"/>
      <c r="AA222" s="40"/>
      <c r="AB222" s="40"/>
      <c r="AC222" s="139"/>
      <c r="AD222" s="139"/>
      <c r="AE222" s="40"/>
      <c r="AF222" s="40"/>
      <c r="AG222" s="139"/>
      <c r="AH222" s="139"/>
      <c r="AI222" s="139"/>
      <c r="AJ222" s="43"/>
      <c r="AK222" s="43"/>
      <c r="AL222" s="139"/>
      <c r="AM222" s="43"/>
      <c r="AN222" s="43"/>
      <c r="AO222" s="139"/>
      <c r="AP222" s="43"/>
      <c r="AQ222" s="43"/>
      <c r="AR222" s="139"/>
      <c r="AS222" s="43"/>
      <c r="AT222" s="43"/>
      <c r="AU222" s="139"/>
      <c r="AV222" s="43"/>
      <c r="AW222" s="43"/>
      <c r="AX222" s="139"/>
      <c r="AY222" s="139"/>
      <c r="AZ222" s="43"/>
      <c r="BA222" s="139"/>
      <c r="BB222" s="139"/>
      <c r="BC222" s="139"/>
      <c r="BD222" s="139"/>
      <c r="BE222" s="139"/>
      <c r="BF222" s="43"/>
      <c r="BG222" s="139"/>
      <c r="BH222" s="139"/>
      <c r="BI222" s="43"/>
      <c r="BJ222" s="139"/>
      <c r="BK222" s="43"/>
      <c r="BL222" s="139"/>
      <c r="BM222" s="139"/>
      <c r="BN222" s="43"/>
      <c r="BO222" s="139"/>
      <c r="BP222" s="139"/>
      <c r="BQ222" s="43"/>
      <c r="BR222" s="43"/>
      <c r="BS222" s="139"/>
      <c r="BT222" s="43"/>
      <c r="BU222" s="43"/>
      <c r="BV222" s="139"/>
      <c r="BW222" s="43"/>
      <c r="BX222" s="43"/>
      <c r="BY222" s="139"/>
      <c r="BZ222" s="43"/>
      <c r="CA222" s="43"/>
      <c r="CB222" s="139"/>
      <c r="CC222" s="43"/>
      <c r="CD222" s="43"/>
      <c r="CE222" s="139"/>
      <c r="CF222" s="43"/>
      <c r="CG222" s="43"/>
      <c r="CH222" s="139"/>
      <c r="CI222" s="43"/>
      <c r="CJ222" s="43"/>
      <c r="CK222" s="139"/>
    </row>
    <row r="223" ht="15.75" customHeight="1">
      <c r="A223" s="43"/>
      <c r="B223" s="43"/>
      <c r="C223" s="15"/>
      <c r="D223" s="15"/>
      <c r="E223" s="146"/>
      <c r="F223" s="139"/>
      <c r="G223" s="15"/>
      <c r="H223" s="43"/>
      <c r="I223" s="43"/>
      <c r="J223" s="43"/>
      <c r="K223" s="61"/>
      <c r="L223" s="139"/>
      <c r="M223" s="139"/>
      <c r="N223" s="145"/>
      <c r="O223" s="43"/>
      <c r="P223" s="145"/>
      <c r="Q223" s="43"/>
      <c r="R223" s="88"/>
      <c r="S223" s="40"/>
      <c r="T223" s="260"/>
      <c r="U223" s="40"/>
      <c r="V223" s="40"/>
      <c r="W223" s="40"/>
      <c r="X223" s="40"/>
      <c r="Y223" s="40"/>
      <c r="Z223" s="40"/>
      <c r="AA223" s="40"/>
      <c r="AB223" s="40"/>
      <c r="AC223" s="139"/>
      <c r="AD223" s="139"/>
      <c r="AE223" s="40"/>
      <c r="AF223" s="40"/>
      <c r="AG223" s="139"/>
      <c r="AH223" s="139"/>
      <c r="AI223" s="139"/>
      <c r="AJ223" s="43"/>
      <c r="AK223" s="43"/>
      <c r="AL223" s="139"/>
      <c r="AM223" s="43"/>
      <c r="AN223" s="43"/>
      <c r="AO223" s="139"/>
      <c r="AP223" s="43"/>
      <c r="AQ223" s="43"/>
      <c r="AR223" s="139"/>
      <c r="AS223" s="43"/>
      <c r="AT223" s="43"/>
      <c r="AU223" s="139"/>
      <c r="AV223" s="43"/>
      <c r="AW223" s="43"/>
      <c r="AX223" s="139"/>
      <c r="AY223" s="139"/>
      <c r="AZ223" s="43"/>
      <c r="BA223" s="139"/>
      <c r="BB223" s="139"/>
      <c r="BC223" s="139"/>
      <c r="BD223" s="139"/>
      <c r="BE223" s="139"/>
      <c r="BF223" s="43"/>
      <c r="BG223" s="139"/>
      <c r="BH223" s="139"/>
      <c r="BI223" s="43"/>
      <c r="BJ223" s="139"/>
      <c r="BK223" s="43"/>
      <c r="BL223" s="139"/>
      <c r="BM223" s="139"/>
      <c r="BN223" s="43"/>
      <c r="BO223" s="139"/>
      <c r="BP223" s="139"/>
      <c r="BQ223" s="43"/>
      <c r="BR223" s="43"/>
      <c r="BS223" s="139"/>
      <c r="BT223" s="43"/>
      <c r="BU223" s="43"/>
      <c r="BV223" s="139"/>
      <c r="BW223" s="43"/>
      <c r="BX223" s="43"/>
      <c r="BY223" s="139"/>
      <c r="BZ223" s="43"/>
      <c r="CA223" s="43"/>
      <c r="CB223" s="139"/>
      <c r="CC223" s="43"/>
      <c r="CD223" s="43"/>
      <c r="CE223" s="139"/>
      <c r="CF223" s="43"/>
      <c r="CG223" s="43"/>
      <c r="CH223" s="139"/>
      <c r="CI223" s="43"/>
      <c r="CJ223" s="43"/>
      <c r="CK223" s="139"/>
    </row>
    <row r="224" ht="15.75" customHeight="1">
      <c r="A224" s="43"/>
      <c r="B224" s="43"/>
      <c r="C224" s="15"/>
      <c r="D224" s="15"/>
      <c r="E224" s="146"/>
      <c r="F224" s="139"/>
      <c r="G224" s="15"/>
      <c r="H224" s="43"/>
      <c r="I224" s="43"/>
      <c r="J224" s="43"/>
      <c r="K224" s="61"/>
      <c r="L224" s="139"/>
      <c r="M224" s="139"/>
      <c r="N224" s="145"/>
      <c r="O224" s="43"/>
      <c r="P224" s="145"/>
      <c r="Q224" s="43"/>
      <c r="R224" s="88"/>
      <c r="S224" s="40"/>
      <c r="T224" s="260"/>
      <c r="U224" s="40"/>
      <c r="V224" s="40"/>
      <c r="W224" s="40"/>
      <c r="X224" s="40"/>
      <c r="Y224" s="40"/>
      <c r="Z224" s="40"/>
      <c r="AA224" s="40"/>
      <c r="AB224" s="40"/>
      <c r="AC224" s="139"/>
      <c r="AD224" s="139"/>
      <c r="AE224" s="40"/>
      <c r="AF224" s="40"/>
      <c r="AG224" s="139"/>
      <c r="AH224" s="139"/>
      <c r="AI224" s="139"/>
      <c r="AJ224" s="43"/>
      <c r="AK224" s="43"/>
      <c r="AL224" s="139"/>
      <c r="AM224" s="43"/>
      <c r="AN224" s="43"/>
      <c r="AO224" s="139"/>
      <c r="AP224" s="43"/>
      <c r="AQ224" s="43"/>
      <c r="AR224" s="139"/>
      <c r="AS224" s="43"/>
      <c r="AT224" s="43"/>
      <c r="AU224" s="139"/>
      <c r="AV224" s="43"/>
      <c r="AW224" s="43"/>
      <c r="AX224" s="139"/>
      <c r="AY224" s="139"/>
      <c r="AZ224" s="43"/>
      <c r="BA224" s="139"/>
      <c r="BB224" s="139"/>
      <c r="BC224" s="139"/>
      <c r="BD224" s="139"/>
      <c r="BE224" s="139"/>
      <c r="BF224" s="43"/>
      <c r="BG224" s="139"/>
      <c r="BH224" s="139"/>
      <c r="BI224" s="43"/>
      <c r="BJ224" s="139"/>
      <c r="BK224" s="43"/>
      <c r="BL224" s="139"/>
      <c r="BM224" s="139"/>
      <c r="BN224" s="43"/>
      <c r="BO224" s="139"/>
      <c r="BP224" s="139"/>
      <c r="BQ224" s="43"/>
      <c r="BR224" s="43"/>
      <c r="BS224" s="139"/>
      <c r="BT224" s="43"/>
      <c r="BU224" s="43"/>
      <c r="BV224" s="139"/>
      <c r="BW224" s="43"/>
      <c r="BX224" s="43"/>
      <c r="BY224" s="139"/>
      <c r="BZ224" s="43"/>
      <c r="CA224" s="43"/>
      <c r="CB224" s="139"/>
      <c r="CC224" s="43"/>
      <c r="CD224" s="43"/>
      <c r="CE224" s="139"/>
      <c r="CF224" s="43"/>
      <c r="CG224" s="43"/>
      <c r="CH224" s="139"/>
      <c r="CI224" s="43"/>
      <c r="CJ224" s="43"/>
      <c r="CK224" s="139"/>
    </row>
    <row r="225" ht="15.75" customHeight="1">
      <c r="A225" s="43"/>
      <c r="B225" s="43"/>
      <c r="C225" s="15"/>
      <c r="D225" s="15"/>
      <c r="E225" s="146"/>
      <c r="F225" s="139"/>
      <c r="G225" s="15"/>
      <c r="H225" s="43"/>
      <c r="I225" s="43"/>
      <c r="J225" s="43"/>
      <c r="K225" s="61"/>
      <c r="L225" s="139"/>
      <c r="M225" s="139"/>
      <c r="N225" s="145"/>
      <c r="O225" s="43"/>
      <c r="P225" s="145"/>
      <c r="Q225" s="43"/>
      <c r="R225" s="88"/>
      <c r="S225" s="40"/>
      <c r="T225" s="260"/>
      <c r="U225" s="40"/>
      <c r="V225" s="40"/>
      <c r="W225" s="40"/>
      <c r="X225" s="40"/>
      <c r="Y225" s="40"/>
      <c r="Z225" s="40"/>
      <c r="AA225" s="40"/>
      <c r="AB225" s="40"/>
      <c r="AC225" s="139"/>
      <c r="AD225" s="139"/>
      <c r="AE225" s="40"/>
      <c r="AF225" s="40"/>
      <c r="AG225" s="139"/>
      <c r="AH225" s="139"/>
      <c r="AI225" s="139"/>
      <c r="AJ225" s="43"/>
      <c r="AK225" s="43"/>
      <c r="AL225" s="139"/>
      <c r="AM225" s="43"/>
      <c r="AN225" s="43"/>
      <c r="AO225" s="139"/>
      <c r="AP225" s="43"/>
      <c r="AQ225" s="43"/>
      <c r="AR225" s="139"/>
      <c r="AS225" s="43"/>
      <c r="AT225" s="43"/>
      <c r="AU225" s="139"/>
      <c r="AV225" s="43"/>
      <c r="AW225" s="43"/>
      <c r="AX225" s="139"/>
      <c r="AY225" s="139"/>
      <c r="AZ225" s="43"/>
      <c r="BA225" s="139"/>
      <c r="BB225" s="139"/>
      <c r="BC225" s="139"/>
      <c r="BD225" s="139"/>
      <c r="BE225" s="139"/>
      <c r="BF225" s="43"/>
      <c r="BG225" s="139"/>
      <c r="BH225" s="139"/>
      <c r="BI225" s="43"/>
      <c r="BJ225" s="139"/>
      <c r="BK225" s="43"/>
      <c r="BL225" s="139"/>
      <c r="BM225" s="139"/>
      <c r="BN225" s="43"/>
      <c r="BO225" s="139"/>
      <c r="BP225" s="139"/>
      <c r="BQ225" s="43"/>
      <c r="BR225" s="43"/>
      <c r="BS225" s="139"/>
      <c r="BT225" s="43"/>
      <c r="BU225" s="43"/>
      <c r="BV225" s="139"/>
      <c r="BW225" s="43"/>
      <c r="BX225" s="43"/>
      <c r="BY225" s="139"/>
      <c r="BZ225" s="43"/>
      <c r="CA225" s="43"/>
      <c r="CB225" s="139"/>
      <c r="CC225" s="43"/>
      <c r="CD225" s="43"/>
      <c r="CE225" s="139"/>
      <c r="CF225" s="43"/>
      <c r="CG225" s="43"/>
      <c r="CH225" s="139"/>
      <c r="CI225" s="43"/>
      <c r="CJ225" s="43"/>
      <c r="CK225" s="139"/>
    </row>
    <row r="226" ht="15.75" customHeight="1">
      <c r="A226" s="43"/>
      <c r="B226" s="43"/>
      <c r="C226" s="15"/>
      <c r="D226" s="15"/>
      <c r="E226" s="146"/>
      <c r="F226" s="139"/>
      <c r="G226" s="15"/>
      <c r="H226" s="43"/>
      <c r="I226" s="43"/>
      <c r="J226" s="43"/>
      <c r="K226" s="61"/>
      <c r="L226" s="139"/>
      <c r="M226" s="139"/>
      <c r="N226" s="145"/>
      <c r="O226" s="43"/>
      <c r="P226" s="145"/>
      <c r="Q226" s="43"/>
      <c r="R226" s="88"/>
      <c r="S226" s="40"/>
      <c r="T226" s="260"/>
      <c r="U226" s="40"/>
      <c r="V226" s="40"/>
      <c r="W226" s="40"/>
      <c r="X226" s="40"/>
      <c r="Y226" s="40"/>
      <c r="Z226" s="40"/>
      <c r="AA226" s="40"/>
      <c r="AB226" s="40"/>
      <c r="AC226" s="139"/>
      <c r="AD226" s="139"/>
      <c r="AE226" s="40"/>
      <c r="AF226" s="40"/>
      <c r="AG226" s="139"/>
      <c r="AH226" s="139"/>
      <c r="AI226" s="139"/>
      <c r="AJ226" s="43"/>
      <c r="AK226" s="43"/>
      <c r="AL226" s="139"/>
      <c r="AM226" s="43"/>
      <c r="AN226" s="43"/>
      <c r="AO226" s="139"/>
      <c r="AP226" s="43"/>
      <c r="AQ226" s="43"/>
      <c r="AR226" s="139"/>
      <c r="AS226" s="43"/>
      <c r="AT226" s="43"/>
      <c r="AU226" s="139"/>
      <c r="AV226" s="43"/>
      <c r="AW226" s="43"/>
      <c r="AX226" s="139"/>
      <c r="AY226" s="139"/>
      <c r="AZ226" s="43"/>
      <c r="BA226" s="139"/>
      <c r="BB226" s="139"/>
      <c r="BC226" s="139"/>
      <c r="BD226" s="139"/>
      <c r="BE226" s="139"/>
      <c r="BF226" s="43"/>
      <c r="BG226" s="139"/>
      <c r="BH226" s="139"/>
      <c r="BI226" s="43"/>
      <c r="BJ226" s="139"/>
      <c r="BK226" s="43"/>
      <c r="BL226" s="139"/>
      <c r="BM226" s="139"/>
      <c r="BN226" s="43"/>
      <c r="BO226" s="139"/>
      <c r="BP226" s="139"/>
      <c r="BQ226" s="43"/>
      <c r="BR226" s="43"/>
      <c r="BS226" s="139"/>
      <c r="BT226" s="43"/>
      <c r="BU226" s="43"/>
      <c r="BV226" s="139"/>
      <c r="BW226" s="43"/>
      <c r="BX226" s="43"/>
      <c r="BY226" s="139"/>
      <c r="BZ226" s="43"/>
      <c r="CA226" s="43"/>
      <c r="CB226" s="139"/>
      <c r="CC226" s="43"/>
      <c r="CD226" s="43"/>
      <c r="CE226" s="139"/>
      <c r="CF226" s="43"/>
      <c r="CG226" s="43"/>
      <c r="CH226" s="139"/>
      <c r="CI226" s="43"/>
      <c r="CJ226" s="43"/>
      <c r="CK226" s="139"/>
    </row>
    <row r="227" ht="15.75" customHeight="1">
      <c r="A227" s="43"/>
      <c r="B227" s="43"/>
      <c r="C227" s="15"/>
      <c r="D227" s="15"/>
      <c r="E227" s="146"/>
      <c r="F227" s="139"/>
      <c r="G227" s="15"/>
      <c r="H227" s="43"/>
      <c r="I227" s="43"/>
      <c r="J227" s="43"/>
      <c r="K227" s="61"/>
      <c r="L227" s="139"/>
      <c r="M227" s="139"/>
      <c r="N227" s="145"/>
      <c r="O227" s="43"/>
      <c r="P227" s="145"/>
      <c r="Q227" s="43"/>
      <c r="R227" s="88"/>
      <c r="S227" s="40"/>
      <c r="T227" s="260"/>
      <c r="U227" s="40"/>
      <c r="V227" s="40"/>
      <c r="W227" s="40"/>
      <c r="X227" s="40"/>
      <c r="Y227" s="40"/>
      <c r="Z227" s="40"/>
      <c r="AA227" s="40"/>
      <c r="AB227" s="40"/>
      <c r="AC227" s="139"/>
      <c r="AD227" s="139"/>
      <c r="AE227" s="40"/>
      <c r="AF227" s="40"/>
      <c r="AG227" s="139"/>
      <c r="AH227" s="139"/>
      <c r="AI227" s="139"/>
      <c r="AJ227" s="43"/>
      <c r="AK227" s="43"/>
      <c r="AL227" s="139"/>
      <c r="AM227" s="43"/>
      <c r="AN227" s="43"/>
      <c r="AO227" s="139"/>
      <c r="AP227" s="43"/>
      <c r="AQ227" s="43"/>
      <c r="AR227" s="139"/>
      <c r="AS227" s="43"/>
      <c r="AT227" s="43"/>
      <c r="AU227" s="139"/>
      <c r="AV227" s="43"/>
      <c r="AW227" s="43"/>
      <c r="AX227" s="139"/>
      <c r="AY227" s="139"/>
      <c r="AZ227" s="43"/>
      <c r="BA227" s="139"/>
      <c r="BB227" s="139"/>
      <c r="BC227" s="139"/>
      <c r="BD227" s="139"/>
      <c r="BE227" s="139"/>
      <c r="BF227" s="43"/>
      <c r="BG227" s="139"/>
      <c r="BH227" s="139"/>
      <c r="BI227" s="43"/>
      <c r="BJ227" s="139"/>
      <c r="BK227" s="43"/>
      <c r="BL227" s="139"/>
      <c r="BM227" s="139"/>
      <c r="BN227" s="43"/>
      <c r="BO227" s="139"/>
      <c r="BP227" s="139"/>
      <c r="BQ227" s="43"/>
      <c r="BR227" s="43"/>
      <c r="BS227" s="139"/>
      <c r="BT227" s="43"/>
      <c r="BU227" s="43"/>
      <c r="BV227" s="139"/>
      <c r="BW227" s="43"/>
      <c r="BX227" s="43"/>
      <c r="BY227" s="139"/>
      <c r="BZ227" s="43"/>
      <c r="CA227" s="43"/>
      <c r="CB227" s="139"/>
      <c r="CC227" s="43"/>
      <c r="CD227" s="43"/>
      <c r="CE227" s="139"/>
      <c r="CF227" s="43"/>
      <c r="CG227" s="43"/>
      <c r="CH227" s="139"/>
      <c r="CI227" s="43"/>
      <c r="CJ227" s="43"/>
      <c r="CK227" s="139"/>
    </row>
    <row r="228" ht="15.75" customHeight="1">
      <c r="A228" s="43"/>
      <c r="B228" s="43"/>
      <c r="C228" s="15"/>
      <c r="D228" s="15"/>
      <c r="E228" s="146"/>
      <c r="F228" s="139"/>
      <c r="G228" s="15"/>
      <c r="H228" s="43"/>
      <c r="I228" s="43"/>
      <c r="J228" s="43"/>
      <c r="K228" s="61"/>
      <c r="L228" s="139"/>
      <c r="M228" s="139"/>
      <c r="N228" s="145"/>
      <c r="O228" s="43"/>
      <c r="P228" s="145"/>
      <c r="Q228" s="43"/>
      <c r="R228" s="88"/>
      <c r="S228" s="40"/>
      <c r="T228" s="260"/>
      <c r="U228" s="40"/>
      <c r="V228" s="40"/>
      <c r="W228" s="40"/>
      <c r="X228" s="40"/>
      <c r="Y228" s="40"/>
      <c r="Z228" s="40"/>
      <c r="AA228" s="40"/>
      <c r="AB228" s="40"/>
      <c r="AC228" s="139"/>
      <c r="AD228" s="139"/>
      <c r="AE228" s="40"/>
      <c r="AF228" s="40"/>
      <c r="AG228" s="139"/>
      <c r="AH228" s="139"/>
      <c r="AI228" s="139"/>
      <c r="AJ228" s="43"/>
      <c r="AK228" s="43"/>
      <c r="AL228" s="139"/>
      <c r="AM228" s="43"/>
      <c r="AN228" s="43"/>
      <c r="AO228" s="139"/>
      <c r="AP228" s="43"/>
      <c r="AQ228" s="43"/>
      <c r="AR228" s="139"/>
      <c r="AS228" s="43"/>
      <c r="AT228" s="43"/>
      <c r="AU228" s="139"/>
      <c r="AV228" s="43"/>
      <c r="AW228" s="43"/>
      <c r="AX228" s="139"/>
      <c r="AY228" s="139"/>
      <c r="AZ228" s="43"/>
      <c r="BA228" s="139"/>
      <c r="BB228" s="139"/>
      <c r="BC228" s="139"/>
      <c r="BD228" s="139"/>
      <c r="BE228" s="139"/>
      <c r="BF228" s="43"/>
      <c r="BG228" s="139"/>
      <c r="BH228" s="139"/>
      <c r="BI228" s="43"/>
      <c r="BJ228" s="139"/>
      <c r="BK228" s="43"/>
      <c r="BL228" s="139"/>
      <c r="BM228" s="139"/>
      <c r="BN228" s="43"/>
      <c r="BO228" s="139"/>
      <c r="BP228" s="139"/>
      <c r="BQ228" s="43"/>
      <c r="BR228" s="43"/>
      <c r="BS228" s="139"/>
      <c r="BT228" s="43"/>
      <c r="BU228" s="43"/>
      <c r="BV228" s="139"/>
      <c r="BW228" s="43"/>
      <c r="BX228" s="43"/>
      <c r="BY228" s="139"/>
      <c r="BZ228" s="43"/>
      <c r="CA228" s="43"/>
      <c r="CB228" s="139"/>
      <c r="CC228" s="43"/>
      <c r="CD228" s="43"/>
      <c r="CE228" s="139"/>
      <c r="CF228" s="43"/>
      <c r="CG228" s="43"/>
      <c r="CH228" s="139"/>
      <c r="CI228" s="43"/>
      <c r="CJ228" s="43"/>
      <c r="CK228" s="139"/>
    </row>
    <row r="229" ht="15.75" customHeight="1">
      <c r="A229" s="43"/>
      <c r="B229" s="43"/>
      <c r="C229" s="15"/>
      <c r="D229" s="15"/>
      <c r="E229" s="146"/>
      <c r="F229" s="139"/>
      <c r="G229" s="15"/>
      <c r="H229" s="43"/>
      <c r="I229" s="43"/>
      <c r="J229" s="43"/>
      <c r="K229" s="61"/>
      <c r="L229" s="139"/>
      <c r="M229" s="139"/>
      <c r="N229" s="145"/>
      <c r="O229" s="43"/>
      <c r="P229" s="145"/>
      <c r="Q229" s="43"/>
      <c r="R229" s="88"/>
      <c r="S229" s="40"/>
      <c r="T229" s="260"/>
      <c r="U229" s="40"/>
      <c r="V229" s="40"/>
      <c r="W229" s="40"/>
      <c r="X229" s="40"/>
      <c r="Y229" s="40"/>
      <c r="Z229" s="40"/>
      <c r="AA229" s="40"/>
      <c r="AB229" s="40"/>
      <c r="AC229" s="139"/>
      <c r="AD229" s="139"/>
      <c r="AE229" s="40"/>
      <c r="AF229" s="40"/>
      <c r="AG229" s="139"/>
      <c r="AH229" s="139"/>
      <c r="AI229" s="139"/>
      <c r="AJ229" s="43"/>
      <c r="AK229" s="43"/>
      <c r="AL229" s="139"/>
      <c r="AM229" s="43"/>
      <c r="AN229" s="43"/>
      <c r="AO229" s="139"/>
      <c r="AP229" s="43"/>
      <c r="AQ229" s="43"/>
      <c r="AR229" s="139"/>
      <c r="AS229" s="43"/>
      <c r="AT229" s="43"/>
      <c r="AU229" s="139"/>
      <c r="AV229" s="43"/>
      <c r="AW229" s="43"/>
      <c r="AX229" s="139"/>
      <c r="AY229" s="139"/>
      <c r="AZ229" s="43"/>
      <c r="BA229" s="139"/>
      <c r="BB229" s="139"/>
      <c r="BC229" s="139"/>
      <c r="BD229" s="139"/>
      <c r="BE229" s="139"/>
      <c r="BF229" s="43"/>
      <c r="BG229" s="139"/>
      <c r="BH229" s="139"/>
      <c r="BI229" s="43"/>
      <c r="BJ229" s="139"/>
      <c r="BK229" s="43"/>
      <c r="BL229" s="139"/>
      <c r="BM229" s="139"/>
      <c r="BN229" s="43"/>
      <c r="BO229" s="139"/>
      <c r="BP229" s="139"/>
      <c r="BQ229" s="43"/>
      <c r="BR229" s="43"/>
      <c r="BS229" s="139"/>
      <c r="BT229" s="43"/>
      <c r="BU229" s="43"/>
      <c r="BV229" s="139"/>
      <c r="BW229" s="43"/>
      <c r="BX229" s="43"/>
      <c r="BY229" s="139"/>
      <c r="BZ229" s="43"/>
      <c r="CA229" s="43"/>
      <c r="CB229" s="139"/>
      <c r="CC229" s="43"/>
      <c r="CD229" s="43"/>
      <c r="CE229" s="139"/>
      <c r="CF229" s="43"/>
      <c r="CG229" s="43"/>
      <c r="CH229" s="139"/>
      <c r="CI229" s="43"/>
      <c r="CJ229" s="43"/>
      <c r="CK229" s="139"/>
    </row>
    <row r="230" ht="15.75" customHeight="1">
      <c r="A230" s="43"/>
      <c r="B230" s="43"/>
      <c r="C230" s="15"/>
      <c r="D230" s="15"/>
      <c r="E230" s="146"/>
      <c r="F230" s="139"/>
      <c r="G230" s="15"/>
      <c r="H230" s="43"/>
      <c r="I230" s="43"/>
      <c r="J230" s="43"/>
      <c r="K230" s="61"/>
      <c r="L230" s="139"/>
      <c r="M230" s="139"/>
      <c r="N230" s="145"/>
      <c r="O230" s="43"/>
      <c r="P230" s="145"/>
      <c r="Q230" s="43"/>
      <c r="R230" s="88"/>
      <c r="S230" s="40"/>
      <c r="T230" s="260"/>
      <c r="U230" s="40"/>
      <c r="V230" s="40"/>
      <c r="W230" s="40"/>
      <c r="X230" s="40"/>
      <c r="Y230" s="40"/>
      <c r="Z230" s="40"/>
      <c r="AA230" s="40"/>
      <c r="AB230" s="40"/>
      <c r="AC230" s="139"/>
      <c r="AD230" s="139"/>
      <c r="AE230" s="40"/>
      <c r="AF230" s="40"/>
      <c r="AG230" s="139"/>
      <c r="AH230" s="139"/>
      <c r="AI230" s="139"/>
      <c r="AJ230" s="43"/>
      <c r="AK230" s="43"/>
      <c r="AL230" s="139"/>
      <c r="AM230" s="43"/>
      <c r="AN230" s="43"/>
      <c r="AO230" s="139"/>
      <c r="AP230" s="43"/>
      <c r="AQ230" s="43"/>
      <c r="AR230" s="139"/>
      <c r="AS230" s="43"/>
      <c r="AT230" s="43"/>
      <c r="AU230" s="139"/>
      <c r="AV230" s="43"/>
      <c r="AW230" s="43"/>
      <c r="AX230" s="139"/>
      <c r="AY230" s="139"/>
      <c r="AZ230" s="43"/>
      <c r="BA230" s="139"/>
      <c r="BB230" s="139"/>
      <c r="BC230" s="139"/>
      <c r="BD230" s="139"/>
      <c r="BE230" s="139"/>
      <c r="BF230" s="43"/>
      <c r="BG230" s="139"/>
      <c r="BH230" s="139"/>
      <c r="BI230" s="43"/>
      <c r="BJ230" s="139"/>
      <c r="BK230" s="43"/>
      <c r="BL230" s="139"/>
      <c r="BM230" s="139"/>
      <c r="BN230" s="43"/>
      <c r="BO230" s="139"/>
      <c r="BP230" s="139"/>
      <c r="BQ230" s="43"/>
      <c r="BR230" s="43"/>
      <c r="BS230" s="139"/>
      <c r="BT230" s="43"/>
      <c r="BU230" s="43"/>
      <c r="BV230" s="139"/>
      <c r="BW230" s="43"/>
      <c r="BX230" s="43"/>
      <c r="BY230" s="139"/>
      <c r="BZ230" s="43"/>
      <c r="CA230" s="43"/>
      <c r="CB230" s="139"/>
      <c r="CC230" s="43"/>
      <c r="CD230" s="43"/>
      <c r="CE230" s="139"/>
      <c r="CF230" s="43"/>
      <c r="CG230" s="43"/>
      <c r="CH230" s="139"/>
      <c r="CI230" s="43"/>
      <c r="CJ230" s="43"/>
      <c r="CK230" s="139"/>
    </row>
    <row r="231" ht="15.75" customHeight="1">
      <c r="A231" s="43"/>
      <c r="B231" s="43"/>
      <c r="C231" s="15"/>
      <c r="D231" s="15"/>
      <c r="E231" s="146"/>
      <c r="F231" s="139"/>
      <c r="G231" s="15"/>
      <c r="H231" s="43"/>
      <c r="I231" s="43"/>
      <c r="J231" s="43"/>
      <c r="K231" s="61"/>
      <c r="L231" s="139"/>
      <c r="M231" s="139"/>
      <c r="N231" s="145"/>
      <c r="O231" s="43"/>
      <c r="P231" s="145"/>
      <c r="Q231" s="43"/>
      <c r="R231" s="88"/>
      <c r="S231" s="40"/>
      <c r="T231" s="260"/>
      <c r="U231" s="40"/>
      <c r="V231" s="40"/>
      <c r="W231" s="40"/>
      <c r="X231" s="40"/>
      <c r="Y231" s="40"/>
      <c r="Z231" s="40"/>
      <c r="AA231" s="40"/>
      <c r="AB231" s="40"/>
      <c r="AC231" s="139"/>
      <c r="AD231" s="139"/>
      <c r="AE231" s="40"/>
      <c r="AF231" s="40"/>
      <c r="AG231" s="139"/>
      <c r="AH231" s="139"/>
      <c r="AI231" s="139"/>
      <c r="AJ231" s="43"/>
      <c r="AK231" s="43"/>
      <c r="AL231" s="139"/>
      <c r="AM231" s="43"/>
      <c r="AN231" s="43"/>
      <c r="AO231" s="139"/>
      <c r="AP231" s="43"/>
      <c r="AQ231" s="43"/>
      <c r="AR231" s="139"/>
      <c r="AS231" s="43"/>
      <c r="AT231" s="43"/>
      <c r="AU231" s="139"/>
      <c r="AV231" s="43"/>
      <c r="AW231" s="43"/>
      <c r="AX231" s="139"/>
      <c r="AY231" s="139"/>
      <c r="AZ231" s="43"/>
      <c r="BA231" s="139"/>
      <c r="BB231" s="139"/>
      <c r="BC231" s="139"/>
      <c r="BD231" s="139"/>
      <c r="BE231" s="139"/>
      <c r="BF231" s="43"/>
      <c r="BG231" s="139"/>
      <c r="BH231" s="139"/>
      <c r="BI231" s="43"/>
      <c r="BJ231" s="139"/>
      <c r="BK231" s="43"/>
      <c r="BL231" s="139"/>
      <c r="BM231" s="139"/>
      <c r="BN231" s="43"/>
      <c r="BO231" s="139"/>
      <c r="BP231" s="139"/>
      <c r="BQ231" s="43"/>
      <c r="BR231" s="43"/>
      <c r="BS231" s="139"/>
      <c r="BT231" s="43"/>
      <c r="BU231" s="43"/>
      <c r="BV231" s="139"/>
      <c r="BW231" s="43"/>
      <c r="BX231" s="43"/>
      <c r="BY231" s="139"/>
      <c r="BZ231" s="43"/>
      <c r="CA231" s="43"/>
      <c r="CB231" s="139"/>
      <c r="CC231" s="43"/>
      <c r="CD231" s="43"/>
      <c r="CE231" s="139"/>
      <c r="CF231" s="43"/>
      <c r="CG231" s="43"/>
      <c r="CH231" s="139"/>
      <c r="CI231" s="43"/>
      <c r="CJ231" s="43"/>
      <c r="CK231" s="139"/>
    </row>
    <row r="232" ht="15.75" customHeight="1">
      <c r="A232" s="43"/>
      <c r="B232" s="43"/>
      <c r="C232" s="15"/>
      <c r="D232" s="15"/>
      <c r="E232" s="146"/>
      <c r="F232" s="139"/>
      <c r="G232" s="15"/>
      <c r="H232" s="43"/>
      <c r="I232" s="43"/>
      <c r="J232" s="43"/>
      <c r="K232" s="61"/>
      <c r="L232" s="139"/>
      <c r="M232" s="139"/>
      <c r="N232" s="145"/>
      <c r="O232" s="43"/>
      <c r="P232" s="145"/>
      <c r="Q232" s="43"/>
      <c r="R232" s="88"/>
      <c r="S232" s="40"/>
      <c r="T232" s="260"/>
      <c r="U232" s="40"/>
      <c r="V232" s="40"/>
      <c r="W232" s="40"/>
      <c r="X232" s="40"/>
      <c r="Y232" s="40"/>
      <c r="Z232" s="40"/>
      <c r="AA232" s="40"/>
      <c r="AB232" s="40"/>
      <c r="AC232" s="139"/>
      <c r="AD232" s="139"/>
      <c r="AE232" s="40"/>
      <c r="AF232" s="40"/>
      <c r="AG232" s="139"/>
      <c r="AH232" s="139"/>
      <c r="AI232" s="139"/>
      <c r="AJ232" s="43"/>
      <c r="AK232" s="43"/>
      <c r="AL232" s="139"/>
      <c r="AM232" s="43"/>
      <c r="AN232" s="43"/>
      <c r="AO232" s="139"/>
      <c r="AP232" s="43"/>
      <c r="AQ232" s="43"/>
      <c r="AR232" s="139"/>
      <c r="AS232" s="43"/>
      <c r="AT232" s="43"/>
      <c r="AU232" s="139"/>
      <c r="AV232" s="43"/>
      <c r="AW232" s="43"/>
      <c r="AX232" s="139"/>
      <c r="AY232" s="139"/>
      <c r="AZ232" s="43"/>
      <c r="BA232" s="139"/>
      <c r="BB232" s="139"/>
      <c r="BC232" s="139"/>
      <c r="BD232" s="139"/>
      <c r="BE232" s="139"/>
      <c r="BF232" s="43"/>
      <c r="BG232" s="139"/>
      <c r="BH232" s="139"/>
      <c r="BI232" s="43"/>
      <c r="BJ232" s="139"/>
      <c r="BK232" s="43"/>
      <c r="BL232" s="139"/>
      <c r="BM232" s="139"/>
      <c r="BN232" s="43"/>
      <c r="BO232" s="139"/>
      <c r="BP232" s="139"/>
      <c r="BQ232" s="43"/>
      <c r="BR232" s="43"/>
      <c r="BS232" s="139"/>
      <c r="BT232" s="43"/>
      <c r="BU232" s="43"/>
      <c r="BV232" s="139"/>
      <c r="BW232" s="43"/>
      <c r="BX232" s="43"/>
      <c r="BY232" s="139"/>
      <c r="BZ232" s="43"/>
      <c r="CA232" s="43"/>
      <c r="CB232" s="139"/>
      <c r="CC232" s="43"/>
      <c r="CD232" s="43"/>
      <c r="CE232" s="139"/>
      <c r="CF232" s="43"/>
      <c r="CG232" s="43"/>
      <c r="CH232" s="139"/>
      <c r="CI232" s="43"/>
      <c r="CJ232" s="43"/>
      <c r="CK232" s="139"/>
    </row>
    <row r="233" ht="15.75" customHeight="1">
      <c r="A233" s="43"/>
      <c r="B233" s="43"/>
      <c r="C233" s="15"/>
      <c r="D233" s="15"/>
      <c r="E233" s="146"/>
      <c r="F233" s="139"/>
      <c r="G233" s="15"/>
      <c r="H233" s="43"/>
      <c r="I233" s="43"/>
      <c r="J233" s="43"/>
      <c r="K233" s="61"/>
      <c r="L233" s="139"/>
      <c r="M233" s="139"/>
      <c r="N233" s="145"/>
      <c r="O233" s="43"/>
      <c r="P233" s="145"/>
      <c r="Q233" s="43"/>
      <c r="R233" s="88"/>
      <c r="S233" s="40"/>
      <c r="T233" s="260"/>
      <c r="U233" s="40"/>
      <c r="V233" s="40"/>
      <c r="W233" s="40"/>
      <c r="X233" s="40"/>
      <c r="Y233" s="40"/>
      <c r="Z233" s="40"/>
      <c r="AA233" s="40"/>
      <c r="AB233" s="40"/>
      <c r="AC233" s="139"/>
      <c r="AD233" s="139"/>
      <c r="AE233" s="40"/>
      <c r="AF233" s="40"/>
      <c r="AG233" s="139"/>
      <c r="AH233" s="139"/>
      <c r="AI233" s="139"/>
      <c r="AJ233" s="43"/>
      <c r="AK233" s="43"/>
      <c r="AL233" s="139"/>
      <c r="AM233" s="43"/>
      <c r="AN233" s="43"/>
      <c r="AO233" s="139"/>
      <c r="AP233" s="43"/>
      <c r="AQ233" s="43"/>
      <c r="AR233" s="139"/>
      <c r="AS233" s="43"/>
      <c r="AT233" s="43"/>
      <c r="AU233" s="139"/>
      <c r="AV233" s="43"/>
      <c r="AW233" s="43"/>
      <c r="AX233" s="139"/>
      <c r="AY233" s="139"/>
      <c r="AZ233" s="43"/>
      <c r="BA233" s="139"/>
      <c r="BB233" s="139"/>
      <c r="BC233" s="139"/>
      <c r="BD233" s="139"/>
      <c r="BE233" s="139"/>
      <c r="BF233" s="43"/>
      <c r="BG233" s="139"/>
      <c r="BH233" s="139"/>
      <c r="BI233" s="43"/>
      <c r="BJ233" s="139"/>
      <c r="BK233" s="43"/>
      <c r="BL233" s="139"/>
      <c r="BM233" s="139"/>
      <c r="BN233" s="43"/>
      <c r="BO233" s="139"/>
      <c r="BP233" s="139"/>
      <c r="BQ233" s="43"/>
      <c r="BR233" s="43"/>
      <c r="BS233" s="139"/>
      <c r="BT233" s="43"/>
      <c r="BU233" s="43"/>
      <c r="BV233" s="139"/>
      <c r="BW233" s="43"/>
      <c r="BX233" s="43"/>
      <c r="BY233" s="139"/>
      <c r="BZ233" s="43"/>
      <c r="CA233" s="43"/>
      <c r="CB233" s="139"/>
      <c r="CC233" s="43"/>
      <c r="CD233" s="43"/>
      <c r="CE233" s="139"/>
      <c r="CF233" s="43"/>
      <c r="CG233" s="43"/>
      <c r="CH233" s="139"/>
      <c r="CI233" s="43"/>
      <c r="CJ233" s="43"/>
      <c r="CK233" s="139"/>
    </row>
    <row r="234" ht="15.75" customHeight="1">
      <c r="A234" s="43"/>
      <c r="B234" s="43"/>
      <c r="C234" s="15"/>
      <c r="D234" s="15"/>
      <c r="E234" s="146"/>
      <c r="F234" s="139"/>
      <c r="G234" s="15"/>
      <c r="H234" s="43"/>
      <c r="I234" s="43"/>
      <c r="J234" s="43"/>
      <c r="K234" s="61"/>
      <c r="L234" s="139"/>
      <c r="M234" s="139"/>
      <c r="N234" s="145"/>
      <c r="O234" s="43"/>
      <c r="P234" s="145"/>
      <c r="Q234" s="43"/>
      <c r="R234" s="88"/>
      <c r="S234" s="40"/>
      <c r="T234" s="260"/>
      <c r="U234" s="40"/>
      <c r="V234" s="40"/>
      <c r="W234" s="40"/>
      <c r="X234" s="40"/>
      <c r="Y234" s="40"/>
      <c r="Z234" s="40"/>
      <c r="AA234" s="40"/>
      <c r="AB234" s="40"/>
      <c r="AC234" s="139"/>
      <c r="AD234" s="139"/>
      <c r="AE234" s="40"/>
      <c r="AF234" s="40"/>
      <c r="AG234" s="139"/>
      <c r="AH234" s="139"/>
      <c r="AI234" s="139"/>
      <c r="AJ234" s="43"/>
      <c r="AK234" s="43"/>
      <c r="AL234" s="139"/>
      <c r="AM234" s="43"/>
      <c r="AN234" s="43"/>
      <c r="AO234" s="139"/>
      <c r="AP234" s="43"/>
      <c r="AQ234" s="43"/>
      <c r="AR234" s="139"/>
      <c r="AS234" s="43"/>
      <c r="AT234" s="43"/>
      <c r="AU234" s="139"/>
      <c r="AV234" s="43"/>
      <c r="AW234" s="43"/>
      <c r="AX234" s="139"/>
      <c r="AY234" s="139"/>
      <c r="AZ234" s="43"/>
      <c r="BA234" s="139"/>
      <c r="BB234" s="139"/>
      <c r="BC234" s="139"/>
      <c r="BD234" s="139"/>
      <c r="BE234" s="139"/>
      <c r="BF234" s="43"/>
      <c r="BG234" s="139"/>
      <c r="BH234" s="139"/>
      <c r="BI234" s="43"/>
      <c r="BJ234" s="139"/>
      <c r="BK234" s="43"/>
      <c r="BL234" s="139"/>
      <c r="BM234" s="139"/>
      <c r="BN234" s="43"/>
      <c r="BO234" s="139"/>
      <c r="BP234" s="139"/>
      <c r="BQ234" s="43"/>
      <c r="BR234" s="43"/>
      <c r="BS234" s="139"/>
      <c r="BT234" s="43"/>
      <c r="BU234" s="43"/>
      <c r="BV234" s="139"/>
      <c r="BW234" s="43"/>
      <c r="BX234" s="43"/>
      <c r="BY234" s="139"/>
      <c r="BZ234" s="43"/>
      <c r="CA234" s="43"/>
      <c r="CB234" s="139"/>
      <c r="CC234" s="43"/>
      <c r="CD234" s="43"/>
      <c r="CE234" s="139"/>
      <c r="CF234" s="43"/>
      <c r="CG234" s="43"/>
      <c r="CH234" s="139"/>
      <c r="CI234" s="43"/>
      <c r="CJ234" s="43"/>
      <c r="CK234" s="139"/>
    </row>
    <row r="235" ht="15.75" customHeight="1">
      <c r="A235" s="43"/>
      <c r="B235" s="43"/>
      <c r="C235" s="15"/>
      <c r="D235" s="15"/>
      <c r="E235" s="146"/>
      <c r="F235" s="139"/>
      <c r="G235" s="15"/>
      <c r="H235" s="43"/>
      <c r="I235" s="43"/>
      <c r="J235" s="43"/>
      <c r="K235" s="61"/>
      <c r="L235" s="139"/>
      <c r="M235" s="139"/>
      <c r="N235" s="145"/>
      <c r="O235" s="43"/>
      <c r="P235" s="145"/>
      <c r="Q235" s="43"/>
      <c r="R235" s="88"/>
      <c r="S235" s="40"/>
      <c r="T235" s="260"/>
      <c r="U235" s="40"/>
      <c r="V235" s="40"/>
      <c r="W235" s="40"/>
      <c r="X235" s="40"/>
      <c r="Y235" s="40"/>
      <c r="Z235" s="40"/>
      <c r="AA235" s="40"/>
      <c r="AB235" s="40"/>
      <c r="AC235" s="139"/>
      <c r="AD235" s="139"/>
      <c r="AE235" s="40"/>
      <c r="AF235" s="40"/>
      <c r="AG235" s="139"/>
      <c r="AH235" s="139"/>
      <c r="AI235" s="139"/>
      <c r="AJ235" s="43"/>
      <c r="AK235" s="43"/>
      <c r="AL235" s="139"/>
      <c r="AM235" s="43"/>
      <c r="AN235" s="43"/>
      <c r="AO235" s="139"/>
      <c r="AP235" s="43"/>
      <c r="AQ235" s="43"/>
      <c r="AR235" s="139"/>
      <c r="AS235" s="43"/>
      <c r="AT235" s="43"/>
      <c r="AU235" s="139"/>
      <c r="AV235" s="43"/>
      <c r="AW235" s="43"/>
      <c r="AX235" s="139"/>
      <c r="AY235" s="139"/>
      <c r="AZ235" s="43"/>
      <c r="BA235" s="139"/>
      <c r="BB235" s="139"/>
      <c r="BC235" s="139"/>
      <c r="BD235" s="139"/>
      <c r="BE235" s="139"/>
      <c r="BF235" s="43"/>
      <c r="BG235" s="139"/>
      <c r="BH235" s="139"/>
      <c r="BI235" s="43"/>
      <c r="BJ235" s="139"/>
      <c r="BK235" s="43"/>
      <c r="BL235" s="139"/>
      <c r="BM235" s="139"/>
      <c r="BN235" s="43"/>
      <c r="BO235" s="139"/>
      <c r="BP235" s="139"/>
      <c r="BQ235" s="43"/>
      <c r="BR235" s="43"/>
      <c r="BS235" s="139"/>
      <c r="BT235" s="43"/>
      <c r="BU235" s="43"/>
      <c r="BV235" s="139"/>
      <c r="BW235" s="43"/>
      <c r="BX235" s="43"/>
      <c r="BY235" s="139"/>
      <c r="BZ235" s="43"/>
      <c r="CA235" s="43"/>
      <c r="CB235" s="139"/>
      <c r="CC235" s="43"/>
      <c r="CD235" s="43"/>
      <c r="CE235" s="139"/>
      <c r="CF235" s="43"/>
      <c r="CG235" s="43"/>
      <c r="CH235" s="139"/>
      <c r="CI235" s="43"/>
      <c r="CJ235" s="43"/>
      <c r="CK235" s="139"/>
    </row>
    <row r="236" ht="15.75" customHeight="1">
      <c r="A236" s="43"/>
      <c r="B236" s="43"/>
      <c r="C236" s="15"/>
      <c r="D236" s="15"/>
      <c r="E236" s="146"/>
      <c r="F236" s="139"/>
      <c r="G236" s="15"/>
      <c r="H236" s="43"/>
      <c r="I236" s="43"/>
      <c r="J236" s="43"/>
      <c r="K236" s="61"/>
      <c r="L236" s="139"/>
      <c r="M236" s="139"/>
      <c r="N236" s="145"/>
      <c r="O236" s="43"/>
      <c r="P236" s="145"/>
      <c r="Q236" s="43"/>
      <c r="R236" s="88"/>
      <c r="S236" s="40"/>
      <c r="T236" s="260"/>
      <c r="U236" s="40"/>
      <c r="V236" s="40"/>
      <c r="W236" s="40"/>
      <c r="X236" s="40"/>
      <c r="Y236" s="40"/>
      <c r="Z236" s="40"/>
      <c r="AA236" s="40"/>
      <c r="AB236" s="40"/>
      <c r="AC236" s="139"/>
      <c r="AD236" s="139"/>
      <c r="AE236" s="40"/>
      <c r="AF236" s="40"/>
      <c r="AG236" s="139"/>
      <c r="AH236" s="139"/>
      <c r="AI236" s="139"/>
      <c r="AJ236" s="43"/>
      <c r="AK236" s="43"/>
      <c r="AL236" s="139"/>
      <c r="AM236" s="43"/>
      <c r="AN236" s="43"/>
      <c r="AO236" s="139"/>
      <c r="AP236" s="43"/>
      <c r="AQ236" s="43"/>
      <c r="AR236" s="139"/>
      <c r="AS236" s="43"/>
      <c r="AT236" s="43"/>
      <c r="AU236" s="139"/>
      <c r="AV236" s="43"/>
      <c r="AW236" s="43"/>
      <c r="AX236" s="139"/>
      <c r="AY236" s="139"/>
      <c r="AZ236" s="43"/>
      <c r="BA236" s="139"/>
      <c r="BB236" s="139"/>
      <c r="BC236" s="139"/>
      <c r="BD236" s="139"/>
      <c r="BE236" s="139"/>
      <c r="BF236" s="43"/>
      <c r="BG236" s="139"/>
      <c r="BH236" s="139"/>
      <c r="BI236" s="43"/>
      <c r="BJ236" s="139"/>
      <c r="BK236" s="43"/>
      <c r="BL236" s="139"/>
      <c r="BM236" s="139"/>
      <c r="BN236" s="43"/>
      <c r="BO236" s="139"/>
      <c r="BP236" s="139"/>
      <c r="BQ236" s="43"/>
      <c r="BR236" s="43"/>
      <c r="BS236" s="139"/>
      <c r="BT236" s="43"/>
      <c r="BU236" s="43"/>
      <c r="BV236" s="139"/>
      <c r="BW236" s="43"/>
      <c r="BX236" s="43"/>
      <c r="BY236" s="139"/>
      <c r="BZ236" s="43"/>
      <c r="CA236" s="43"/>
      <c r="CB236" s="139"/>
      <c r="CC236" s="43"/>
      <c r="CD236" s="43"/>
      <c r="CE236" s="139"/>
      <c r="CF236" s="43"/>
      <c r="CG236" s="43"/>
      <c r="CH236" s="139"/>
      <c r="CI236" s="43"/>
      <c r="CJ236" s="43"/>
      <c r="CK236" s="139"/>
    </row>
    <row r="237" ht="15.75" customHeight="1">
      <c r="A237" s="43"/>
      <c r="B237" s="43"/>
      <c r="C237" s="15"/>
      <c r="D237" s="15"/>
      <c r="E237" s="146"/>
      <c r="F237" s="139"/>
      <c r="G237" s="15"/>
      <c r="H237" s="43"/>
      <c r="I237" s="43"/>
      <c r="J237" s="43"/>
      <c r="K237" s="61"/>
      <c r="L237" s="139"/>
      <c r="M237" s="139"/>
      <c r="N237" s="145"/>
      <c r="O237" s="43"/>
      <c r="P237" s="145"/>
      <c r="Q237" s="43"/>
      <c r="R237" s="88"/>
      <c r="S237" s="40"/>
      <c r="T237" s="260"/>
      <c r="U237" s="40"/>
      <c r="V237" s="40"/>
      <c r="W237" s="40"/>
      <c r="X237" s="40"/>
      <c r="Y237" s="40"/>
      <c r="Z237" s="40"/>
      <c r="AA237" s="40"/>
      <c r="AB237" s="40"/>
      <c r="AC237" s="139"/>
      <c r="AD237" s="139"/>
      <c r="AE237" s="40"/>
      <c r="AF237" s="40"/>
      <c r="AG237" s="139"/>
      <c r="AH237" s="139"/>
      <c r="AI237" s="139"/>
      <c r="AJ237" s="43"/>
      <c r="AK237" s="43"/>
      <c r="AL237" s="139"/>
      <c r="AM237" s="43"/>
      <c r="AN237" s="43"/>
      <c r="AO237" s="139"/>
      <c r="AP237" s="43"/>
      <c r="AQ237" s="43"/>
      <c r="AR237" s="139"/>
      <c r="AS237" s="43"/>
      <c r="AT237" s="43"/>
      <c r="AU237" s="139"/>
      <c r="AV237" s="43"/>
      <c r="AW237" s="43"/>
      <c r="AX237" s="139"/>
      <c r="AY237" s="139"/>
      <c r="AZ237" s="43"/>
      <c r="BA237" s="139"/>
      <c r="BB237" s="139"/>
      <c r="BC237" s="139"/>
      <c r="BD237" s="139"/>
      <c r="BE237" s="139"/>
      <c r="BF237" s="43"/>
      <c r="BG237" s="139"/>
      <c r="BH237" s="139"/>
      <c r="BI237" s="43"/>
      <c r="BJ237" s="139"/>
      <c r="BK237" s="43"/>
      <c r="BL237" s="139"/>
      <c r="BM237" s="139"/>
      <c r="BN237" s="43"/>
      <c r="BO237" s="139"/>
      <c r="BP237" s="139"/>
      <c r="BQ237" s="43"/>
      <c r="BR237" s="43"/>
      <c r="BS237" s="139"/>
      <c r="BT237" s="43"/>
      <c r="BU237" s="43"/>
      <c r="BV237" s="139"/>
      <c r="BW237" s="43"/>
      <c r="BX237" s="43"/>
      <c r="BY237" s="139"/>
      <c r="BZ237" s="43"/>
      <c r="CA237" s="43"/>
      <c r="CB237" s="139"/>
      <c r="CC237" s="43"/>
      <c r="CD237" s="43"/>
      <c r="CE237" s="139"/>
      <c r="CF237" s="43"/>
      <c r="CG237" s="43"/>
      <c r="CH237" s="139"/>
      <c r="CI237" s="43"/>
      <c r="CJ237" s="43"/>
      <c r="CK237" s="139"/>
    </row>
    <row r="238" ht="15.75" customHeight="1">
      <c r="A238" s="43"/>
      <c r="B238" s="43"/>
      <c r="C238" s="15"/>
      <c r="D238" s="15"/>
      <c r="E238" s="146"/>
      <c r="F238" s="139"/>
      <c r="G238" s="15"/>
      <c r="H238" s="43"/>
      <c r="I238" s="43"/>
      <c r="J238" s="43"/>
      <c r="K238" s="61"/>
      <c r="L238" s="139"/>
      <c r="M238" s="139"/>
      <c r="N238" s="145"/>
      <c r="O238" s="43"/>
      <c r="P238" s="145"/>
      <c r="Q238" s="43"/>
      <c r="R238" s="88"/>
      <c r="S238" s="40"/>
      <c r="T238" s="260"/>
      <c r="U238" s="40"/>
      <c r="V238" s="40"/>
      <c r="W238" s="40"/>
      <c r="X238" s="40"/>
      <c r="Y238" s="40"/>
      <c r="Z238" s="40"/>
      <c r="AA238" s="40"/>
      <c r="AB238" s="40"/>
      <c r="AC238" s="139"/>
      <c r="AD238" s="139"/>
      <c r="AE238" s="40"/>
      <c r="AF238" s="40"/>
      <c r="AG238" s="139"/>
      <c r="AH238" s="139"/>
      <c r="AI238" s="139"/>
      <c r="AJ238" s="43"/>
      <c r="AK238" s="43"/>
      <c r="AL238" s="139"/>
      <c r="AM238" s="43"/>
      <c r="AN238" s="43"/>
      <c r="AO238" s="139"/>
      <c r="AP238" s="43"/>
      <c r="AQ238" s="43"/>
      <c r="AR238" s="139"/>
      <c r="AS238" s="43"/>
      <c r="AT238" s="43"/>
      <c r="AU238" s="139"/>
      <c r="AV238" s="43"/>
      <c r="AW238" s="43"/>
      <c r="AX238" s="139"/>
      <c r="AY238" s="139"/>
      <c r="AZ238" s="43"/>
      <c r="BA238" s="139"/>
      <c r="BB238" s="139"/>
      <c r="BC238" s="139"/>
      <c r="BD238" s="139"/>
      <c r="BE238" s="139"/>
      <c r="BF238" s="43"/>
      <c r="BG238" s="139"/>
      <c r="BH238" s="139"/>
      <c r="BI238" s="43"/>
      <c r="BJ238" s="139"/>
      <c r="BK238" s="43"/>
      <c r="BL238" s="139"/>
      <c r="BM238" s="139"/>
      <c r="BN238" s="43"/>
      <c r="BO238" s="139"/>
      <c r="BP238" s="139"/>
      <c r="BQ238" s="43"/>
      <c r="BR238" s="43"/>
      <c r="BS238" s="139"/>
      <c r="BT238" s="43"/>
      <c r="BU238" s="43"/>
      <c r="BV238" s="139"/>
      <c r="BW238" s="43"/>
      <c r="BX238" s="43"/>
      <c r="BY238" s="139"/>
      <c r="BZ238" s="43"/>
      <c r="CA238" s="43"/>
      <c r="CB238" s="139"/>
      <c r="CC238" s="43"/>
      <c r="CD238" s="43"/>
      <c r="CE238" s="139"/>
      <c r="CF238" s="43"/>
      <c r="CG238" s="43"/>
      <c r="CH238" s="139"/>
      <c r="CI238" s="43"/>
      <c r="CJ238" s="43"/>
      <c r="CK238" s="139"/>
    </row>
    <row r="239" ht="15.75" customHeight="1">
      <c r="A239" s="43"/>
      <c r="B239" s="43"/>
      <c r="C239" s="15"/>
      <c r="D239" s="15"/>
      <c r="E239" s="146"/>
      <c r="F239" s="139"/>
      <c r="G239" s="15"/>
      <c r="H239" s="43"/>
      <c r="I239" s="43"/>
      <c r="J239" s="43"/>
      <c r="K239" s="61"/>
      <c r="L239" s="139"/>
      <c r="M239" s="139"/>
      <c r="N239" s="145"/>
      <c r="O239" s="43"/>
      <c r="P239" s="145"/>
      <c r="Q239" s="43"/>
      <c r="R239" s="88"/>
      <c r="S239" s="40"/>
      <c r="T239" s="260"/>
      <c r="U239" s="40"/>
      <c r="V239" s="40"/>
      <c r="W239" s="40"/>
      <c r="X239" s="40"/>
      <c r="Y239" s="40"/>
      <c r="Z239" s="40"/>
      <c r="AA239" s="40"/>
      <c r="AB239" s="40"/>
      <c r="AC239" s="139"/>
      <c r="AD239" s="139"/>
      <c r="AE239" s="40"/>
      <c r="AF239" s="40"/>
      <c r="AG239" s="139"/>
      <c r="AH239" s="139"/>
      <c r="AI239" s="139"/>
      <c r="AJ239" s="43"/>
      <c r="AK239" s="43"/>
      <c r="AL239" s="139"/>
      <c r="AM239" s="43"/>
      <c r="AN239" s="43"/>
      <c r="AO239" s="139"/>
      <c r="AP239" s="43"/>
      <c r="AQ239" s="43"/>
      <c r="AR239" s="139"/>
      <c r="AS239" s="43"/>
      <c r="AT239" s="43"/>
      <c r="AU239" s="139"/>
      <c r="AV239" s="43"/>
      <c r="AW239" s="43"/>
      <c r="AX239" s="139"/>
      <c r="AY239" s="139"/>
      <c r="AZ239" s="43"/>
      <c r="BA239" s="139"/>
      <c r="BB239" s="139"/>
      <c r="BC239" s="139"/>
      <c r="BD239" s="139"/>
      <c r="BE239" s="139"/>
      <c r="BF239" s="43"/>
      <c r="BG239" s="139"/>
      <c r="BH239" s="139"/>
      <c r="BI239" s="43"/>
      <c r="BJ239" s="139"/>
      <c r="BK239" s="43"/>
      <c r="BL239" s="139"/>
      <c r="BM239" s="139"/>
      <c r="BN239" s="43"/>
      <c r="BO239" s="139"/>
      <c r="BP239" s="139"/>
      <c r="BQ239" s="43"/>
      <c r="BR239" s="43"/>
      <c r="BS239" s="139"/>
      <c r="BT239" s="43"/>
      <c r="BU239" s="43"/>
      <c r="BV239" s="139"/>
      <c r="BW239" s="43"/>
      <c r="BX239" s="43"/>
      <c r="BY239" s="139"/>
      <c r="BZ239" s="43"/>
      <c r="CA239" s="43"/>
      <c r="CB239" s="139"/>
      <c r="CC239" s="43"/>
      <c r="CD239" s="43"/>
      <c r="CE239" s="139"/>
      <c r="CF239" s="43"/>
      <c r="CG239" s="43"/>
      <c r="CH239" s="139"/>
      <c r="CI239" s="43"/>
      <c r="CJ239" s="43"/>
      <c r="CK239" s="139"/>
    </row>
    <row r="240" ht="15.75" customHeight="1">
      <c r="A240" s="43"/>
      <c r="B240" s="43"/>
      <c r="C240" s="15"/>
      <c r="D240" s="15"/>
      <c r="E240" s="146"/>
      <c r="F240" s="139"/>
      <c r="G240" s="15"/>
      <c r="H240" s="43"/>
      <c r="I240" s="43"/>
      <c r="J240" s="43"/>
      <c r="K240" s="61"/>
      <c r="L240" s="139"/>
      <c r="M240" s="139"/>
      <c r="N240" s="145"/>
      <c r="O240" s="43"/>
      <c r="P240" s="145"/>
      <c r="Q240" s="43"/>
      <c r="R240" s="88"/>
      <c r="S240" s="40"/>
      <c r="T240" s="260"/>
      <c r="U240" s="40"/>
      <c r="V240" s="40"/>
      <c r="W240" s="40"/>
      <c r="X240" s="40"/>
      <c r="Y240" s="40"/>
      <c r="Z240" s="40"/>
      <c r="AA240" s="40"/>
      <c r="AB240" s="40"/>
      <c r="AC240" s="139"/>
      <c r="AD240" s="139"/>
      <c r="AE240" s="40"/>
      <c r="AF240" s="40"/>
      <c r="AG240" s="139"/>
      <c r="AH240" s="139"/>
      <c r="AI240" s="139"/>
      <c r="AJ240" s="43"/>
      <c r="AK240" s="43"/>
      <c r="AL240" s="139"/>
      <c r="AM240" s="43"/>
      <c r="AN240" s="43"/>
      <c r="AO240" s="139"/>
      <c r="AP240" s="43"/>
      <c r="AQ240" s="43"/>
      <c r="AR240" s="139"/>
      <c r="AS240" s="43"/>
      <c r="AT240" s="43"/>
      <c r="AU240" s="139"/>
      <c r="AV240" s="43"/>
      <c r="AW240" s="43"/>
      <c r="AX240" s="139"/>
      <c r="AY240" s="139"/>
      <c r="AZ240" s="43"/>
      <c r="BA240" s="139"/>
      <c r="BB240" s="139"/>
      <c r="BC240" s="139"/>
      <c r="BD240" s="139"/>
      <c r="BE240" s="139"/>
      <c r="BF240" s="43"/>
      <c r="BG240" s="139"/>
      <c r="BH240" s="139"/>
      <c r="BI240" s="43"/>
      <c r="BJ240" s="139"/>
      <c r="BK240" s="43"/>
      <c r="BL240" s="139"/>
      <c r="BM240" s="139"/>
      <c r="BN240" s="43"/>
      <c r="BO240" s="139"/>
      <c r="BP240" s="139"/>
      <c r="BQ240" s="43"/>
      <c r="BR240" s="43"/>
      <c r="BS240" s="139"/>
      <c r="BT240" s="43"/>
      <c r="BU240" s="43"/>
      <c r="BV240" s="139"/>
      <c r="BW240" s="43"/>
      <c r="BX240" s="43"/>
      <c r="BY240" s="139"/>
      <c r="BZ240" s="43"/>
      <c r="CA240" s="43"/>
      <c r="CB240" s="139"/>
      <c r="CC240" s="43"/>
      <c r="CD240" s="43"/>
      <c r="CE240" s="139"/>
      <c r="CF240" s="43"/>
      <c r="CG240" s="43"/>
      <c r="CH240" s="139"/>
      <c r="CI240" s="43"/>
      <c r="CJ240" s="43"/>
      <c r="CK240" s="139"/>
    </row>
    <row r="241" ht="15.75" customHeight="1">
      <c r="A241" s="43"/>
      <c r="B241" s="43"/>
      <c r="C241" s="15"/>
      <c r="D241" s="15"/>
      <c r="E241" s="146"/>
      <c r="F241" s="139"/>
      <c r="G241" s="15"/>
      <c r="H241" s="43"/>
      <c r="I241" s="43"/>
      <c r="J241" s="43"/>
      <c r="K241" s="61"/>
      <c r="L241" s="139"/>
      <c r="M241" s="139"/>
      <c r="N241" s="145"/>
      <c r="O241" s="43"/>
      <c r="P241" s="145"/>
      <c r="Q241" s="43"/>
      <c r="R241" s="88"/>
      <c r="S241" s="40"/>
      <c r="T241" s="260"/>
      <c r="U241" s="40"/>
      <c r="V241" s="40"/>
      <c r="W241" s="40"/>
      <c r="X241" s="40"/>
      <c r="Y241" s="40"/>
      <c r="Z241" s="40"/>
      <c r="AA241" s="40"/>
      <c r="AB241" s="40"/>
      <c r="AC241" s="139"/>
      <c r="AD241" s="139"/>
      <c r="AE241" s="40"/>
      <c r="AF241" s="40"/>
      <c r="AG241" s="139"/>
      <c r="AH241" s="139"/>
      <c r="AI241" s="139"/>
      <c r="AJ241" s="43"/>
      <c r="AK241" s="43"/>
      <c r="AL241" s="139"/>
      <c r="AM241" s="43"/>
      <c r="AN241" s="43"/>
      <c r="AO241" s="139"/>
      <c r="AP241" s="43"/>
      <c r="AQ241" s="43"/>
      <c r="AR241" s="139"/>
      <c r="AS241" s="43"/>
      <c r="AT241" s="43"/>
      <c r="AU241" s="139"/>
      <c r="AV241" s="43"/>
      <c r="AW241" s="43"/>
      <c r="AX241" s="139"/>
      <c r="AY241" s="139"/>
      <c r="AZ241" s="43"/>
      <c r="BA241" s="139"/>
      <c r="BB241" s="139"/>
      <c r="BC241" s="139"/>
      <c r="BD241" s="139"/>
      <c r="BE241" s="139"/>
      <c r="BF241" s="43"/>
      <c r="BG241" s="139"/>
      <c r="BH241" s="139"/>
      <c r="BI241" s="43"/>
      <c r="BJ241" s="139"/>
      <c r="BK241" s="43"/>
      <c r="BL241" s="139"/>
      <c r="BM241" s="139"/>
      <c r="BN241" s="43"/>
      <c r="BO241" s="139"/>
      <c r="BP241" s="139"/>
      <c r="BQ241" s="43"/>
      <c r="BR241" s="43"/>
      <c r="BS241" s="139"/>
      <c r="BT241" s="43"/>
      <c r="BU241" s="43"/>
      <c r="BV241" s="139"/>
      <c r="BW241" s="43"/>
      <c r="BX241" s="43"/>
      <c r="BY241" s="139"/>
      <c r="BZ241" s="43"/>
      <c r="CA241" s="43"/>
      <c r="CB241" s="139"/>
      <c r="CC241" s="43"/>
      <c r="CD241" s="43"/>
      <c r="CE241" s="139"/>
      <c r="CF241" s="43"/>
      <c r="CG241" s="43"/>
      <c r="CH241" s="139"/>
      <c r="CI241" s="43"/>
      <c r="CJ241" s="43"/>
      <c r="CK241" s="139"/>
    </row>
    <row r="242" ht="15.75" customHeight="1">
      <c r="A242" s="43"/>
      <c r="B242" s="43"/>
      <c r="C242" s="15"/>
      <c r="D242" s="15"/>
      <c r="E242" s="146"/>
      <c r="F242" s="139"/>
      <c r="G242" s="15"/>
      <c r="H242" s="43"/>
      <c r="I242" s="43"/>
      <c r="J242" s="43"/>
      <c r="K242" s="61"/>
      <c r="L242" s="139"/>
      <c r="M242" s="139"/>
      <c r="N242" s="145"/>
      <c r="O242" s="43"/>
      <c r="P242" s="145"/>
      <c r="Q242" s="43"/>
      <c r="R242" s="88"/>
      <c r="S242" s="40"/>
      <c r="T242" s="260"/>
      <c r="U242" s="40"/>
      <c r="V242" s="40"/>
      <c r="W242" s="40"/>
      <c r="X242" s="40"/>
      <c r="Y242" s="40"/>
      <c r="Z242" s="40"/>
      <c r="AA242" s="40"/>
      <c r="AB242" s="40"/>
      <c r="AC242" s="139"/>
      <c r="AD242" s="139"/>
      <c r="AE242" s="40"/>
      <c r="AF242" s="40"/>
      <c r="AG242" s="139"/>
      <c r="AH242" s="139"/>
      <c r="AI242" s="139"/>
      <c r="AJ242" s="43"/>
      <c r="AK242" s="43"/>
      <c r="AL242" s="139"/>
      <c r="AM242" s="43"/>
      <c r="AN242" s="43"/>
      <c r="AO242" s="139"/>
      <c r="AP242" s="43"/>
      <c r="AQ242" s="43"/>
      <c r="AR242" s="139"/>
      <c r="AS242" s="43"/>
      <c r="AT242" s="43"/>
      <c r="AU242" s="139"/>
      <c r="AV242" s="43"/>
      <c r="AW242" s="43"/>
      <c r="AX242" s="139"/>
      <c r="AY242" s="139"/>
      <c r="AZ242" s="43"/>
      <c r="BA242" s="139"/>
      <c r="BB242" s="139"/>
      <c r="BC242" s="139"/>
      <c r="BD242" s="139"/>
      <c r="BE242" s="139"/>
      <c r="BF242" s="43"/>
      <c r="BG242" s="139"/>
      <c r="BH242" s="139"/>
      <c r="BI242" s="43"/>
      <c r="BJ242" s="139"/>
      <c r="BK242" s="43"/>
      <c r="BL242" s="139"/>
      <c r="BM242" s="139"/>
      <c r="BN242" s="43"/>
      <c r="BO242" s="139"/>
      <c r="BP242" s="139"/>
      <c r="BQ242" s="43"/>
      <c r="BR242" s="43"/>
      <c r="BS242" s="139"/>
      <c r="BT242" s="43"/>
      <c r="BU242" s="43"/>
      <c r="BV242" s="139"/>
      <c r="BW242" s="43"/>
      <c r="BX242" s="43"/>
      <c r="BY242" s="139"/>
      <c r="BZ242" s="43"/>
      <c r="CA242" s="43"/>
      <c r="CB242" s="139"/>
      <c r="CC242" s="43"/>
      <c r="CD242" s="43"/>
      <c r="CE242" s="139"/>
      <c r="CF242" s="43"/>
      <c r="CG242" s="43"/>
      <c r="CH242" s="139"/>
      <c r="CI242" s="43"/>
      <c r="CJ242" s="43"/>
      <c r="CK242" s="139"/>
    </row>
    <row r="243" ht="15.75" customHeight="1">
      <c r="A243" s="43"/>
      <c r="B243" s="43"/>
      <c r="C243" s="15"/>
      <c r="D243" s="15"/>
      <c r="E243" s="146"/>
      <c r="F243" s="139"/>
      <c r="G243" s="15"/>
      <c r="H243" s="43"/>
      <c r="I243" s="43"/>
      <c r="J243" s="43"/>
      <c r="K243" s="61"/>
      <c r="L243" s="139"/>
      <c r="M243" s="139"/>
      <c r="N243" s="145"/>
      <c r="O243" s="43"/>
      <c r="P243" s="145"/>
      <c r="Q243" s="43"/>
      <c r="R243" s="88"/>
      <c r="S243" s="40"/>
      <c r="T243" s="260"/>
      <c r="U243" s="40"/>
      <c r="V243" s="40"/>
      <c r="W243" s="40"/>
      <c r="X243" s="40"/>
      <c r="Y243" s="40"/>
      <c r="Z243" s="40"/>
      <c r="AA243" s="40"/>
      <c r="AB243" s="40"/>
      <c r="AC243" s="139"/>
      <c r="AD243" s="139"/>
      <c r="AE243" s="40"/>
      <c r="AF243" s="40"/>
      <c r="AG243" s="139"/>
      <c r="AH243" s="139"/>
      <c r="AI243" s="139"/>
      <c r="AJ243" s="43"/>
      <c r="AK243" s="43"/>
      <c r="AL243" s="139"/>
      <c r="AM243" s="43"/>
      <c r="AN243" s="43"/>
      <c r="AO243" s="139"/>
      <c r="AP243" s="43"/>
      <c r="AQ243" s="43"/>
      <c r="AR243" s="139"/>
      <c r="AS243" s="43"/>
      <c r="AT243" s="43"/>
      <c r="AU243" s="139"/>
      <c r="AV243" s="43"/>
      <c r="AW243" s="43"/>
      <c r="AX243" s="139"/>
      <c r="AY243" s="139"/>
      <c r="AZ243" s="43"/>
      <c r="BA243" s="139"/>
      <c r="BB243" s="139"/>
      <c r="BC243" s="139"/>
      <c r="BD243" s="139"/>
      <c r="BE243" s="139"/>
      <c r="BF243" s="43"/>
      <c r="BG243" s="139"/>
      <c r="BH243" s="139"/>
      <c r="BI243" s="43"/>
      <c r="BJ243" s="139"/>
      <c r="BK243" s="43"/>
      <c r="BL243" s="139"/>
      <c r="BM243" s="139"/>
      <c r="BN243" s="43"/>
      <c r="BO243" s="139"/>
      <c r="BP243" s="139"/>
      <c r="BQ243" s="43"/>
      <c r="BR243" s="43"/>
      <c r="BS243" s="139"/>
      <c r="BT243" s="43"/>
      <c r="BU243" s="43"/>
      <c r="BV243" s="139"/>
      <c r="BW243" s="43"/>
      <c r="BX243" s="43"/>
      <c r="BY243" s="139"/>
      <c r="BZ243" s="43"/>
      <c r="CA243" s="43"/>
      <c r="CB243" s="139"/>
      <c r="CC243" s="43"/>
      <c r="CD243" s="43"/>
      <c r="CE243" s="139"/>
      <c r="CF243" s="43"/>
      <c r="CG243" s="43"/>
      <c r="CH243" s="139"/>
      <c r="CI243" s="43"/>
      <c r="CJ243" s="43"/>
      <c r="CK243" s="139"/>
    </row>
    <row r="244" ht="15.75" customHeight="1">
      <c r="A244" s="43"/>
      <c r="B244" s="43"/>
      <c r="C244" s="15"/>
      <c r="D244" s="15"/>
      <c r="E244" s="146"/>
      <c r="F244" s="139"/>
      <c r="G244" s="15"/>
      <c r="H244" s="43"/>
      <c r="I244" s="43"/>
      <c r="J244" s="43"/>
      <c r="K244" s="61"/>
      <c r="L244" s="139"/>
      <c r="M244" s="139"/>
      <c r="N244" s="145"/>
      <c r="O244" s="43"/>
      <c r="P244" s="145"/>
      <c r="Q244" s="43"/>
      <c r="R244" s="88"/>
      <c r="S244" s="40"/>
      <c r="T244" s="260"/>
      <c r="U244" s="40"/>
      <c r="V244" s="40"/>
      <c r="W244" s="40"/>
      <c r="X244" s="40"/>
      <c r="Y244" s="40"/>
      <c r="Z244" s="40"/>
      <c r="AA244" s="40"/>
      <c r="AB244" s="40"/>
      <c r="AC244" s="139"/>
      <c r="AD244" s="139"/>
      <c r="AE244" s="40"/>
      <c r="AF244" s="40"/>
      <c r="AG244" s="139"/>
      <c r="AH244" s="139"/>
      <c r="AI244" s="139"/>
      <c r="AJ244" s="43"/>
      <c r="AK244" s="43"/>
      <c r="AL244" s="139"/>
      <c r="AM244" s="43"/>
      <c r="AN244" s="43"/>
      <c r="AO244" s="139"/>
      <c r="AP244" s="43"/>
      <c r="AQ244" s="43"/>
      <c r="AR244" s="139"/>
      <c r="AS244" s="43"/>
      <c r="AT244" s="43"/>
      <c r="AU244" s="139"/>
      <c r="AV244" s="43"/>
      <c r="AW244" s="43"/>
      <c r="AX244" s="139"/>
      <c r="AY244" s="139"/>
      <c r="AZ244" s="43"/>
      <c r="BA244" s="139"/>
      <c r="BB244" s="139"/>
      <c r="BC244" s="139"/>
      <c r="BD244" s="139"/>
      <c r="BE244" s="139"/>
      <c r="BF244" s="43"/>
      <c r="BG244" s="139"/>
      <c r="BH244" s="139"/>
      <c r="BI244" s="43"/>
      <c r="BJ244" s="139"/>
      <c r="BK244" s="43"/>
      <c r="BL244" s="139"/>
      <c r="BM244" s="139"/>
      <c r="BN244" s="43"/>
      <c r="BO244" s="139"/>
      <c r="BP244" s="139"/>
      <c r="BQ244" s="43"/>
      <c r="BR244" s="43"/>
      <c r="BS244" s="139"/>
      <c r="BT244" s="43"/>
      <c r="BU244" s="43"/>
      <c r="BV244" s="139"/>
      <c r="BW244" s="43"/>
      <c r="BX244" s="43"/>
      <c r="BY244" s="139"/>
      <c r="BZ244" s="43"/>
      <c r="CA244" s="43"/>
      <c r="CB244" s="139"/>
      <c r="CC244" s="43"/>
      <c r="CD244" s="43"/>
      <c r="CE244" s="139"/>
      <c r="CF244" s="43"/>
      <c r="CG244" s="43"/>
      <c r="CH244" s="139"/>
      <c r="CI244" s="43"/>
      <c r="CJ244" s="43"/>
      <c r="CK244" s="139"/>
    </row>
    <row r="245" ht="15.75" customHeight="1">
      <c r="A245" s="43"/>
      <c r="B245" s="43"/>
      <c r="C245" s="15"/>
      <c r="D245" s="15"/>
      <c r="E245" s="146"/>
      <c r="F245" s="139"/>
      <c r="G245" s="15"/>
      <c r="H245" s="43"/>
      <c r="I245" s="43"/>
      <c r="J245" s="43"/>
      <c r="K245" s="61"/>
      <c r="L245" s="139"/>
      <c r="M245" s="139"/>
      <c r="N245" s="145"/>
      <c r="O245" s="43"/>
      <c r="P245" s="145"/>
      <c r="Q245" s="43"/>
      <c r="R245" s="88"/>
      <c r="S245" s="40"/>
      <c r="T245" s="260"/>
      <c r="U245" s="40"/>
      <c r="V245" s="40"/>
      <c r="W245" s="40"/>
      <c r="X245" s="40"/>
      <c r="Y245" s="40"/>
      <c r="Z245" s="40"/>
      <c r="AA245" s="40"/>
      <c r="AB245" s="40"/>
      <c r="AC245" s="139"/>
      <c r="AD245" s="139"/>
      <c r="AE245" s="40"/>
      <c r="AF245" s="40"/>
      <c r="AG245" s="139"/>
      <c r="AH245" s="139"/>
      <c r="AI245" s="139"/>
      <c r="AJ245" s="43"/>
      <c r="AK245" s="43"/>
      <c r="AL245" s="139"/>
      <c r="AM245" s="43"/>
      <c r="AN245" s="43"/>
      <c r="AO245" s="139"/>
      <c r="AP245" s="43"/>
      <c r="AQ245" s="43"/>
      <c r="AR245" s="139"/>
      <c r="AS245" s="43"/>
      <c r="AT245" s="43"/>
      <c r="AU245" s="139"/>
      <c r="AV245" s="43"/>
      <c r="AW245" s="43"/>
      <c r="AX245" s="139"/>
      <c r="AY245" s="139"/>
      <c r="AZ245" s="43"/>
      <c r="BA245" s="139"/>
      <c r="BB245" s="139"/>
      <c r="BC245" s="139"/>
      <c r="BD245" s="139"/>
      <c r="BE245" s="139"/>
      <c r="BF245" s="43"/>
      <c r="BG245" s="139"/>
      <c r="BH245" s="139"/>
      <c r="BI245" s="43"/>
      <c r="BJ245" s="139"/>
      <c r="BK245" s="43"/>
      <c r="BL245" s="139"/>
      <c r="BM245" s="139"/>
      <c r="BN245" s="43"/>
      <c r="BO245" s="139"/>
      <c r="BP245" s="139"/>
      <c r="BQ245" s="43"/>
      <c r="BR245" s="43"/>
      <c r="BS245" s="139"/>
      <c r="BT245" s="43"/>
      <c r="BU245" s="43"/>
      <c r="BV245" s="139"/>
      <c r="BW245" s="43"/>
      <c r="BX245" s="43"/>
      <c r="BY245" s="139"/>
      <c r="BZ245" s="43"/>
      <c r="CA245" s="43"/>
      <c r="CB245" s="139"/>
      <c r="CC245" s="43"/>
      <c r="CD245" s="43"/>
      <c r="CE245" s="139"/>
      <c r="CF245" s="43"/>
      <c r="CG245" s="43"/>
      <c r="CH245" s="139"/>
      <c r="CI245" s="43"/>
      <c r="CJ245" s="43"/>
      <c r="CK245" s="139"/>
    </row>
    <row r="246" ht="15.75" customHeight="1">
      <c r="A246" s="43"/>
      <c r="B246" s="43"/>
      <c r="C246" s="15"/>
      <c r="D246" s="15"/>
      <c r="E246" s="146"/>
      <c r="F246" s="139"/>
      <c r="G246" s="15"/>
      <c r="H246" s="43"/>
      <c r="I246" s="43"/>
      <c r="J246" s="43"/>
      <c r="K246" s="61"/>
      <c r="L246" s="139"/>
      <c r="M246" s="139"/>
      <c r="N246" s="145"/>
      <c r="O246" s="43"/>
      <c r="P246" s="145"/>
      <c r="Q246" s="43"/>
      <c r="R246" s="88"/>
      <c r="S246" s="40"/>
      <c r="T246" s="260"/>
      <c r="U246" s="40"/>
      <c r="V246" s="40"/>
      <c r="W246" s="40"/>
      <c r="X246" s="40"/>
      <c r="Y246" s="40"/>
      <c r="Z246" s="40"/>
      <c r="AA246" s="40"/>
      <c r="AB246" s="40"/>
      <c r="AC246" s="139"/>
      <c r="AD246" s="139"/>
      <c r="AE246" s="40"/>
      <c r="AF246" s="40"/>
      <c r="AG246" s="139"/>
      <c r="AH246" s="139"/>
      <c r="AI246" s="139"/>
      <c r="AJ246" s="43"/>
      <c r="AK246" s="43"/>
      <c r="AL246" s="139"/>
      <c r="AM246" s="43"/>
      <c r="AN246" s="43"/>
      <c r="AO246" s="139"/>
      <c r="AP246" s="43"/>
      <c r="AQ246" s="43"/>
      <c r="AR246" s="139"/>
      <c r="AS246" s="43"/>
      <c r="AT246" s="43"/>
      <c r="AU246" s="139"/>
      <c r="AV246" s="43"/>
      <c r="AW246" s="43"/>
      <c r="AX246" s="139"/>
      <c r="AY246" s="139"/>
      <c r="AZ246" s="43"/>
      <c r="BA246" s="139"/>
      <c r="BB246" s="139"/>
      <c r="BC246" s="139"/>
      <c r="BD246" s="139"/>
      <c r="BE246" s="139"/>
      <c r="BF246" s="43"/>
      <c r="BG246" s="139"/>
      <c r="BH246" s="139"/>
      <c r="BI246" s="43"/>
      <c r="BJ246" s="139"/>
      <c r="BK246" s="43"/>
      <c r="BL246" s="139"/>
      <c r="BM246" s="139"/>
      <c r="BN246" s="43"/>
      <c r="BO246" s="139"/>
      <c r="BP246" s="139"/>
      <c r="BQ246" s="43"/>
      <c r="BR246" s="43"/>
      <c r="BS246" s="139"/>
      <c r="BT246" s="43"/>
      <c r="BU246" s="43"/>
      <c r="BV246" s="139"/>
      <c r="BW246" s="43"/>
      <c r="BX246" s="43"/>
      <c r="BY246" s="139"/>
      <c r="BZ246" s="43"/>
      <c r="CA246" s="43"/>
      <c r="CB246" s="139"/>
      <c r="CC246" s="43"/>
      <c r="CD246" s="43"/>
      <c r="CE246" s="139"/>
      <c r="CF246" s="43"/>
      <c r="CG246" s="43"/>
      <c r="CH246" s="139"/>
      <c r="CI246" s="43"/>
      <c r="CJ246" s="43"/>
      <c r="CK246" s="139"/>
    </row>
    <row r="247" ht="15.75" customHeight="1">
      <c r="A247" s="43"/>
      <c r="B247" s="43"/>
      <c r="C247" s="15"/>
      <c r="D247" s="15"/>
      <c r="E247" s="146"/>
      <c r="F247" s="139"/>
      <c r="G247" s="15"/>
      <c r="H247" s="43"/>
      <c r="I247" s="43"/>
      <c r="J247" s="43"/>
      <c r="K247" s="61"/>
      <c r="L247" s="139"/>
      <c r="M247" s="139"/>
      <c r="N247" s="145"/>
      <c r="O247" s="43"/>
      <c r="P247" s="145"/>
      <c r="Q247" s="43"/>
      <c r="R247" s="88"/>
      <c r="S247" s="40"/>
      <c r="T247" s="260"/>
      <c r="U247" s="40"/>
      <c r="V247" s="40"/>
      <c r="W247" s="40"/>
      <c r="X247" s="40"/>
      <c r="Y247" s="40"/>
      <c r="Z247" s="40"/>
      <c r="AA247" s="40"/>
      <c r="AB247" s="40"/>
      <c r="AC247" s="139"/>
      <c r="AD247" s="139"/>
      <c r="AE247" s="40"/>
      <c r="AF247" s="40"/>
      <c r="AG247" s="139"/>
      <c r="AH247" s="139"/>
      <c r="AI247" s="139"/>
      <c r="AJ247" s="43"/>
      <c r="AK247" s="43"/>
      <c r="AL247" s="139"/>
      <c r="AM247" s="43"/>
      <c r="AN247" s="43"/>
      <c r="AO247" s="139"/>
      <c r="AP247" s="43"/>
      <c r="AQ247" s="43"/>
      <c r="AR247" s="139"/>
      <c r="AS247" s="43"/>
      <c r="AT247" s="43"/>
      <c r="AU247" s="139"/>
      <c r="AV247" s="43"/>
      <c r="AW247" s="43"/>
      <c r="AX247" s="139"/>
      <c r="AY247" s="139"/>
      <c r="AZ247" s="43"/>
      <c r="BA247" s="139"/>
      <c r="BB247" s="139"/>
      <c r="BC247" s="139"/>
      <c r="BD247" s="139"/>
      <c r="BE247" s="139"/>
      <c r="BF247" s="43"/>
      <c r="BG247" s="139"/>
      <c r="BH247" s="139"/>
      <c r="BI247" s="43"/>
      <c r="BJ247" s="139"/>
      <c r="BK247" s="43"/>
      <c r="BL247" s="139"/>
      <c r="BM247" s="139"/>
      <c r="BN247" s="43"/>
      <c r="BO247" s="139"/>
      <c r="BP247" s="139"/>
      <c r="BQ247" s="43"/>
      <c r="BR247" s="43"/>
      <c r="BS247" s="139"/>
      <c r="BT247" s="43"/>
      <c r="BU247" s="43"/>
      <c r="BV247" s="139"/>
      <c r="BW247" s="43"/>
      <c r="BX247" s="43"/>
      <c r="BY247" s="139"/>
      <c r="BZ247" s="43"/>
      <c r="CA247" s="43"/>
      <c r="CB247" s="139"/>
      <c r="CC247" s="43"/>
      <c r="CD247" s="43"/>
      <c r="CE247" s="139"/>
      <c r="CF247" s="43"/>
      <c r="CG247" s="43"/>
      <c r="CH247" s="139"/>
      <c r="CI247" s="43"/>
      <c r="CJ247" s="43"/>
      <c r="CK247" s="139"/>
    </row>
    <row r="248" ht="15.75" customHeight="1">
      <c r="A248" s="43"/>
      <c r="B248" s="43"/>
      <c r="C248" s="15"/>
      <c r="D248" s="15"/>
      <c r="E248" s="146"/>
      <c r="F248" s="139"/>
      <c r="G248" s="15"/>
      <c r="H248" s="43"/>
      <c r="I248" s="43"/>
      <c r="J248" s="43"/>
      <c r="K248" s="61"/>
      <c r="L248" s="139"/>
      <c r="M248" s="139"/>
      <c r="N248" s="145"/>
      <c r="O248" s="43"/>
      <c r="P248" s="145"/>
      <c r="Q248" s="43"/>
      <c r="R248" s="88"/>
      <c r="S248" s="40"/>
      <c r="T248" s="260"/>
      <c r="U248" s="40"/>
      <c r="V248" s="40"/>
      <c r="W248" s="40"/>
      <c r="X248" s="40"/>
      <c r="Y248" s="40"/>
      <c r="Z248" s="40"/>
      <c r="AA248" s="40"/>
      <c r="AB248" s="40"/>
      <c r="AC248" s="139"/>
      <c r="AD248" s="139"/>
      <c r="AE248" s="40"/>
      <c r="AF248" s="40"/>
      <c r="AG248" s="139"/>
      <c r="AH248" s="139"/>
      <c r="AI248" s="139"/>
      <c r="AJ248" s="43"/>
      <c r="AK248" s="43"/>
      <c r="AL248" s="139"/>
      <c r="AM248" s="43"/>
      <c r="AN248" s="43"/>
      <c r="AO248" s="139"/>
      <c r="AP248" s="43"/>
      <c r="AQ248" s="43"/>
      <c r="AR248" s="139"/>
      <c r="AS248" s="43"/>
      <c r="AT248" s="43"/>
      <c r="AU248" s="139"/>
      <c r="AV248" s="43"/>
      <c r="AW248" s="43"/>
      <c r="AX248" s="139"/>
      <c r="AY248" s="139"/>
      <c r="AZ248" s="43"/>
      <c r="BA248" s="139"/>
      <c r="BB248" s="139"/>
      <c r="BC248" s="139"/>
      <c r="BD248" s="139"/>
      <c r="BE248" s="139"/>
      <c r="BF248" s="43"/>
      <c r="BG248" s="139"/>
      <c r="BH248" s="139"/>
      <c r="BI248" s="43"/>
      <c r="BJ248" s="139"/>
      <c r="BK248" s="43"/>
      <c r="BL248" s="139"/>
      <c r="BM248" s="139"/>
      <c r="BN248" s="43"/>
      <c r="BO248" s="139"/>
      <c r="BP248" s="139"/>
      <c r="BQ248" s="43"/>
      <c r="BR248" s="43"/>
      <c r="BS248" s="139"/>
      <c r="BT248" s="43"/>
      <c r="BU248" s="43"/>
      <c r="BV248" s="139"/>
      <c r="BW248" s="43"/>
      <c r="BX248" s="43"/>
      <c r="BY248" s="139"/>
      <c r="BZ248" s="43"/>
      <c r="CA248" s="43"/>
      <c r="CB248" s="139"/>
      <c r="CC248" s="43"/>
      <c r="CD248" s="43"/>
      <c r="CE248" s="139"/>
      <c r="CF248" s="43"/>
      <c r="CG248" s="43"/>
      <c r="CH248" s="139"/>
      <c r="CI248" s="43"/>
      <c r="CJ248" s="43"/>
      <c r="CK248" s="139"/>
    </row>
    <row r="249" ht="15.75" customHeight="1">
      <c r="A249" s="43"/>
      <c r="B249" s="43"/>
      <c r="C249" s="15"/>
      <c r="D249" s="15"/>
      <c r="E249" s="146"/>
      <c r="F249" s="139"/>
      <c r="G249" s="15"/>
      <c r="H249" s="43"/>
      <c r="I249" s="43"/>
      <c r="J249" s="43"/>
      <c r="K249" s="61"/>
      <c r="L249" s="139"/>
      <c r="M249" s="139"/>
      <c r="N249" s="145"/>
      <c r="O249" s="43"/>
      <c r="P249" s="145"/>
      <c r="Q249" s="43"/>
      <c r="R249" s="88"/>
      <c r="S249" s="40"/>
      <c r="T249" s="260"/>
      <c r="U249" s="40"/>
      <c r="V249" s="40"/>
      <c r="W249" s="40"/>
      <c r="X249" s="40"/>
      <c r="Y249" s="40"/>
      <c r="Z249" s="40"/>
      <c r="AA249" s="40"/>
      <c r="AB249" s="40"/>
      <c r="AC249" s="139"/>
      <c r="AD249" s="139"/>
      <c r="AE249" s="40"/>
      <c r="AF249" s="40"/>
      <c r="AG249" s="139"/>
      <c r="AH249" s="139"/>
      <c r="AI249" s="139"/>
      <c r="AJ249" s="43"/>
      <c r="AK249" s="43"/>
      <c r="AL249" s="139"/>
      <c r="AM249" s="43"/>
      <c r="AN249" s="43"/>
      <c r="AO249" s="139"/>
      <c r="AP249" s="43"/>
      <c r="AQ249" s="43"/>
      <c r="AR249" s="139"/>
      <c r="AS249" s="43"/>
      <c r="AT249" s="43"/>
      <c r="AU249" s="139"/>
      <c r="AV249" s="43"/>
      <c r="AW249" s="43"/>
      <c r="AX249" s="139"/>
      <c r="AY249" s="139"/>
      <c r="AZ249" s="43"/>
      <c r="BA249" s="139"/>
      <c r="BB249" s="139"/>
      <c r="BC249" s="139"/>
      <c r="BD249" s="139"/>
      <c r="BE249" s="139"/>
      <c r="BF249" s="43"/>
      <c r="BG249" s="139"/>
      <c r="BH249" s="139"/>
      <c r="BI249" s="43"/>
      <c r="BJ249" s="139"/>
      <c r="BK249" s="43"/>
      <c r="BL249" s="139"/>
      <c r="BM249" s="139"/>
      <c r="BN249" s="43"/>
      <c r="BO249" s="139"/>
      <c r="BP249" s="139"/>
      <c r="BQ249" s="43"/>
      <c r="BR249" s="43"/>
      <c r="BS249" s="139"/>
      <c r="BT249" s="43"/>
      <c r="BU249" s="43"/>
      <c r="BV249" s="139"/>
      <c r="BW249" s="43"/>
      <c r="BX249" s="43"/>
      <c r="BY249" s="139"/>
      <c r="BZ249" s="43"/>
      <c r="CA249" s="43"/>
      <c r="CB249" s="139"/>
      <c r="CC249" s="43"/>
      <c r="CD249" s="43"/>
      <c r="CE249" s="139"/>
      <c r="CF249" s="43"/>
      <c r="CG249" s="43"/>
      <c r="CH249" s="139"/>
      <c r="CI249" s="43"/>
      <c r="CJ249" s="43"/>
      <c r="CK249" s="139"/>
    </row>
    <row r="250" ht="15.75" customHeight="1">
      <c r="A250" s="43"/>
      <c r="B250" s="43"/>
      <c r="C250" s="15"/>
      <c r="D250" s="15"/>
      <c r="E250" s="146"/>
      <c r="F250" s="139"/>
      <c r="G250" s="15"/>
      <c r="H250" s="43"/>
      <c r="I250" s="43"/>
      <c r="J250" s="43"/>
      <c r="K250" s="61"/>
      <c r="L250" s="139"/>
      <c r="M250" s="139"/>
      <c r="N250" s="145"/>
      <c r="O250" s="43"/>
      <c r="P250" s="145"/>
      <c r="Q250" s="43"/>
      <c r="R250" s="88"/>
      <c r="S250" s="40"/>
      <c r="T250" s="260"/>
      <c r="U250" s="40"/>
      <c r="V250" s="40"/>
      <c r="W250" s="40"/>
      <c r="X250" s="40"/>
      <c r="Y250" s="40"/>
      <c r="Z250" s="40"/>
      <c r="AA250" s="40"/>
      <c r="AB250" s="40"/>
      <c r="AC250" s="139"/>
      <c r="AD250" s="139"/>
      <c r="AE250" s="40"/>
      <c r="AF250" s="40"/>
      <c r="AG250" s="139"/>
      <c r="AH250" s="139"/>
      <c r="AI250" s="139"/>
      <c r="AJ250" s="43"/>
      <c r="AK250" s="43"/>
      <c r="AL250" s="139"/>
      <c r="AM250" s="43"/>
      <c r="AN250" s="43"/>
      <c r="AO250" s="139"/>
      <c r="AP250" s="43"/>
      <c r="AQ250" s="43"/>
      <c r="AR250" s="139"/>
      <c r="AS250" s="43"/>
      <c r="AT250" s="43"/>
      <c r="AU250" s="139"/>
      <c r="AV250" s="43"/>
      <c r="AW250" s="43"/>
      <c r="AX250" s="139"/>
      <c r="AY250" s="139"/>
      <c r="AZ250" s="43"/>
      <c r="BA250" s="139"/>
      <c r="BB250" s="139"/>
      <c r="BC250" s="139"/>
      <c r="BD250" s="139"/>
      <c r="BE250" s="139"/>
      <c r="BF250" s="43"/>
      <c r="BG250" s="139"/>
      <c r="BH250" s="139"/>
      <c r="BI250" s="43"/>
      <c r="BJ250" s="139"/>
      <c r="BK250" s="43"/>
      <c r="BL250" s="139"/>
      <c r="BM250" s="139"/>
      <c r="BN250" s="43"/>
      <c r="BO250" s="139"/>
      <c r="BP250" s="139"/>
      <c r="BQ250" s="43"/>
      <c r="BR250" s="43"/>
      <c r="BS250" s="139"/>
      <c r="BT250" s="43"/>
      <c r="BU250" s="43"/>
      <c r="BV250" s="139"/>
      <c r="BW250" s="43"/>
      <c r="BX250" s="43"/>
      <c r="BY250" s="139"/>
      <c r="BZ250" s="43"/>
      <c r="CA250" s="43"/>
      <c r="CB250" s="139"/>
      <c r="CC250" s="43"/>
      <c r="CD250" s="43"/>
      <c r="CE250" s="139"/>
      <c r="CF250" s="43"/>
      <c r="CG250" s="43"/>
      <c r="CH250" s="139"/>
      <c r="CI250" s="43"/>
      <c r="CJ250" s="43"/>
      <c r="CK250" s="139"/>
    </row>
    <row r="251" ht="15.75" customHeight="1">
      <c r="A251" s="43"/>
      <c r="B251" s="43"/>
      <c r="C251" s="15"/>
      <c r="D251" s="15"/>
      <c r="E251" s="146"/>
      <c r="F251" s="139"/>
      <c r="G251" s="15"/>
      <c r="H251" s="43"/>
      <c r="I251" s="43"/>
      <c r="J251" s="43"/>
      <c r="K251" s="61"/>
      <c r="L251" s="139"/>
      <c r="M251" s="139"/>
      <c r="N251" s="145"/>
      <c r="O251" s="43"/>
      <c r="P251" s="145"/>
      <c r="Q251" s="43"/>
      <c r="R251" s="88"/>
      <c r="S251" s="40"/>
      <c r="T251" s="260"/>
      <c r="U251" s="40"/>
      <c r="V251" s="40"/>
      <c r="W251" s="40"/>
      <c r="X251" s="40"/>
      <c r="Y251" s="40"/>
      <c r="Z251" s="40"/>
      <c r="AA251" s="40"/>
      <c r="AB251" s="40"/>
      <c r="AC251" s="139"/>
      <c r="AD251" s="139"/>
      <c r="AE251" s="40"/>
      <c r="AF251" s="40"/>
      <c r="AG251" s="139"/>
      <c r="AH251" s="139"/>
      <c r="AI251" s="139"/>
      <c r="AJ251" s="43"/>
      <c r="AK251" s="43"/>
      <c r="AL251" s="139"/>
      <c r="AM251" s="43"/>
      <c r="AN251" s="43"/>
      <c r="AO251" s="139"/>
      <c r="AP251" s="43"/>
      <c r="AQ251" s="43"/>
      <c r="AR251" s="139"/>
      <c r="AS251" s="43"/>
      <c r="AT251" s="43"/>
      <c r="AU251" s="139"/>
      <c r="AV251" s="43"/>
      <c r="AW251" s="43"/>
      <c r="AX251" s="139"/>
      <c r="AY251" s="139"/>
      <c r="AZ251" s="43"/>
      <c r="BA251" s="139"/>
      <c r="BB251" s="139"/>
      <c r="BC251" s="139"/>
      <c r="BD251" s="139"/>
      <c r="BE251" s="139"/>
      <c r="BF251" s="43"/>
      <c r="BG251" s="139"/>
      <c r="BH251" s="139"/>
      <c r="BI251" s="43"/>
      <c r="BJ251" s="139"/>
      <c r="BK251" s="43"/>
      <c r="BL251" s="139"/>
      <c r="BM251" s="139"/>
      <c r="BN251" s="43"/>
      <c r="BO251" s="139"/>
      <c r="BP251" s="139"/>
      <c r="BQ251" s="43"/>
      <c r="BR251" s="43"/>
      <c r="BS251" s="139"/>
      <c r="BT251" s="43"/>
      <c r="BU251" s="43"/>
      <c r="BV251" s="139"/>
      <c r="BW251" s="43"/>
      <c r="BX251" s="43"/>
      <c r="BY251" s="139"/>
      <c r="BZ251" s="43"/>
      <c r="CA251" s="43"/>
      <c r="CB251" s="139"/>
      <c r="CC251" s="43"/>
      <c r="CD251" s="43"/>
      <c r="CE251" s="139"/>
      <c r="CF251" s="43"/>
      <c r="CG251" s="43"/>
      <c r="CH251" s="139"/>
      <c r="CI251" s="43"/>
      <c r="CJ251" s="43"/>
      <c r="CK251" s="139"/>
    </row>
    <row r="252" ht="15.75" customHeight="1">
      <c r="A252" s="43"/>
      <c r="B252" s="43"/>
      <c r="C252" s="15"/>
      <c r="D252" s="15"/>
      <c r="E252" s="146"/>
      <c r="F252" s="139"/>
      <c r="G252" s="15"/>
      <c r="H252" s="43"/>
      <c r="I252" s="43"/>
      <c r="J252" s="43"/>
      <c r="K252" s="61"/>
      <c r="L252" s="139"/>
      <c r="M252" s="139"/>
      <c r="N252" s="145"/>
      <c r="O252" s="43"/>
      <c r="P252" s="145"/>
      <c r="Q252" s="43"/>
      <c r="R252" s="88"/>
      <c r="S252" s="40"/>
      <c r="T252" s="260"/>
      <c r="U252" s="40"/>
      <c r="V252" s="40"/>
      <c r="W252" s="40"/>
      <c r="X252" s="40"/>
      <c r="Y252" s="40"/>
      <c r="Z252" s="40"/>
      <c r="AA252" s="40"/>
      <c r="AB252" s="40"/>
      <c r="AC252" s="139"/>
      <c r="AD252" s="139"/>
      <c r="AE252" s="40"/>
      <c r="AF252" s="40"/>
      <c r="AG252" s="139"/>
      <c r="AH252" s="139"/>
      <c r="AI252" s="139"/>
      <c r="AJ252" s="43"/>
      <c r="AK252" s="43"/>
      <c r="AL252" s="139"/>
      <c r="AM252" s="43"/>
      <c r="AN252" s="43"/>
      <c r="AO252" s="139"/>
      <c r="AP252" s="43"/>
      <c r="AQ252" s="43"/>
      <c r="AR252" s="139"/>
      <c r="AS252" s="43"/>
      <c r="AT252" s="43"/>
      <c r="AU252" s="139"/>
      <c r="AV252" s="43"/>
      <c r="AW252" s="43"/>
      <c r="AX252" s="139"/>
      <c r="AY252" s="139"/>
      <c r="AZ252" s="43"/>
      <c r="BA252" s="139"/>
      <c r="BB252" s="139"/>
      <c r="BC252" s="139"/>
      <c r="BD252" s="139"/>
      <c r="BE252" s="139"/>
      <c r="BF252" s="43"/>
      <c r="BG252" s="139"/>
      <c r="BH252" s="139"/>
      <c r="BI252" s="43"/>
      <c r="BJ252" s="139"/>
      <c r="BK252" s="43"/>
      <c r="BL252" s="139"/>
      <c r="BM252" s="139"/>
      <c r="BN252" s="43"/>
      <c r="BO252" s="139"/>
      <c r="BP252" s="139"/>
      <c r="BQ252" s="43"/>
      <c r="BR252" s="43"/>
      <c r="BS252" s="139"/>
      <c r="BT252" s="43"/>
      <c r="BU252" s="43"/>
      <c r="BV252" s="139"/>
      <c r="BW252" s="43"/>
      <c r="BX252" s="43"/>
      <c r="BY252" s="139"/>
      <c r="BZ252" s="43"/>
      <c r="CA252" s="43"/>
      <c r="CB252" s="139"/>
      <c r="CC252" s="43"/>
      <c r="CD252" s="43"/>
      <c r="CE252" s="139"/>
      <c r="CF252" s="43"/>
      <c r="CG252" s="43"/>
      <c r="CH252" s="139"/>
      <c r="CI252" s="43"/>
      <c r="CJ252" s="43"/>
      <c r="CK252" s="139"/>
    </row>
    <row r="253" ht="15.75" customHeight="1">
      <c r="A253" s="43"/>
      <c r="B253" s="43"/>
      <c r="C253" s="15"/>
      <c r="D253" s="15"/>
      <c r="E253" s="146"/>
      <c r="F253" s="139"/>
      <c r="G253" s="15"/>
      <c r="H253" s="43"/>
      <c r="I253" s="43"/>
      <c r="J253" s="43"/>
      <c r="K253" s="61"/>
      <c r="L253" s="139"/>
      <c r="M253" s="139"/>
      <c r="N253" s="145"/>
      <c r="O253" s="43"/>
      <c r="P253" s="145"/>
      <c r="Q253" s="43"/>
      <c r="R253" s="88"/>
      <c r="S253" s="40"/>
      <c r="T253" s="260"/>
      <c r="U253" s="40"/>
      <c r="V253" s="40"/>
      <c r="W253" s="40"/>
      <c r="X253" s="40"/>
      <c r="Y253" s="40"/>
      <c r="Z253" s="40"/>
      <c r="AA253" s="40"/>
      <c r="AB253" s="40"/>
      <c r="AC253" s="139"/>
      <c r="AD253" s="139"/>
      <c r="AE253" s="40"/>
      <c r="AF253" s="40"/>
      <c r="AG253" s="139"/>
      <c r="AH253" s="139"/>
      <c r="AI253" s="139"/>
      <c r="AJ253" s="43"/>
      <c r="AK253" s="43"/>
      <c r="AL253" s="139"/>
      <c r="AM253" s="43"/>
      <c r="AN253" s="43"/>
      <c r="AO253" s="139"/>
      <c r="AP253" s="43"/>
      <c r="AQ253" s="43"/>
      <c r="AR253" s="139"/>
      <c r="AS253" s="43"/>
      <c r="AT253" s="43"/>
      <c r="AU253" s="139"/>
      <c r="AV253" s="43"/>
      <c r="AW253" s="43"/>
      <c r="AX253" s="139"/>
      <c r="AY253" s="139"/>
      <c r="AZ253" s="43"/>
      <c r="BA253" s="139"/>
      <c r="BB253" s="139"/>
      <c r="BC253" s="139"/>
      <c r="BD253" s="139"/>
      <c r="BE253" s="139"/>
      <c r="BF253" s="43"/>
      <c r="BG253" s="139"/>
      <c r="BH253" s="139"/>
      <c r="BI253" s="43"/>
      <c r="BJ253" s="139"/>
      <c r="BK253" s="43"/>
      <c r="BL253" s="139"/>
      <c r="BM253" s="139"/>
      <c r="BN253" s="43"/>
      <c r="BO253" s="139"/>
      <c r="BP253" s="139"/>
      <c r="BQ253" s="43"/>
      <c r="BR253" s="43"/>
      <c r="BS253" s="139"/>
      <c r="BT253" s="43"/>
      <c r="BU253" s="43"/>
      <c r="BV253" s="139"/>
      <c r="BW253" s="43"/>
      <c r="BX253" s="43"/>
      <c r="BY253" s="139"/>
      <c r="BZ253" s="43"/>
      <c r="CA253" s="43"/>
      <c r="CB253" s="139"/>
      <c r="CC253" s="43"/>
      <c r="CD253" s="43"/>
      <c r="CE253" s="139"/>
      <c r="CF253" s="43"/>
      <c r="CG253" s="43"/>
      <c r="CH253" s="139"/>
      <c r="CI253" s="43"/>
      <c r="CJ253" s="43"/>
      <c r="CK253" s="139"/>
    </row>
    <row r="254" ht="15.75" customHeight="1">
      <c r="A254" s="43"/>
      <c r="B254" s="43"/>
      <c r="C254" s="15"/>
      <c r="D254" s="15"/>
      <c r="E254" s="146"/>
      <c r="F254" s="139"/>
      <c r="G254" s="15"/>
      <c r="H254" s="43"/>
      <c r="I254" s="43"/>
      <c r="J254" s="43"/>
      <c r="K254" s="61"/>
      <c r="L254" s="139"/>
      <c r="M254" s="139"/>
      <c r="N254" s="145"/>
      <c r="O254" s="43"/>
      <c r="P254" s="145"/>
      <c r="Q254" s="43"/>
      <c r="R254" s="88"/>
      <c r="S254" s="40"/>
      <c r="T254" s="260"/>
      <c r="U254" s="40"/>
      <c r="V254" s="40"/>
      <c r="W254" s="40"/>
      <c r="X254" s="40"/>
      <c r="Y254" s="40"/>
      <c r="Z254" s="40"/>
      <c r="AA254" s="40"/>
      <c r="AB254" s="40"/>
      <c r="AC254" s="139"/>
      <c r="AD254" s="139"/>
      <c r="AE254" s="40"/>
      <c r="AF254" s="40"/>
      <c r="AG254" s="139"/>
      <c r="AH254" s="139"/>
      <c r="AI254" s="139"/>
      <c r="AJ254" s="43"/>
      <c r="AK254" s="43"/>
      <c r="AL254" s="139"/>
      <c r="AM254" s="43"/>
      <c r="AN254" s="43"/>
      <c r="AO254" s="139"/>
      <c r="AP254" s="43"/>
      <c r="AQ254" s="43"/>
      <c r="AR254" s="139"/>
      <c r="AS254" s="43"/>
      <c r="AT254" s="43"/>
      <c r="AU254" s="139"/>
      <c r="AV254" s="43"/>
      <c r="AW254" s="43"/>
      <c r="AX254" s="139"/>
      <c r="AY254" s="139"/>
      <c r="AZ254" s="43"/>
      <c r="BA254" s="139"/>
      <c r="BB254" s="139"/>
      <c r="BC254" s="139"/>
      <c r="BD254" s="139"/>
      <c r="BE254" s="139"/>
      <c r="BF254" s="43"/>
      <c r="BG254" s="139"/>
      <c r="BH254" s="139"/>
      <c r="BI254" s="43"/>
      <c r="BJ254" s="139"/>
      <c r="BK254" s="43"/>
      <c r="BL254" s="139"/>
      <c r="BM254" s="139"/>
      <c r="BN254" s="43"/>
      <c r="BO254" s="139"/>
      <c r="BP254" s="139"/>
      <c r="BQ254" s="43"/>
      <c r="BR254" s="43"/>
      <c r="BS254" s="139"/>
      <c r="BT254" s="43"/>
      <c r="BU254" s="43"/>
      <c r="BV254" s="139"/>
      <c r="BW254" s="43"/>
      <c r="BX254" s="43"/>
      <c r="BY254" s="139"/>
      <c r="BZ254" s="43"/>
      <c r="CA254" s="43"/>
      <c r="CB254" s="139"/>
      <c r="CC254" s="43"/>
      <c r="CD254" s="43"/>
      <c r="CE254" s="139"/>
      <c r="CF254" s="43"/>
      <c r="CG254" s="43"/>
      <c r="CH254" s="139"/>
      <c r="CI254" s="43"/>
      <c r="CJ254" s="43"/>
      <c r="CK254" s="139"/>
    </row>
    <row r="255" ht="15.75" customHeight="1">
      <c r="A255" s="43"/>
      <c r="B255" s="43"/>
      <c r="C255" s="15"/>
      <c r="D255" s="15"/>
      <c r="E255" s="146"/>
      <c r="F255" s="139"/>
      <c r="G255" s="15"/>
      <c r="H255" s="43"/>
      <c r="I255" s="43"/>
      <c r="J255" s="43"/>
      <c r="K255" s="61"/>
      <c r="L255" s="139"/>
      <c r="M255" s="139"/>
      <c r="N255" s="145"/>
      <c r="O255" s="43"/>
      <c r="P255" s="145"/>
      <c r="Q255" s="43"/>
      <c r="R255" s="88"/>
      <c r="S255" s="40"/>
      <c r="T255" s="260"/>
      <c r="U255" s="40"/>
      <c r="V255" s="40"/>
      <c r="W255" s="40"/>
      <c r="X255" s="40"/>
      <c r="Y255" s="40"/>
      <c r="Z255" s="40"/>
      <c r="AA255" s="40"/>
      <c r="AB255" s="40"/>
      <c r="AC255" s="139"/>
      <c r="AD255" s="139"/>
      <c r="AE255" s="40"/>
      <c r="AF255" s="40"/>
      <c r="AG255" s="139"/>
      <c r="AH255" s="139"/>
      <c r="AI255" s="139"/>
      <c r="AJ255" s="43"/>
      <c r="AK255" s="43"/>
      <c r="AL255" s="139"/>
      <c r="AM255" s="43"/>
      <c r="AN255" s="43"/>
      <c r="AO255" s="139"/>
      <c r="AP255" s="43"/>
      <c r="AQ255" s="43"/>
      <c r="AR255" s="139"/>
      <c r="AS255" s="43"/>
      <c r="AT255" s="43"/>
      <c r="AU255" s="139"/>
      <c r="AV255" s="43"/>
      <c r="AW255" s="43"/>
      <c r="AX255" s="139"/>
      <c r="AY255" s="139"/>
      <c r="AZ255" s="43"/>
      <c r="BA255" s="139"/>
      <c r="BB255" s="139"/>
      <c r="BC255" s="139"/>
      <c r="BD255" s="139"/>
      <c r="BE255" s="139"/>
      <c r="BF255" s="43"/>
      <c r="BG255" s="139"/>
      <c r="BH255" s="139"/>
      <c r="BI255" s="43"/>
      <c r="BJ255" s="139"/>
      <c r="BK255" s="43"/>
      <c r="BL255" s="139"/>
      <c r="BM255" s="139"/>
      <c r="BN255" s="43"/>
      <c r="BO255" s="139"/>
      <c r="BP255" s="139"/>
      <c r="BQ255" s="43"/>
      <c r="BR255" s="43"/>
      <c r="BS255" s="139"/>
      <c r="BT255" s="43"/>
      <c r="BU255" s="43"/>
      <c r="BV255" s="139"/>
      <c r="BW255" s="43"/>
      <c r="BX255" s="43"/>
      <c r="BY255" s="139"/>
      <c r="BZ255" s="43"/>
      <c r="CA255" s="43"/>
      <c r="CB255" s="139"/>
      <c r="CC255" s="43"/>
      <c r="CD255" s="43"/>
      <c r="CE255" s="139"/>
      <c r="CF255" s="43"/>
      <c r="CG255" s="43"/>
      <c r="CH255" s="139"/>
      <c r="CI255" s="43"/>
      <c r="CJ255" s="43"/>
      <c r="CK255" s="139"/>
    </row>
    <row r="256" ht="15.75" customHeight="1">
      <c r="A256" s="43"/>
      <c r="B256" s="43"/>
      <c r="C256" s="15"/>
      <c r="D256" s="15"/>
      <c r="E256" s="146"/>
      <c r="F256" s="139"/>
      <c r="G256" s="15"/>
      <c r="H256" s="43"/>
      <c r="I256" s="43"/>
      <c r="J256" s="43"/>
      <c r="K256" s="61"/>
      <c r="L256" s="139"/>
      <c r="M256" s="139"/>
      <c r="N256" s="145"/>
      <c r="O256" s="43"/>
      <c r="P256" s="145"/>
      <c r="Q256" s="43"/>
      <c r="R256" s="88"/>
      <c r="S256" s="40"/>
      <c r="T256" s="260"/>
      <c r="U256" s="40"/>
      <c r="V256" s="40"/>
      <c r="W256" s="40"/>
      <c r="X256" s="40"/>
      <c r="Y256" s="40"/>
      <c r="Z256" s="40"/>
      <c r="AA256" s="40"/>
      <c r="AB256" s="40"/>
      <c r="AC256" s="139"/>
      <c r="AD256" s="139"/>
      <c r="AE256" s="40"/>
      <c r="AF256" s="40"/>
      <c r="AG256" s="139"/>
      <c r="AH256" s="139"/>
      <c r="AI256" s="139"/>
      <c r="AJ256" s="43"/>
      <c r="AK256" s="43"/>
      <c r="AL256" s="139"/>
      <c r="AM256" s="43"/>
      <c r="AN256" s="43"/>
      <c r="AO256" s="139"/>
      <c r="AP256" s="43"/>
      <c r="AQ256" s="43"/>
      <c r="AR256" s="139"/>
      <c r="AS256" s="43"/>
      <c r="AT256" s="43"/>
      <c r="AU256" s="139"/>
      <c r="AV256" s="43"/>
      <c r="AW256" s="43"/>
      <c r="AX256" s="139"/>
      <c r="AY256" s="139"/>
      <c r="AZ256" s="43"/>
      <c r="BA256" s="139"/>
      <c r="BB256" s="139"/>
      <c r="BC256" s="139"/>
      <c r="BD256" s="139"/>
      <c r="BE256" s="139"/>
      <c r="BF256" s="43"/>
      <c r="BG256" s="139"/>
      <c r="BH256" s="139"/>
      <c r="BI256" s="43"/>
      <c r="BJ256" s="139"/>
      <c r="BK256" s="43"/>
      <c r="BL256" s="139"/>
      <c r="BM256" s="139"/>
      <c r="BN256" s="43"/>
      <c r="BO256" s="139"/>
      <c r="BP256" s="139"/>
      <c r="BQ256" s="43"/>
      <c r="BR256" s="43"/>
      <c r="BS256" s="139"/>
      <c r="BT256" s="43"/>
      <c r="BU256" s="43"/>
      <c r="BV256" s="139"/>
      <c r="BW256" s="43"/>
      <c r="BX256" s="43"/>
      <c r="BY256" s="139"/>
      <c r="BZ256" s="43"/>
      <c r="CA256" s="43"/>
      <c r="CB256" s="139"/>
      <c r="CC256" s="43"/>
      <c r="CD256" s="43"/>
      <c r="CE256" s="139"/>
      <c r="CF256" s="43"/>
      <c r="CG256" s="43"/>
      <c r="CH256" s="139"/>
      <c r="CI256" s="43"/>
      <c r="CJ256" s="43"/>
      <c r="CK256" s="139"/>
    </row>
    <row r="257" ht="15.75" customHeight="1">
      <c r="A257" s="43"/>
      <c r="B257" s="43"/>
      <c r="C257" s="15"/>
      <c r="D257" s="15"/>
      <c r="E257" s="146"/>
      <c r="F257" s="139"/>
      <c r="G257" s="15"/>
      <c r="H257" s="43"/>
      <c r="I257" s="43"/>
      <c r="J257" s="43"/>
      <c r="K257" s="61"/>
      <c r="L257" s="139"/>
      <c r="M257" s="139"/>
      <c r="N257" s="145"/>
      <c r="O257" s="43"/>
      <c r="P257" s="145"/>
      <c r="Q257" s="43"/>
      <c r="R257" s="88"/>
      <c r="S257" s="40"/>
      <c r="T257" s="260"/>
      <c r="U257" s="40"/>
      <c r="V257" s="40"/>
      <c r="W257" s="40"/>
      <c r="X257" s="40"/>
      <c r="Y257" s="40"/>
      <c r="Z257" s="40"/>
      <c r="AA257" s="40"/>
      <c r="AB257" s="40"/>
      <c r="AC257" s="139"/>
      <c r="AD257" s="139"/>
      <c r="AE257" s="40"/>
      <c r="AF257" s="40"/>
      <c r="AG257" s="139"/>
      <c r="AH257" s="139"/>
      <c r="AI257" s="139"/>
      <c r="AJ257" s="43"/>
      <c r="AK257" s="43"/>
      <c r="AL257" s="139"/>
      <c r="AM257" s="43"/>
      <c r="AN257" s="43"/>
      <c r="AO257" s="139"/>
      <c r="AP257" s="43"/>
      <c r="AQ257" s="43"/>
      <c r="AR257" s="139"/>
      <c r="AS257" s="43"/>
      <c r="AT257" s="43"/>
      <c r="AU257" s="139"/>
      <c r="AV257" s="43"/>
      <c r="AW257" s="43"/>
      <c r="AX257" s="139"/>
      <c r="AY257" s="139"/>
      <c r="AZ257" s="43"/>
      <c r="BA257" s="139"/>
      <c r="BB257" s="139"/>
      <c r="BC257" s="139"/>
      <c r="BD257" s="139"/>
      <c r="BE257" s="139"/>
      <c r="BF257" s="43"/>
      <c r="BG257" s="139"/>
      <c r="BH257" s="139"/>
      <c r="BI257" s="43"/>
      <c r="BJ257" s="139"/>
      <c r="BK257" s="43"/>
      <c r="BL257" s="139"/>
      <c r="BM257" s="139"/>
      <c r="BN257" s="43"/>
      <c r="BO257" s="139"/>
      <c r="BP257" s="139"/>
      <c r="BQ257" s="43"/>
      <c r="BR257" s="43"/>
      <c r="BS257" s="139"/>
      <c r="BT257" s="43"/>
      <c r="BU257" s="43"/>
      <c r="BV257" s="139"/>
      <c r="BW257" s="43"/>
      <c r="BX257" s="43"/>
      <c r="BY257" s="139"/>
      <c r="BZ257" s="43"/>
      <c r="CA257" s="43"/>
      <c r="CB257" s="139"/>
      <c r="CC257" s="43"/>
      <c r="CD257" s="43"/>
      <c r="CE257" s="139"/>
      <c r="CF257" s="43"/>
      <c r="CG257" s="43"/>
      <c r="CH257" s="139"/>
      <c r="CI257" s="43"/>
      <c r="CJ257" s="43"/>
      <c r="CK257" s="139"/>
    </row>
    <row r="258" ht="15.75" customHeight="1">
      <c r="A258" s="43"/>
      <c r="B258" s="43"/>
      <c r="C258" s="15"/>
      <c r="D258" s="15"/>
      <c r="E258" s="146"/>
      <c r="F258" s="139"/>
      <c r="G258" s="15"/>
      <c r="H258" s="43"/>
      <c r="I258" s="43"/>
      <c r="J258" s="43"/>
      <c r="K258" s="61"/>
      <c r="L258" s="139"/>
      <c r="M258" s="139"/>
      <c r="N258" s="145"/>
      <c r="O258" s="43"/>
      <c r="P258" s="145"/>
      <c r="Q258" s="43"/>
      <c r="R258" s="88"/>
      <c r="S258" s="40"/>
      <c r="T258" s="260"/>
      <c r="U258" s="40"/>
      <c r="V258" s="40"/>
      <c r="W258" s="40"/>
      <c r="X258" s="40"/>
      <c r="Y258" s="40"/>
      <c r="Z258" s="40"/>
      <c r="AA258" s="40"/>
      <c r="AB258" s="40"/>
      <c r="AC258" s="139"/>
      <c r="AD258" s="139"/>
      <c r="AE258" s="40"/>
      <c r="AF258" s="40"/>
      <c r="AG258" s="139"/>
      <c r="AH258" s="139"/>
      <c r="AI258" s="139"/>
      <c r="AJ258" s="43"/>
      <c r="AK258" s="43"/>
      <c r="AL258" s="139"/>
      <c r="AM258" s="43"/>
      <c r="AN258" s="43"/>
      <c r="AO258" s="139"/>
      <c r="AP258" s="43"/>
      <c r="AQ258" s="43"/>
      <c r="AR258" s="139"/>
      <c r="AS258" s="43"/>
      <c r="AT258" s="43"/>
      <c r="AU258" s="139"/>
      <c r="AV258" s="43"/>
      <c r="AW258" s="43"/>
      <c r="AX258" s="139"/>
      <c r="AY258" s="139"/>
      <c r="AZ258" s="43"/>
      <c r="BA258" s="139"/>
      <c r="BB258" s="139"/>
      <c r="BC258" s="139"/>
      <c r="BD258" s="139"/>
      <c r="BE258" s="139"/>
      <c r="BF258" s="43"/>
      <c r="BG258" s="139"/>
      <c r="BH258" s="139"/>
      <c r="BI258" s="43"/>
      <c r="BJ258" s="139"/>
      <c r="BK258" s="43"/>
      <c r="BL258" s="139"/>
      <c r="BM258" s="139"/>
      <c r="BN258" s="43"/>
      <c r="BO258" s="139"/>
      <c r="BP258" s="139"/>
      <c r="BQ258" s="43"/>
      <c r="BR258" s="43"/>
      <c r="BS258" s="139"/>
      <c r="BT258" s="43"/>
      <c r="BU258" s="43"/>
      <c r="BV258" s="139"/>
      <c r="BW258" s="43"/>
      <c r="BX258" s="43"/>
      <c r="BY258" s="139"/>
      <c r="BZ258" s="43"/>
      <c r="CA258" s="43"/>
      <c r="CB258" s="139"/>
      <c r="CC258" s="43"/>
      <c r="CD258" s="43"/>
      <c r="CE258" s="139"/>
      <c r="CF258" s="43"/>
      <c r="CG258" s="43"/>
      <c r="CH258" s="139"/>
      <c r="CI258" s="43"/>
      <c r="CJ258" s="43"/>
      <c r="CK258" s="139"/>
    </row>
    <row r="259" ht="15.75" customHeight="1">
      <c r="A259" s="43"/>
      <c r="B259" s="43"/>
      <c r="C259" s="15"/>
      <c r="D259" s="15"/>
      <c r="E259" s="146"/>
      <c r="F259" s="139"/>
      <c r="G259" s="15"/>
      <c r="H259" s="43"/>
      <c r="I259" s="43"/>
      <c r="J259" s="43"/>
      <c r="K259" s="61"/>
      <c r="L259" s="139"/>
      <c r="M259" s="139"/>
      <c r="N259" s="145"/>
      <c r="O259" s="43"/>
      <c r="P259" s="145"/>
      <c r="Q259" s="43"/>
      <c r="R259" s="88"/>
      <c r="S259" s="40"/>
      <c r="T259" s="260"/>
      <c r="U259" s="40"/>
      <c r="V259" s="40"/>
      <c r="W259" s="40"/>
      <c r="X259" s="40"/>
      <c r="Y259" s="40"/>
      <c r="Z259" s="40"/>
      <c r="AA259" s="40"/>
      <c r="AB259" s="40"/>
      <c r="AC259" s="139"/>
      <c r="AD259" s="139"/>
      <c r="AE259" s="40"/>
      <c r="AF259" s="40"/>
      <c r="AG259" s="139"/>
      <c r="AH259" s="139"/>
      <c r="AI259" s="139"/>
      <c r="AJ259" s="43"/>
      <c r="AK259" s="43"/>
      <c r="AL259" s="139"/>
      <c r="AM259" s="43"/>
      <c r="AN259" s="43"/>
      <c r="AO259" s="139"/>
      <c r="AP259" s="43"/>
      <c r="AQ259" s="43"/>
      <c r="AR259" s="139"/>
      <c r="AS259" s="43"/>
      <c r="AT259" s="43"/>
      <c r="AU259" s="139"/>
      <c r="AV259" s="43"/>
      <c r="AW259" s="43"/>
      <c r="AX259" s="139"/>
      <c r="AY259" s="139"/>
      <c r="AZ259" s="43"/>
      <c r="BA259" s="139"/>
      <c r="BB259" s="139"/>
      <c r="BC259" s="139"/>
      <c r="BD259" s="139"/>
      <c r="BE259" s="139"/>
      <c r="BF259" s="43"/>
      <c r="BG259" s="139"/>
      <c r="BH259" s="139"/>
      <c r="BI259" s="43"/>
      <c r="BJ259" s="139"/>
      <c r="BK259" s="43"/>
      <c r="BL259" s="139"/>
      <c r="BM259" s="139"/>
      <c r="BN259" s="43"/>
      <c r="BO259" s="139"/>
      <c r="BP259" s="139"/>
      <c r="BQ259" s="43"/>
      <c r="BR259" s="43"/>
      <c r="BS259" s="139"/>
      <c r="BT259" s="43"/>
      <c r="BU259" s="43"/>
      <c r="BV259" s="139"/>
      <c r="BW259" s="43"/>
      <c r="BX259" s="43"/>
      <c r="BY259" s="139"/>
      <c r="BZ259" s="43"/>
      <c r="CA259" s="43"/>
      <c r="CB259" s="139"/>
      <c r="CC259" s="43"/>
      <c r="CD259" s="43"/>
      <c r="CE259" s="139"/>
      <c r="CF259" s="43"/>
      <c r="CG259" s="43"/>
      <c r="CH259" s="139"/>
      <c r="CI259" s="43"/>
      <c r="CJ259" s="43"/>
      <c r="CK259" s="139"/>
    </row>
    <row r="260" ht="15.75" customHeight="1">
      <c r="A260" s="43"/>
      <c r="B260" s="43"/>
      <c r="C260" s="15"/>
      <c r="D260" s="15"/>
      <c r="E260" s="146"/>
      <c r="F260" s="139"/>
      <c r="G260" s="15"/>
      <c r="H260" s="43"/>
      <c r="I260" s="43"/>
      <c r="J260" s="43"/>
      <c r="K260" s="61"/>
      <c r="L260" s="139"/>
      <c r="M260" s="139"/>
      <c r="N260" s="145"/>
      <c r="O260" s="43"/>
      <c r="P260" s="145"/>
      <c r="Q260" s="43"/>
      <c r="R260" s="88"/>
      <c r="S260" s="40"/>
      <c r="T260" s="260"/>
      <c r="U260" s="40"/>
      <c r="V260" s="40"/>
      <c r="W260" s="40"/>
      <c r="X260" s="40"/>
      <c r="Y260" s="40"/>
      <c r="Z260" s="40"/>
      <c r="AA260" s="40"/>
      <c r="AB260" s="40"/>
      <c r="AC260" s="139"/>
      <c r="AD260" s="139"/>
      <c r="AE260" s="40"/>
      <c r="AF260" s="40"/>
      <c r="AG260" s="139"/>
      <c r="AH260" s="139"/>
      <c r="AI260" s="139"/>
      <c r="AJ260" s="43"/>
      <c r="AK260" s="43"/>
      <c r="AL260" s="139"/>
      <c r="AM260" s="43"/>
      <c r="AN260" s="43"/>
      <c r="AO260" s="139"/>
      <c r="AP260" s="43"/>
      <c r="AQ260" s="43"/>
      <c r="AR260" s="139"/>
      <c r="AS260" s="43"/>
      <c r="AT260" s="43"/>
      <c r="AU260" s="139"/>
      <c r="AV260" s="43"/>
      <c r="AW260" s="43"/>
      <c r="AX260" s="139"/>
      <c r="AY260" s="139"/>
      <c r="AZ260" s="43"/>
      <c r="BA260" s="139"/>
      <c r="BB260" s="139"/>
      <c r="BC260" s="139"/>
      <c r="BD260" s="139"/>
      <c r="BE260" s="139"/>
      <c r="BF260" s="43"/>
      <c r="BG260" s="139"/>
      <c r="BH260" s="139"/>
      <c r="BI260" s="43"/>
      <c r="BJ260" s="139"/>
      <c r="BK260" s="43"/>
      <c r="BL260" s="139"/>
      <c r="BM260" s="139"/>
      <c r="BN260" s="43"/>
      <c r="BO260" s="139"/>
      <c r="BP260" s="139"/>
      <c r="BQ260" s="43"/>
      <c r="BR260" s="43"/>
      <c r="BS260" s="139"/>
      <c r="BT260" s="43"/>
      <c r="BU260" s="43"/>
      <c r="BV260" s="139"/>
      <c r="BW260" s="43"/>
      <c r="BX260" s="43"/>
      <c r="BY260" s="139"/>
      <c r="BZ260" s="43"/>
      <c r="CA260" s="43"/>
      <c r="CB260" s="139"/>
      <c r="CC260" s="43"/>
      <c r="CD260" s="43"/>
      <c r="CE260" s="139"/>
      <c r="CF260" s="43"/>
      <c r="CG260" s="43"/>
      <c r="CH260" s="139"/>
      <c r="CI260" s="43"/>
      <c r="CJ260" s="43"/>
      <c r="CK260" s="139"/>
    </row>
    <row r="261" ht="15.75" customHeight="1">
      <c r="A261" s="43"/>
      <c r="B261" s="43"/>
      <c r="C261" s="15"/>
      <c r="D261" s="15"/>
      <c r="E261" s="146"/>
      <c r="F261" s="139"/>
      <c r="G261" s="15"/>
      <c r="H261" s="43"/>
      <c r="I261" s="43"/>
      <c r="J261" s="43"/>
      <c r="K261" s="61"/>
      <c r="L261" s="139"/>
      <c r="M261" s="139"/>
      <c r="N261" s="145"/>
      <c r="O261" s="43"/>
      <c r="P261" s="145"/>
      <c r="Q261" s="43"/>
      <c r="R261" s="88"/>
      <c r="S261" s="40"/>
      <c r="T261" s="260"/>
      <c r="U261" s="40"/>
      <c r="V261" s="40"/>
      <c r="W261" s="40"/>
      <c r="X261" s="40"/>
      <c r="Y261" s="40"/>
      <c r="Z261" s="40"/>
      <c r="AA261" s="40"/>
      <c r="AB261" s="40"/>
      <c r="AC261" s="139"/>
      <c r="AD261" s="139"/>
      <c r="AE261" s="40"/>
      <c r="AF261" s="40"/>
      <c r="AG261" s="139"/>
      <c r="AH261" s="139"/>
      <c r="AI261" s="139"/>
      <c r="AJ261" s="43"/>
      <c r="AK261" s="43"/>
      <c r="AL261" s="139"/>
      <c r="AM261" s="43"/>
      <c r="AN261" s="43"/>
      <c r="AO261" s="139"/>
      <c r="AP261" s="43"/>
      <c r="AQ261" s="43"/>
      <c r="AR261" s="139"/>
      <c r="AS261" s="43"/>
      <c r="AT261" s="43"/>
      <c r="AU261" s="139"/>
      <c r="AV261" s="43"/>
      <c r="AW261" s="43"/>
      <c r="AX261" s="139"/>
      <c r="AY261" s="139"/>
      <c r="AZ261" s="43"/>
      <c r="BA261" s="139"/>
      <c r="BB261" s="139"/>
      <c r="BC261" s="139"/>
      <c r="BD261" s="139"/>
      <c r="BE261" s="139"/>
      <c r="BF261" s="43"/>
      <c r="BG261" s="139"/>
      <c r="BH261" s="139"/>
      <c r="BI261" s="43"/>
      <c r="BJ261" s="139"/>
      <c r="BK261" s="43"/>
      <c r="BL261" s="139"/>
      <c r="BM261" s="139"/>
      <c r="BN261" s="43"/>
      <c r="BO261" s="139"/>
      <c r="BP261" s="139"/>
      <c r="BQ261" s="43"/>
      <c r="BR261" s="43"/>
      <c r="BS261" s="139"/>
      <c r="BT261" s="43"/>
      <c r="BU261" s="43"/>
      <c r="BV261" s="139"/>
      <c r="BW261" s="43"/>
      <c r="BX261" s="43"/>
      <c r="BY261" s="139"/>
      <c r="BZ261" s="43"/>
      <c r="CA261" s="43"/>
      <c r="CB261" s="139"/>
      <c r="CC261" s="43"/>
      <c r="CD261" s="43"/>
      <c r="CE261" s="139"/>
      <c r="CF261" s="43"/>
      <c r="CG261" s="43"/>
      <c r="CH261" s="139"/>
      <c r="CI261" s="43"/>
      <c r="CJ261" s="43"/>
      <c r="CK261" s="139"/>
    </row>
    <row r="262" ht="15.75" customHeight="1">
      <c r="A262" s="43"/>
      <c r="B262" s="43"/>
      <c r="C262" s="15"/>
      <c r="D262" s="15"/>
      <c r="E262" s="146"/>
      <c r="F262" s="139"/>
      <c r="G262" s="15"/>
      <c r="H262" s="43"/>
      <c r="I262" s="43"/>
      <c r="J262" s="43"/>
      <c r="K262" s="61"/>
      <c r="L262" s="139"/>
      <c r="M262" s="139"/>
      <c r="N262" s="145"/>
      <c r="O262" s="43"/>
      <c r="P262" s="145"/>
      <c r="Q262" s="43"/>
      <c r="R262" s="88"/>
      <c r="S262" s="40"/>
      <c r="T262" s="260"/>
      <c r="U262" s="40"/>
      <c r="V262" s="40"/>
      <c r="W262" s="40"/>
      <c r="X262" s="40"/>
      <c r="Y262" s="40"/>
      <c r="Z262" s="40"/>
      <c r="AA262" s="40"/>
      <c r="AB262" s="40"/>
      <c r="AC262" s="139"/>
      <c r="AD262" s="139"/>
      <c r="AE262" s="40"/>
      <c r="AF262" s="40"/>
      <c r="AG262" s="139"/>
      <c r="AH262" s="139"/>
      <c r="AI262" s="139"/>
      <c r="AJ262" s="43"/>
      <c r="AK262" s="43"/>
      <c r="AL262" s="139"/>
      <c r="AM262" s="43"/>
      <c r="AN262" s="43"/>
      <c r="AO262" s="139"/>
      <c r="AP262" s="43"/>
      <c r="AQ262" s="43"/>
      <c r="AR262" s="139"/>
      <c r="AS262" s="43"/>
      <c r="AT262" s="43"/>
      <c r="AU262" s="139"/>
      <c r="AV262" s="43"/>
      <c r="AW262" s="43"/>
      <c r="AX262" s="139"/>
      <c r="AY262" s="139"/>
      <c r="AZ262" s="43"/>
      <c r="BA262" s="139"/>
      <c r="BB262" s="139"/>
      <c r="BC262" s="139"/>
      <c r="BD262" s="139"/>
      <c r="BE262" s="139"/>
      <c r="BF262" s="43"/>
      <c r="BG262" s="139"/>
      <c r="BH262" s="139"/>
      <c r="BI262" s="43"/>
      <c r="BJ262" s="139"/>
      <c r="BK262" s="43"/>
      <c r="BL262" s="139"/>
      <c r="BM262" s="139"/>
      <c r="BN262" s="43"/>
      <c r="BO262" s="139"/>
      <c r="BP262" s="139"/>
      <c r="BQ262" s="43"/>
      <c r="BR262" s="43"/>
      <c r="BS262" s="139"/>
      <c r="BT262" s="43"/>
      <c r="BU262" s="43"/>
      <c r="BV262" s="139"/>
      <c r="BW262" s="43"/>
      <c r="BX262" s="43"/>
      <c r="BY262" s="139"/>
      <c r="BZ262" s="43"/>
      <c r="CA262" s="43"/>
      <c r="CB262" s="139"/>
      <c r="CC262" s="43"/>
      <c r="CD262" s="43"/>
      <c r="CE262" s="139"/>
      <c r="CF262" s="43"/>
      <c r="CG262" s="43"/>
      <c r="CH262" s="139"/>
      <c r="CI262" s="43"/>
      <c r="CJ262" s="43"/>
      <c r="CK262" s="139"/>
    </row>
    <row r="263" ht="15.75" customHeight="1">
      <c r="A263" s="43"/>
      <c r="B263" s="43"/>
      <c r="C263" s="15"/>
      <c r="D263" s="15"/>
      <c r="E263" s="146"/>
      <c r="F263" s="139"/>
      <c r="G263" s="15"/>
      <c r="H263" s="43"/>
      <c r="I263" s="43"/>
      <c r="J263" s="43"/>
      <c r="K263" s="61"/>
      <c r="L263" s="139"/>
      <c r="M263" s="139"/>
      <c r="N263" s="145"/>
      <c r="O263" s="43"/>
      <c r="P263" s="145"/>
      <c r="Q263" s="43"/>
      <c r="R263" s="88"/>
      <c r="S263" s="40"/>
      <c r="T263" s="260"/>
      <c r="U263" s="40"/>
      <c r="V263" s="40"/>
      <c r="W263" s="40"/>
      <c r="X263" s="40"/>
      <c r="Y263" s="40"/>
      <c r="Z263" s="40"/>
      <c r="AA263" s="40"/>
      <c r="AB263" s="40"/>
      <c r="AC263" s="139"/>
      <c r="AD263" s="139"/>
      <c r="AE263" s="40"/>
      <c r="AF263" s="40"/>
      <c r="AG263" s="139"/>
      <c r="AH263" s="139"/>
      <c r="AI263" s="139"/>
      <c r="AJ263" s="43"/>
      <c r="AK263" s="43"/>
      <c r="AL263" s="139"/>
      <c r="AM263" s="43"/>
      <c r="AN263" s="43"/>
      <c r="AO263" s="139"/>
      <c r="AP263" s="43"/>
      <c r="AQ263" s="43"/>
      <c r="AR263" s="139"/>
      <c r="AS263" s="43"/>
      <c r="AT263" s="43"/>
      <c r="AU263" s="139"/>
      <c r="AV263" s="43"/>
      <c r="AW263" s="43"/>
      <c r="AX263" s="139"/>
      <c r="AY263" s="139"/>
      <c r="AZ263" s="43"/>
      <c r="BA263" s="139"/>
      <c r="BB263" s="139"/>
      <c r="BC263" s="139"/>
      <c r="BD263" s="139"/>
      <c r="BE263" s="139"/>
      <c r="BF263" s="43"/>
      <c r="BG263" s="139"/>
      <c r="BH263" s="139"/>
      <c r="BI263" s="43"/>
      <c r="BJ263" s="139"/>
      <c r="BK263" s="43"/>
      <c r="BL263" s="139"/>
      <c r="BM263" s="139"/>
      <c r="BN263" s="43"/>
      <c r="BO263" s="139"/>
      <c r="BP263" s="139"/>
      <c r="BQ263" s="43"/>
      <c r="BR263" s="43"/>
      <c r="BS263" s="139"/>
      <c r="BT263" s="43"/>
      <c r="BU263" s="43"/>
      <c r="BV263" s="139"/>
      <c r="BW263" s="43"/>
      <c r="BX263" s="43"/>
      <c r="BY263" s="139"/>
      <c r="BZ263" s="43"/>
      <c r="CA263" s="43"/>
      <c r="CB263" s="139"/>
      <c r="CC263" s="43"/>
      <c r="CD263" s="43"/>
      <c r="CE263" s="139"/>
      <c r="CF263" s="43"/>
      <c r="CG263" s="43"/>
      <c r="CH263" s="139"/>
      <c r="CI263" s="43"/>
      <c r="CJ263" s="43"/>
      <c r="CK263" s="139"/>
    </row>
    <row r="264" ht="15.75" customHeight="1">
      <c r="A264" s="43"/>
      <c r="B264" s="43"/>
      <c r="C264" s="15"/>
      <c r="D264" s="15"/>
      <c r="E264" s="146"/>
      <c r="F264" s="139"/>
      <c r="G264" s="15"/>
      <c r="H264" s="43"/>
      <c r="I264" s="43"/>
      <c r="J264" s="43"/>
      <c r="K264" s="61"/>
      <c r="L264" s="139"/>
      <c r="M264" s="139"/>
      <c r="N264" s="145"/>
      <c r="O264" s="43"/>
      <c r="P264" s="145"/>
      <c r="Q264" s="43"/>
      <c r="R264" s="88"/>
      <c r="S264" s="40"/>
      <c r="T264" s="260"/>
      <c r="U264" s="40"/>
      <c r="V264" s="40"/>
      <c r="W264" s="40"/>
      <c r="X264" s="40"/>
      <c r="Y264" s="40"/>
      <c r="Z264" s="40"/>
      <c r="AA264" s="40"/>
      <c r="AB264" s="40"/>
      <c r="AC264" s="139"/>
      <c r="AD264" s="139"/>
      <c r="AE264" s="40"/>
      <c r="AF264" s="40"/>
      <c r="AG264" s="139"/>
      <c r="AH264" s="139"/>
      <c r="AI264" s="139"/>
      <c r="AJ264" s="43"/>
      <c r="AK264" s="43"/>
      <c r="AL264" s="139"/>
      <c r="AM264" s="43"/>
      <c r="AN264" s="43"/>
      <c r="AO264" s="139"/>
      <c r="AP264" s="43"/>
      <c r="AQ264" s="43"/>
      <c r="AR264" s="139"/>
      <c r="AS264" s="43"/>
      <c r="AT264" s="43"/>
      <c r="AU264" s="139"/>
      <c r="AV264" s="43"/>
      <c r="AW264" s="43"/>
      <c r="AX264" s="139"/>
      <c r="AY264" s="139"/>
      <c r="AZ264" s="43"/>
      <c r="BA264" s="139"/>
      <c r="BB264" s="139"/>
      <c r="BC264" s="139"/>
      <c r="BD264" s="139"/>
      <c r="BE264" s="139"/>
      <c r="BF264" s="43"/>
      <c r="BG264" s="139"/>
      <c r="BH264" s="139"/>
      <c r="BI264" s="43"/>
      <c r="BJ264" s="139"/>
      <c r="BK264" s="43"/>
      <c r="BL264" s="139"/>
      <c r="BM264" s="139"/>
      <c r="BN264" s="43"/>
      <c r="BO264" s="139"/>
      <c r="BP264" s="139"/>
      <c r="BQ264" s="43"/>
      <c r="BR264" s="43"/>
      <c r="BS264" s="139"/>
      <c r="BT264" s="43"/>
      <c r="BU264" s="43"/>
      <c r="BV264" s="139"/>
      <c r="BW264" s="43"/>
      <c r="BX264" s="43"/>
      <c r="BY264" s="139"/>
      <c r="BZ264" s="43"/>
      <c r="CA264" s="43"/>
      <c r="CB264" s="139"/>
      <c r="CC264" s="43"/>
      <c r="CD264" s="43"/>
      <c r="CE264" s="139"/>
      <c r="CF264" s="43"/>
      <c r="CG264" s="43"/>
      <c r="CH264" s="139"/>
      <c r="CI264" s="43"/>
      <c r="CJ264" s="43"/>
      <c r="CK264" s="139"/>
    </row>
    <row r="265" ht="15.75" customHeight="1">
      <c r="A265" s="43"/>
      <c r="B265" s="43"/>
      <c r="C265" s="15"/>
      <c r="D265" s="15"/>
      <c r="E265" s="146"/>
      <c r="F265" s="139"/>
      <c r="G265" s="15"/>
      <c r="H265" s="43"/>
      <c r="I265" s="43"/>
      <c r="J265" s="43"/>
      <c r="K265" s="61"/>
      <c r="L265" s="139"/>
      <c r="M265" s="139"/>
      <c r="N265" s="145"/>
      <c r="O265" s="43"/>
      <c r="P265" s="145"/>
      <c r="Q265" s="43"/>
      <c r="R265" s="88"/>
      <c r="S265" s="40"/>
      <c r="T265" s="260"/>
      <c r="U265" s="40"/>
      <c r="V265" s="40"/>
      <c r="W265" s="40"/>
      <c r="X265" s="40"/>
      <c r="Y265" s="40"/>
      <c r="Z265" s="40"/>
      <c r="AA265" s="40"/>
      <c r="AB265" s="40"/>
      <c r="AC265" s="139"/>
      <c r="AD265" s="139"/>
      <c r="AE265" s="40"/>
      <c r="AF265" s="40"/>
      <c r="AG265" s="139"/>
      <c r="AH265" s="139"/>
      <c r="AI265" s="139"/>
      <c r="AJ265" s="43"/>
      <c r="AK265" s="43"/>
      <c r="AL265" s="139"/>
      <c r="AM265" s="43"/>
      <c r="AN265" s="43"/>
      <c r="AO265" s="139"/>
      <c r="AP265" s="43"/>
      <c r="AQ265" s="43"/>
      <c r="AR265" s="139"/>
      <c r="AS265" s="43"/>
      <c r="AT265" s="43"/>
      <c r="AU265" s="139"/>
      <c r="AV265" s="43"/>
      <c r="AW265" s="43"/>
      <c r="AX265" s="139"/>
      <c r="AY265" s="139"/>
      <c r="AZ265" s="43"/>
      <c r="BA265" s="139"/>
      <c r="BB265" s="139"/>
      <c r="BC265" s="139"/>
      <c r="BD265" s="139"/>
      <c r="BE265" s="139"/>
      <c r="BF265" s="43"/>
      <c r="BG265" s="139"/>
      <c r="BH265" s="139"/>
      <c r="BI265" s="43"/>
      <c r="BJ265" s="139"/>
      <c r="BK265" s="43"/>
      <c r="BL265" s="139"/>
      <c r="BM265" s="139"/>
      <c r="BN265" s="43"/>
      <c r="BO265" s="139"/>
      <c r="BP265" s="139"/>
      <c r="BQ265" s="43"/>
      <c r="BR265" s="43"/>
      <c r="BS265" s="139"/>
      <c r="BT265" s="43"/>
      <c r="BU265" s="43"/>
      <c r="BV265" s="139"/>
      <c r="BW265" s="43"/>
      <c r="BX265" s="43"/>
      <c r="BY265" s="139"/>
      <c r="BZ265" s="43"/>
      <c r="CA265" s="43"/>
      <c r="CB265" s="139"/>
      <c r="CC265" s="43"/>
      <c r="CD265" s="43"/>
      <c r="CE265" s="139"/>
      <c r="CF265" s="43"/>
      <c r="CG265" s="43"/>
      <c r="CH265" s="139"/>
      <c r="CI265" s="43"/>
      <c r="CJ265" s="43"/>
      <c r="CK265" s="139"/>
    </row>
    <row r="266" ht="15.75" customHeight="1">
      <c r="A266" s="43"/>
      <c r="B266" s="43"/>
      <c r="C266" s="15"/>
      <c r="D266" s="15"/>
      <c r="E266" s="146"/>
      <c r="F266" s="139"/>
      <c r="G266" s="15"/>
      <c r="H266" s="43"/>
      <c r="I266" s="43"/>
      <c r="J266" s="43"/>
      <c r="K266" s="61"/>
      <c r="L266" s="139"/>
      <c r="M266" s="139"/>
      <c r="N266" s="145"/>
      <c r="O266" s="43"/>
      <c r="P266" s="145"/>
      <c r="Q266" s="43"/>
      <c r="R266" s="88"/>
      <c r="S266" s="40"/>
      <c r="T266" s="260"/>
      <c r="U266" s="40"/>
      <c r="V266" s="40"/>
      <c r="W266" s="40"/>
      <c r="X266" s="40"/>
      <c r="Y266" s="40"/>
      <c r="Z266" s="40"/>
      <c r="AA266" s="40"/>
      <c r="AB266" s="40"/>
      <c r="AC266" s="139"/>
      <c r="AD266" s="139"/>
      <c r="AE266" s="40"/>
      <c r="AF266" s="40"/>
      <c r="AG266" s="139"/>
      <c r="AH266" s="139"/>
      <c r="AI266" s="139"/>
      <c r="AJ266" s="43"/>
      <c r="AK266" s="43"/>
      <c r="AL266" s="139"/>
      <c r="AM266" s="43"/>
      <c r="AN266" s="43"/>
      <c r="AO266" s="139"/>
      <c r="AP266" s="43"/>
      <c r="AQ266" s="43"/>
      <c r="AR266" s="139"/>
      <c r="AS266" s="43"/>
      <c r="AT266" s="43"/>
      <c r="AU266" s="139"/>
      <c r="AV266" s="43"/>
      <c r="AW266" s="43"/>
      <c r="AX266" s="139"/>
      <c r="AY266" s="139"/>
      <c r="AZ266" s="43"/>
      <c r="BA266" s="139"/>
      <c r="BB266" s="139"/>
      <c r="BC266" s="139"/>
      <c r="BD266" s="139"/>
      <c r="BE266" s="139"/>
      <c r="BF266" s="43"/>
      <c r="BG266" s="139"/>
      <c r="BH266" s="139"/>
      <c r="BI266" s="43"/>
      <c r="BJ266" s="139"/>
      <c r="BK266" s="43"/>
      <c r="BL266" s="139"/>
      <c r="BM266" s="139"/>
      <c r="BN266" s="43"/>
      <c r="BO266" s="139"/>
      <c r="BP266" s="139"/>
      <c r="BQ266" s="43"/>
      <c r="BR266" s="43"/>
      <c r="BS266" s="139"/>
      <c r="BT266" s="43"/>
      <c r="BU266" s="43"/>
      <c r="BV266" s="139"/>
      <c r="BW266" s="43"/>
      <c r="BX266" s="43"/>
      <c r="BY266" s="139"/>
      <c r="BZ266" s="43"/>
      <c r="CA266" s="43"/>
      <c r="CB266" s="139"/>
      <c r="CC266" s="43"/>
      <c r="CD266" s="43"/>
      <c r="CE266" s="139"/>
      <c r="CF266" s="43"/>
      <c r="CG266" s="43"/>
      <c r="CH266" s="139"/>
      <c r="CI266" s="43"/>
      <c r="CJ266" s="43"/>
      <c r="CK266" s="139"/>
    </row>
    <row r="267" ht="15.75" customHeight="1">
      <c r="A267" s="43"/>
      <c r="B267" s="43"/>
      <c r="C267" s="15"/>
      <c r="D267" s="15"/>
      <c r="E267" s="146"/>
      <c r="F267" s="139"/>
      <c r="G267" s="15"/>
      <c r="H267" s="43"/>
      <c r="I267" s="43"/>
      <c r="J267" s="43"/>
      <c r="K267" s="61"/>
      <c r="L267" s="139"/>
      <c r="M267" s="139"/>
      <c r="N267" s="145"/>
      <c r="O267" s="43"/>
      <c r="P267" s="145"/>
      <c r="Q267" s="43"/>
      <c r="R267" s="88"/>
      <c r="S267" s="40"/>
      <c r="T267" s="260"/>
      <c r="U267" s="40"/>
      <c r="V267" s="40"/>
      <c r="W267" s="40"/>
      <c r="X267" s="40"/>
      <c r="Y267" s="40"/>
      <c r="Z267" s="40"/>
      <c r="AA267" s="40"/>
      <c r="AB267" s="40"/>
      <c r="AC267" s="139"/>
      <c r="AD267" s="139"/>
      <c r="AE267" s="40"/>
      <c r="AF267" s="40"/>
      <c r="AG267" s="139"/>
      <c r="AH267" s="139"/>
      <c r="AI267" s="139"/>
      <c r="AJ267" s="43"/>
      <c r="AK267" s="43"/>
      <c r="AL267" s="139"/>
      <c r="AM267" s="43"/>
      <c r="AN267" s="43"/>
      <c r="AO267" s="139"/>
      <c r="AP267" s="43"/>
      <c r="AQ267" s="43"/>
      <c r="AR267" s="139"/>
      <c r="AS267" s="43"/>
      <c r="AT267" s="43"/>
      <c r="AU267" s="139"/>
      <c r="AV267" s="43"/>
      <c r="AW267" s="43"/>
      <c r="AX267" s="139"/>
      <c r="AY267" s="139"/>
      <c r="AZ267" s="43"/>
      <c r="BA267" s="139"/>
      <c r="BB267" s="139"/>
      <c r="BC267" s="139"/>
      <c r="BD267" s="139"/>
      <c r="BE267" s="139"/>
      <c r="BF267" s="43"/>
      <c r="BG267" s="139"/>
      <c r="BH267" s="139"/>
      <c r="BI267" s="43"/>
      <c r="BJ267" s="139"/>
      <c r="BK267" s="43"/>
      <c r="BL267" s="139"/>
      <c r="BM267" s="139"/>
      <c r="BN267" s="43"/>
      <c r="BO267" s="139"/>
      <c r="BP267" s="139"/>
      <c r="BQ267" s="43"/>
      <c r="BR267" s="43"/>
      <c r="BS267" s="139"/>
      <c r="BT267" s="43"/>
      <c r="BU267" s="43"/>
      <c r="BV267" s="139"/>
      <c r="BW267" s="43"/>
      <c r="BX267" s="43"/>
      <c r="BY267" s="139"/>
      <c r="BZ267" s="43"/>
      <c r="CA267" s="43"/>
      <c r="CB267" s="139"/>
      <c r="CC267" s="43"/>
      <c r="CD267" s="43"/>
      <c r="CE267" s="139"/>
      <c r="CF267" s="43"/>
      <c r="CG267" s="43"/>
      <c r="CH267" s="139"/>
      <c r="CI267" s="43"/>
      <c r="CJ267" s="43"/>
      <c r="CK267" s="139"/>
    </row>
    <row r="268" ht="15.75" customHeight="1">
      <c r="A268" s="43"/>
      <c r="B268" s="43"/>
      <c r="C268" s="15"/>
      <c r="D268" s="15"/>
      <c r="E268" s="146"/>
      <c r="F268" s="139"/>
      <c r="G268" s="15"/>
      <c r="H268" s="43"/>
      <c r="I268" s="43"/>
      <c r="J268" s="43"/>
      <c r="K268" s="61"/>
      <c r="L268" s="139"/>
      <c r="M268" s="139"/>
      <c r="N268" s="145"/>
      <c r="O268" s="43"/>
      <c r="P268" s="145"/>
      <c r="Q268" s="43"/>
      <c r="R268" s="88"/>
      <c r="S268" s="40"/>
      <c r="T268" s="260"/>
      <c r="U268" s="40"/>
      <c r="V268" s="40"/>
      <c r="W268" s="40"/>
      <c r="X268" s="40"/>
      <c r="Y268" s="40"/>
      <c r="Z268" s="40"/>
      <c r="AA268" s="40"/>
      <c r="AB268" s="40"/>
      <c r="AC268" s="139"/>
      <c r="AD268" s="139"/>
      <c r="AE268" s="40"/>
      <c r="AF268" s="40"/>
      <c r="AG268" s="139"/>
      <c r="AH268" s="139"/>
      <c r="AI268" s="139"/>
      <c r="AJ268" s="43"/>
      <c r="AK268" s="43"/>
      <c r="AL268" s="139"/>
      <c r="AM268" s="43"/>
      <c r="AN268" s="43"/>
      <c r="AO268" s="139"/>
      <c r="AP268" s="43"/>
      <c r="AQ268" s="43"/>
      <c r="AR268" s="139"/>
      <c r="AS268" s="43"/>
      <c r="AT268" s="43"/>
      <c r="AU268" s="139"/>
      <c r="AV268" s="43"/>
      <c r="AW268" s="43"/>
      <c r="AX268" s="139"/>
      <c r="AY268" s="139"/>
      <c r="AZ268" s="43"/>
      <c r="BA268" s="139"/>
      <c r="BB268" s="139"/>
      <c r="BC268" s="139"/>
      <c r="BD268" s="139"/>
      <c r="BE268" s="139"/>
      <c r="BF268" s="43"/>
      <c r="BG268" s="139"/>
      <c r="BH268" s="139"/>
      <c r="BI268" s="43"/>
      <c r="BJ268" s="139"/>
      <c r="BK268" s="43"/>
      <c r="BL268" s="139"/>
      <c r="BM268" s="139"/>
      <c r="BN268" s="43"/>
      <c r="BO268" s="139"/>
      <c r="BP268" s="139"/>
      <c r="BQ268" s="43"/>
      <c r="BR268" s="43"/>
      <c r="BS268" s="139"/>
      <c r="BT268" s="43"/>
      <c r="BU268" s="43"/>
      <c r="BV268" s="139"/>
      <c r="BW268" s="43"/>
      <c r="BX268" s="43"/>
      <c r="BY268" s="139"/>
      <c r="BZ268" s="43"/>
      <c r="CA268" s="43"/>
      <c r="CB268" s="139"/>
      <c r="CC268" s="43"/>
      <c r="CD268" s="43"/>
      <c r="CE268" s="139"/>
      <c r="CF268" s="43"/>
      <c r="CG268" s="43"/>
      <c r="CH268" s="139"/>
      <c r="CI268" s="43"/>
      <c r="CJ268" s="43"/>
      <c r="CK268" s="139"/>
    </row>
    <row r="269" ht="15.75" customHeight="1">
      <c r="A269" s="43"/>
      <c r="B269" s="43"/>
      <c r="C269" s="15"/>
      <c r="D269" s="15"/>
      <c r="E269" s="146"/>
      <c r="F269" s="139"/>
      <c r="G269" s="15"/>
      <c r="H269" s="43"/>
      <c r="I269" s="43"/>
      <c r="J269" s="43"/>
      <c r="K269" s="61"/>
      <c r="L269" s="139"/>
      <c r="M269" s="139"/>
      <c r="N269" s="145"/>
      <c r="O269" s="43"/>
      <c r="P269" s="145"/>
      <c r="Q269" s="43"/>
      <c r="R269" s="88"/>
      <c r="S269" s="40"/>
      <c r="T269" s="260"/>
      <c r="U269" s="40"/>
      <c r="V269" s="40"/>
      <c r="W269" s="40"/>
      <c r="X269" s="40"/>
      <c r="Y269" s="40"/>
      <c r="Z269" s="40"/>
      <c r="AA269" s="40"/>
      <c r="AB269" s="40"/>
      <c r="AC269" s="139"/>
      <c r="AD269" s="139"/>
      <c r="AE269" s="40"/>
      <c r="AF269" s="40"/>
      <c r="AG269" s="139"/>
      <c r="AH269" s="139"/>
      <c r="AI269" s="139"/>
      <c r="AJ269" s="43"/>
      <c r="AK269" s="43"/>
      <c r="AL269" s="139"/>
      <c r="AM269" s="43"/>
      <c r="AN269" s="43"/>
      <c r="AO269" s="139"/>
      <c r="AP269" s="43"/>
      <c r="AQ269" s="43"/>
      <c r="AR269" s="139"/>
      <c r="AS269" s="43"/>
      <c r="AT269" s="43"/>
      <c r="AU269" s="139"/>
      <c r="AV269" s="43"/>
      <c r="AW269" s="43"/>
      <c r="AX269" s="139"/>
      <c r="AY269" s="139"/>
      <c r="AZ269" s="43"/>
      <c r="BA269" s="139"/>
      <c r="BB269" s="139"/>
      <c r="BC269" s="139"/>
      <c r="BD269" s="139"/>
      <c r="BE269" s="139"/>
      <c r="BF269" s="43"/>
      <c r="BG269" s="139"/>
      <c r="BH269" s="139"/>
      <c r="BI269" s="43"/>
      <c r="BJ269" s="139"/>
      <c r="BK269" s="43"/>
      <c r="BL269" s="139"/>
      <c r="BM269" s="139"/>
      <c r="BN269" s="43"/>
      <c r="BO269" s="139"/>
      <c r="BP269" s="139"/>
      <c r="BQ269" s="43"/>
      <c r="BR269" s="43"/>
      <c r="BS269" s="139"/>
      <c r="BT269" s="43"/>
      <c r="BU269" s="43"/>
      <c r="BV269" s="139"/>
      <c r="BW269" s="43"/>
      <c r="BX269" s="43"/>
      <c r="BY269" s="139"/>
      <c r="BZ269" s="43"/>
      <c r="CA269" s="43"/>
      <c r="CB269" s="139"/>
      <c r="CC269" s="43"/>
      <c r="CD269" s="43"/>
      <c r="CE269" s="139"/>
      <c r="CF269" s="43"/>
      <c r="CG269" s="43"/>
      <c r="CH269" s="139"/>
      <c r="CI269" s="43"/>
      <c r="CJ269" s="43"/>
      <c r="CK269" s="139"/>
    </row>
    <row r="270" ht="15.75" customHeight="1">
      <c r="A270" s="43"/>
      <c r="B270" s="43"/>
      <c r="C270" s="15"/>
      <c r="D270" s="15"/>
      <c r="E270" s="146"/>
      <c r="F270" s="139"/>
      <c r="G270" s="15"/>
      <c r="H270" s="43"/>
      <c r="I270" s="43"/>
      <c r="J270" s="43"/>
      <c r="K270" s="61"/>
      <c r="L270" s="139"/>
      <c r="M270" s="139"/>
      <c r="N270" s="145"/>
      <c r="O270" s="43"/>
      <c r="P270" s="145"/>
      <c r="Q270" s="43"/>
      <c r="R270" s="88"/>
      <c r="S270" s="40"/>
      <c r="T270" s="260"/>
      <c r="U270" s="40"/>
      <c r="V270" s="40"/>
      <c r="W270" s="40"/>
      <c r="X270" s="40"/>
      <c r="Y270" s="40"/>
      <c r="Z270" s="40"/>
      <c r="AA270" s="40"/>
      <c r="AB270" s="40"/>
      <c r="AC270" s="139"/>
      <c r="AD270" s="139"/>
      <c r="AE270" s="40"/>
      <c r="AF270" s="40"/>
      <c r="AG270" s="139"/>
      <c r="AH270" s="139"/>
      <c r="AI270" s="139"/>
      <c r="AJ270" s="43"/>
      <c r="AK270" s="43"/>
      <c r="AL270" s="139"/>
      <c r="AM270" s="43"/>
      <c r="AN270" s="43"/>
      <c r="AO270" s="139"/>
      <c r="AP270" s="43"/>
      <c r="AQ270" s="43"/>
      <c r="AR270" s="139"/>
      <c r="AS270" s="43"/>
      <c r="AT270" s="43"/>
      <c r="AU270" s="139"/>
      <c r="AV270" s="43"/>
      <c r="AW270" s="43"/>
      <c r="AX270" s="139"/>
      <c r="AY270" s="139"/>
      <c r="AZ270" s="43"/>
      <c r="BA270" s="139"/>
      <c r="BB270" s="139"/>
      <c r="BC270" s="139"/>
      <c r="BD270" s="139"/>
      <c r="BE270" s="139"/>
      <c r="BF270" s="43"/>
      <c r="BG270" s="139"/>
      <c r="BH270" s="139"/>
      <c r="BI270" s="43"/>
      <c r="BJ270" s="139"/>
      <c r="BK270" s="43"/>
      <c r="BL270" s="139"/>
      <c r="BM270" s="139"/>
      <c r="BN270" s="43"/>
      <c r="BO270" s="139"/>
      <c r="BP270" s="139"/>
      <c r="BQ270" s="43"/>
      <c r="BR270" s="43"/>
      <c r="BS270" s="139"/>
      <c r="BT270" s="43"/>
      <c r="BU270" s="43"/>
      <c r="BV270" s="139"/>
      <c r="BW270" s="43"/>
      <c r="BX270" s="43"/>
      <c r="BY270" s="139"/>
      <c r="BZ270" s="43"/>
      <c r="CA270" s="43"/>
      <c r="CB270" s="139"/>
      <c r="CC270" s="43"/>
      <c r="CD270" s="43"/>
      <c r="CE270" s="139"/>
      <c r="CF270" s="43"/>
      <c r="CG270" s="43"/>
      <c r="CH270" s="139"/>
      <c r="CI270" s="43"/>
      <c r="CJ270" s="43"/>
      <c r="CK270" s="139"/>
    </row>
    <row r="271" ht="15.75" customHeight="1">
      <c r="A271" s="43"/>
      <c r="B271" s="43"/>
      <c r="C271" s="15"/>
      <c r="D271" s="15"/>
      <c r="E271" s="146"/>
      <c r="F271" s="139"/>
      <c r="G271" s="15"/>
      <c r="H271" s="43"/>
      <c r="I271" s="43"/>
      <c r="J271" s="43"/>
      <c r="K271" s="61"/>
      <c r="L271" s="139"/>
      <c r="M271" s="139"/>
      <c r="N271" s="145"/>
      <c r="O271" s="43"/>
      <c r="P271" s="145"/>
      <c r="Q271" s="43"/>
      <c r="R271" s="88"/>
      <c r="S271" s="40"/>
      <c r="T271" s="260"/>
      <c r="U271" s="40"/>
      <c r="V271" s="40"/>
      <c r="W271" s="40"/>
      <c r="X271" s="40"/>
      <c r="Y271" s="40"/>
      <c r="Z271" s="40"/>
      <c r="AA271" s="40"/>
      <c r="AB271" s="40"/>
      <c r="AC271" s="139"/>
      <c r="AD271" s="139"/>
      <c r="AE271" s="40"/>
      <c r="AF271" s="40"/>
      <c r="AG271" s="139"/>
      <c r="AH271" s="139"/>
      <c r="AI271" s="139"/>
      <c r="AJ271" s="43"/>
      <c r="AK271" s="43"/>
      <c r="AL271" s="139"/>
      <c r="AM271" s="43"/>
      <c r="AN271" s="43"/>
      <c r="AO271" s="139"/>
      <c r="AP271" s="43"/>
      <c r="AQ271" s="43"/>
      <c r="AR271" s="139"/>
      <c r="AS271" s="43"/>
      <c r="AT271" s="43"/>
      <c r="AU271" s="139"/>
      <c r="AV271" s="43"/>
      <c r="AW271" s="43"/>
      <c r="AX271" s="139"/>
      <c r="AY271" s="139"/>
      <c r="AZ271" s="43"/>
      <c r="BA271" s="139"/>
      <c r="BB271" s="139"/>
      <c r="BC271" s="139"/>
      <c r="BD271" s="139"/>
      <c r="BE271" s="139"/>
      <c r="BF271" s="43"/>
      <c r="BG271" s="139"/>
      <c r="BH271" s="139"/>
      <c r="BI271" s="43"/>
      <c r="BJ271" s="139"/>
      <c r="BK271" s="43"/>
      <c r="BL271" s="139"/>
      <c r="BM271" s="139"/>
      <c r="BN271" s="43"/>
      <c r="BO271" s="139"/>
      <c r="BP271" s="139"/>
      <c r="BQ271" s="43"/>
      <c r="BR271" s="43"/>
      <c r="BS271" s="139"/>
      <c r="BT271" s="43"/>
      <c r="BU271" s="43"/>
      <c r="BV271" s="139"/>
      <c r="BW271" s="43"/>
      <c r="BX271" s="43"/>
      <c r="BY271" s="139"/>
      <c r="BZ271" s="43"/>
      <c r="CA271" s="43"/>
      <c r="CB271" s="139"/>
      <c r="CC271" s="43"/>
      <c r="CD271" s="43"/>
      <c r="CE271" s="139"/>
      <c r="CF271" s="43"/>
      <c r="CG271" s="43"/>
      <c r="CH271" s="139"/>
      <c r="CI271" s="43"/>
      <c r="CJ271" s="43"/>
      <c r="CK271" s="139"/>
    </row>
    <row r="272" ht="15.75" customHeight="1">
      <c r="A272" s="43"/>
      <c r="B272" s="43"/>
      <c r="C272" s="15"/>
      <c r="D272" s="15"/>
      <c r="E272" s="146"/>
      <c r="F272" s="139"/>
      <c r="G272" s="15"/>
      <c r="H272" s="43"/>
      <c r="I272" s="43"/>
      <c r="J272" s="43"/>
      <c r="K272" s="61"/>
      <c r="L272" s="139"/>
      <c r="M272" s="139"/>
      <c r="N272" s="145"/>
      <c r="O272" s="43"/>
      <c r="P272" s="145"/>
      <c r="Q272" s="43"/>
      <c r="R272" s="88"/>
      <c r="S272" s="40"/>
      <c r="T272" s="260"/>
      <c r="U272" s="40"/>
      <c r="V272" s="40"/>
      <c r="W272" s="40"/>
      <c r="X272" s="40"/>
      <c r="Y272" s="40"/>
      <c r="Z272" s="40"/>
      <c r="AA272" s="40"/>
      <c r="AB272" s="40"/>
      <c r="AC272" s="139"/>
      <c r="AD272" s="139"/>
      <c r="AE272" s="40"/>
      <c r="AF272" s="40"/>
      <c r="AG272" s="139"/>
      <c r="AH272" s="139"/>
      <c r="AI272" s="139"/>
      <c r="AJ272" s="43"/>
      <c r="AK272" s="43"/>
      <c r="AL272" s="139"/>
      <c r="AM272" s="43"/>
      <c r="AN272" s="43"/>
      <c r="AO272" s="139"/>
      <c r="AP272" s="43"/>
      <c r="AQ272" s="43"/>
      <c r="AR272" s="139"/>
      <c r="AS272" s="43"/>
      <c r="AT272" s="43"/>
      <c r="AU272" s="139"/>
      <c r="AV272" s="43"/>
      <c r="AW272" s="43"/>
      <c r="AX272" s="139"/>
      <c r="AY272" s="139"/>
      <c r="AZ272" s="43"/>
      <c r="BA272" s="139"/>
      <c r="BB272" s="139"/>
      <c r="BC272" s="139"/>
      <c r="BD272" s="139"/>
      <c r="BE272" s="139"/>
      <c r="BF272" s="43"/>
      <c r="BG272" s="139"/>
      <c r="BH272" s="139"/>
      <c r="BI272" s="43"/>
      <c r="BJ272" s="139"/>
      <c r="BK272" s="43"/>
      <c r="BL272" s="139"/>
      <c r="BM272" s="139"/>
      <c r="BN272" s="43"/>
      <c r="BO272" s="139"/>
      <c r="BP272" s="139"/>
      <c r="BQ272" s="43"/>
      <c r="BR272" s="43"/>
      <c r="BS272" s="139"/>
      <c r="BT272" s="43"/>
      <c r="BU272" s="43"/>
      <c r="BV272" s="139"/>
      <c r="BW272" s="43"/>
      <c r="BX272" s="43"/>
      <c r="BY272" s="139"/>
      <c r="BZ272" s="43"/>
      <c r="CA272" s="43"/>
      <c r="CB272" s="139"/>
      <c r="CC272" s="43"/>
      <c r="CD272" s="43"/>
      <c r="CE272" s="139"/>
      <c r="CF272" s="43"/>
      <c r="CG272" s="43"/>
      <c r="CH272" s="139"/>
      <c r="CI272" s="43"/>
      <c r="CJ272" s="43"/>
      <c r="CK272" s="139"/>
    </row>
    <row r="273" ht="15.75" customHeight="1">
      <c r="A273" s="43"/>
      <c r="B273" s="43"/>
      <c r="C273" s="15"/>
      <c r="D273" s="15"/>
      <c r="E273" s="146"/>
      <c r="F273" s="139"/>
      <c r="G273" s="15"/>
      <c r="H273" s="43"/>
      <c r="I273" s="43"/>
      <c r="J273" s="43"/>
      <c r="K273" s="61"/>
      <c r="L273" s="139"/>
      <c r="M273" s="139"/>
      <c r="N273" s="145"/>
      <c r="O273" s="43"/>
      <c r="P273" s="145"/>
      <c r="Q273" s="43"/>
      <c r="R273" s="88"/>
      <c r="S273" s="40"/>
      <c r="T273" s="260"/>
      <c r="U273" s="40"/>
      <c r="V273" s="40"/>
      <c r="W273" s="40"/>
      <c r="X273" s="40"/>
      <c r="Y273" s="40"/>
      <c r="Z273" s="40"/>
      <c r="AA273" s="40"/>
      <c r="AB273" s="40"/>
      <c r="AC273" s="139"/>
      <c r="AD273" s="139"/>
      <c r="AE273" s="40"/>
      <c r="AF273" s="40"/>
      <c r="AG273" s="139"/>
      <c r="AH273" s="139"/>
      <c r="AI273" s="139"/>
      <c r="AJ273" s="43"/>
      <c r="AK273" s="43"/>
      <c r="AL273" s="139"/>
      <c r="AM273" s="43"/>
      <c r="AN273" s="43"/>
      <c r="AO273" s="139"/>
      <c r="AP273" s="43"/>
      <c r="AQ273" s="43"/>
      <c r="AR273" s="139"/>
      <c r="AS273" s="43"/>
      <c r="AT273" s="43"/>
      <c r="AU273" s="139"/>
      <c r="AV273" s="43"/>
      <c r="AW273" s="43"/>
      <c r="AX273" s="139"/>
      <c r="AY273" s="139"/>
      <c r="AZ273" s="43"/>
      <c r="BA273" s="139"/>
      <c r="BB273" s="139"/>
      <c r="BC273" s="139"/>
      <c r="BD273" s="139"/>
      <c r="BE273" s="139"/>
      <c r="BF273" s="43"/>
      <c r="BG273" s="139"/>
      <c r="BH273" s="139"/>
      <c r="BI273" s="43"/>
      <c r="BJ273" s="139"/>
      <c r="BK273" s="43"/>
      <c r="BL273" s="139"/>
      <c r="BM273" s="139"/>
      <c r="BN273" s="43"/>
      <c r="BO273" s="139"/>
      <c r="BP273" s="139"/>
      <c r="BQ273" s="43"/>
      <c r="BR273" s="43"/>
      <c r="BS273" s="139"/>
      <c r="BT273" s="43"/>
      <c r="BU273" s="43"/>
      <c r="BV273" s="139"/>
      <c r="BW273" s="43"/>
      <c r="BX273" s="43"/>
      <c r="BY273" s="139"/>
      <c r="BZ273" s="43"/>
      <c r="CA273" s="43"/>
      <c r="CB273" s="139"/>
      <c r="CC273" s="43"/>
      <c r="CD273" s="43"/>
      <c r="CE273" s="139"/>
      <c r="CF273" s="43"/>
      <c r="CG273" s="43"/>
      <c r="CH273" s="139"/>
      <c r="CI273" s="43"/>
      <c r="CJ273" s="43"/>
      <c r="CK273" s="139"/>
    </row>
    <row r="274" ht="15.75" customHeight="1">
      <c r="A274" s="43"/>
      <c r="B274" s="43"/>
      <c r="C274" s="15"/>
      <c r="D274" s="15"/>
      <c r="E274" s="146"/>
      <c r="F274" s="139"/>
      <c r="G274" s="15"/>
      <c r="H274" s="43"/>
      <c r="I274" s="43"/>
      <c r="J274" s="43"/>
      <c r="K274" s="61"/>
      <c r="L274" s="139"/>
      <c r="M274" s="139"/>
      <c r="N274" s="145"/>
      <c r="O274" s="43"/>
      <c r="P274" s="145"/>
      <c r="Q274" s="43"/>
      <c r="R274" s="88"/>
      <c r="S274" s="40"/>
      <c r="T274" s="260"/>
      <c r="U274" s="40"/>
      <c r="V274" s="40"/>
      <c r="W274" s="40"/>
      <c r="X274" s="40"/>
      <c r="Y274" s="40"/>
      <c r="Z274" s="40"/>
      <c r="AA274" s="40"/>
      <c r="AB274" s="40"/>
      <c r="AC274" s="139"/>
      <c r="AD274" s="139"/>
      <c r="AE274" s="40"/>
      <c r="AF274" s="40"/>
      <c r="AG274" s="139"/>
      <c r="AH274" s="139"/>
      <c r="AI274" s="139"/>
      <c r="AJ274" s="43"/>
      <c r="AK274" s="43"/>
      <c r="AL274" s="139"/>
      <c r="AM274" s="43"/>
      <c r="AN274" s="43"/>
      <c r="AO274" s="139"/>
      <c r="AP274" s="43"/>
      <c r="AQ274" s="43"/>
      <c r="AR274" s="139"/>
      <c r="AS274" s="43"/>
      <c r="AT274" s="43"/>
      <c r="AU274" s="139"/>
      <c r="AV274" s="43"/>
      <c r="AW274" s="43"/>
      <c r="AX274" s="139"/>
      <c r="AY274" s="139"/>
      <c r="AZ274" s="43"/>
      <c r="BA274" s="139"/>
      <c r="BB274" s="139"/>
      <c r="BC274" s="139"/>
      <c r="BD274" s="139"/>
      <c r="BE274" s="139"/>
      <c r="BF274" s="43"/>
      <c r="BG274" s="139"/>
      <c r="BH274" s="139"/>
      <c r="BI274" s="43"/>
      <c r="BJ274" s="139"/>
      <c r="BK274" s="43"/>
      <c r="BL274" s="139"/>
      <c r="BM274" s="139"/>
      <c r="BN274" s="43"/>
      <c r="BO274" s="139"/>
      <c r="BP274" s="139"/>
      <c r="BQ274" s="43"/>
      <c r="BR274" s="43"/>
      <c r="BS274" s="139"/>
      <c r="BT274" s="43"/>
      <c r="BU274" s="43"/>
      <c r="BV274" s="139"/>
      <c r="BW274" s="43"/>
      <c r="BX274" s="43"/>
      <c r="BY274" s="139"/>
      <c r="BZ274" s="43"/>
      <c r="CA274" s="43"/>
      <c r="CB274" s="139"/>
      <c r="CC274" s="43"/>
      <c r="CD274" s="43"/>
      <c r="CE274" s="139"/>
      <c r="CF274" s="43"/>
      <c r="CG274" s="43"/>
      <c r="CH274" s="139"/>
      <c r="CI274" s="43"/>
      <c r="CJ274" s="43"/>
      <c r="CK274" s="139"/>
    </row>
    <row r="275" ht="15.75" customHeight="1">
      <c r="A275" s="43"/>
      <c r="B275" s="43"/>
      <c r="C275" s="15"/>
      <c r="D275" s="15"/>
      <c r="E275" s="146"/>
      <c r="F275" s="139"/>
      <c r="G275" s="15"/>
      <c r="H275" s="43"/>
      <c r="I275" s="43"/>
      <c r="J275" s="43"/>
      <c r="K275" s="61"/>
      <c r="L275" s="139"/>
      <c r="M275" s="139"/>
      <c r="N275" s="145"/>
      <c r="O275" s="43"/>
      <c r="P275" s="145"/>
      <c r="Q275" s="43"/>
      <c r="R275" s="88"/>
      <c r="S275" s="40"/>
      <c r="T275" s="260"/>
      <c r="U275" s="40"/>
      <c r="V275" s="40"/>
      <c r="W275" s="40"/>
      <c r="X275" s="40"/>
      <c r="Y275" s="40"/>
      <c r="Z275" s="40"/>
      <c r="AA275" s="40"/>
      <c r="AB275" s="40"/>
      <c r="AC275" s="139"/>
      <c r="AD275" s="139"/>
      <c r="AE275" s="40"/>
      <c r="AF275" s="40"/>
      <c r="AG275" s="139"/>
      <c r="AH275" s="139"/>
      <c r="AI275" s="139"/>
      <c r="AJ275" s="43"/>
      <c r="AK275" s="43"/>
      <c r="AL275" s="139"/>
      <c r="AM275" s="43"/>
      <c r="AN275" s="43"/>
      <c r="AO275" s="139"/>
      <c r="AP275" s="43"/>
      <c r="AQ275" s="43"/>
      <c r="AR275" s="139"/>
      <c r="AS275" s="43"/>
      <c r="AT275" s="43"/>
      <c r="AU275" s="139"/>
      <c r="AV275" s="43"/>
      <c r="AW275" s="43"/>
      <c r="AX275" s="139"/>
      <c r="AY275" s="139"/>
      <c r="AZ275" s="43"/>
      <c r="BA275" s="139"/>
      <c r="BB275" s="139"/>
      <c r="BC275" s="139"/>
      <c r="BD275" s="139"/>
      <c r="BE275" s="139"/>
      <c r="BF275" s="43"/>
      <c r="BG275" s="139"/>
      <c r="BH275" s="139"/>
      <c r="BI275" s="43"/>
      <c r="BJ275" s="139"/>
      <c r="BK275" s="43"/>
      <c r="BL275" s="139"/>
      <c r="BM275" s="139"/>
      <c r="BN275" s="43"/>
      <c r="BO275" s="139"/>
      <c r="BP275" s="139"/>
      <c r="BQ275" s="43"/>
      <c r="BR275" s="43"/>
      <c r="BS275" s="139"/>
      <c r="BT275" s="43"/>
      <c r="BU275" s="43"/>
      <c r="BV275" s="139"/>
      <c r="BW275" s="43"/>
      <c r="BX275" s="43"/>
      <c r="BY275" s="139"/>
      <c r="BZ275" s="43"/>
      <c r="CA275" s="43"/>
      <c r="CB275" s="139"/>
      <c r="CC275" s="43"/>
      <c r="CD275" s="43"/>
      <c r="CE275" s="139"/>
      <c r="CF275" s="43"/>
      <c r="CG275" s="43"/>
      <c r="CH275" s="139"/>
      <c r="CI275" s="43"/>
      <c r="CJ275" s="43"/>
      <c r="CK275" s="139"/>
    </row>
    <row r="276" ht="15.75" customHeight="1">
      <c r="A276" s="43"/>
      <c r="B276" s="43"/>
      <c r="C276" s="15"/>
      <c r="D276" s="15"/>
      <c r="E276" s="146"/>
      <c r="F276" s="139"/>
      <c r="G276" s="15"/>
      <c r="H276" s="43"/>
      <c r="I276" s="43"/>
      <c r="J276" s="43"/>
      <c r="K276" s="61"/>
      <c r="L276" s="139"/>
      <c r="M276" s="139"/>
      <c r="N276" s="145"/>
      <c r="O276" s="43"/>
      <c r="P276" s="145"/>
      <c r="Q276" s="43"/>
      <c r="R276" s="88"/>
      <c r="S276" s="40"/>
      <c r="T276" s="260"/>
      <c r="U276" s="40"/>
      <c r="V276" s="40"/>
      <c r="W276" s="40"/>
      <c r="X276" s="40"/>
      <c r="Y276" s="40"/>
      <c r="Z276" s="40"/>
      <c r="AA276" s="40"/>
      <c r="AB276" s="40"/>
      <c r="AC276" s="139"/>
      <c r="AD276" s="139"/>
      <c r="AE276" s="40"/>
      <c r="AF276" s="40"/>
      <c r="AG276" s="139"/>
      <c r="AH276" s="139"/>
      <c r="AI276" s="139"/>
      <c r="AJ276" s="43"/>
      <c r="AK276" s="43"/>
      <c r="AL276" s="139"/>
      <c r="AM276" s="43"/>
      <c r="AN276" s="43"/>
      <c r="AO276" s="139"/>
      <c r="AP276" s="43"/>
      <c r="AQ276" s="43"/>
      <c r="AR276" s="139"/>
      <c r="AS276" s="43"/>
      <c r="AT276" s="43"/>
      <c r="AU276" s="139"/>
      <c r="AV276" s="43"/>
      <c r="AW276" s="43"/>
      <c r="AX276" s="139"/>
      <c r="AY276" s="139"/>
      <c r="AZ276" s="43"/>
      <c r="BA276" s="139"/>
      <c r="BB276" s="139"/>
      <c r="BC276" s="139"/>
      <c r="BD276" s="139"/>
      <c r="BE276" s="139"/>
      <c r="BF276" s="43"/>
      <c r="BG276" s="139"/>
      <c r="BH276" s="139"/>
      <c r="BI276" s="43"/>
      <c r="BJ276" s="139"/>
      <c r="BK276" s="43"/>
      <c r="BL276" s="139"/>
      <c r="BM276" s="139"/>
      <c r="BN276" s="43"/>
      <c r="BO276" s="139"/>
      <c r="BP276" s="139"/>
      <c r="BQ276" s="43"/>
      <c r="BR276" s="43"/>
      <c r="BS276" s="139"/>
      <c r="BT276" s="43"/>
      <c r="BU276" s="43"/>
      <c r="BV276" s="139"/>
      <c r="BW276" s="43"/>
      <c r="BX276" s="43"/>
      <c r="BY276" s="139"/>
      <c r="BZ276" s="43"/>
      <c r="CA276" s="43"/>
      <c r="CB276" s="139"/>
      <c r="CC276" s="43"/>
      <c r="CD276" s="43"/>
      <c r="CE276" s="139"/>
      <c r="CF276" s="43"/>
      <c r="CG276" s="43"/>
      <c r="CH276" s="139"/>
      <c r="CI276" s="43"/>
      <c r="CJ276" s="43"/>
      <c r="CK276" s="139"/>
    </row>
    <row r="277" ht="15.75" customHeight="1">
      <c r="A277" s="43"/>
      <c r="B277" s="43"/>
      <c r="C277" s="15"/>
      <c r="D277" s="15"/>
      <c r="E277" s="146"/>
      <c r="F277" s="139"/>
      <c r="G277" s="15"/>
      <c r="H277" s="43"/>
      <c r="I277" s="43"/>
      <c r="J277" s="43"/>
      <c r="K277" s="61"/>
      <c r="L277" s="139"/>
      <c r="M277" s="139"/>
      <c r="N277" s="145"/>
      <c r="O277" s="43"/>
      <c r="P277" s="145"/>
      <c r="Q277" s="43"/>
      <c r="R277" s="88"/>
      <c r="S277" s="40"/>
      <c r="T277" s="260"/>
      <c r="U277" s="40"/>
      <c r="V277" s="40"/>
      <c r="W277" s="40"/>
      <c r="X277" s="40"/>
      <c r="Y277" s="40"/>
      <c r="Z277" s="40"/>
      <c r="AA277" s="40"/>
      <c r="AB277" s="40"/>
      <c r="AC277" s="139"/>
      <c r="AD277" s="139"/>
      <c r="AE277" s="40"/>
      <c r="AF277" s="40"/>
      <c r="AG277" s="139"/>
      <c r="AH277" s="139"/>
      <c r="AI277" s="139"/>
      <c r="AJ277" s="43"/>
      <c r="AK277" s="43"/>
      <c r="AL277" s="139"/>
      <c r="AM277" s="43"/>
      <c r="AN277" s="43"/>
      <c r="AO277" s="139"/>
      <c r="AP277" s="43"/>
      <c r="AQ277" s="43"/>
      <c r="AR277" s="139"/>
      <c r="AS277" s="43"/>
      <c r="AT277" s="43"/>
      <c r="AU277" s="139"/>
      <c r="AV277" s="43"/>
      <c r="AW277" s="43"/>
      <c r="AX277" s="139"/>
      <c r="AY277" s="139"/>
      <c r="AZ277" s="43"/>
      <c r="BA277" s="139"/>
      <c r="BB277" s="139"/>
      <c r="BC277" s="139"/>
      <c r="BD277" s="139"/>
      <c r="BE277" s="139"/>
      <c r="BF277" s="43"/>
      <c r="BG277" s="139"/>
      <c r="BH277" s="139"/>
      <c r="BI277" s="43"/>
      <c r="BJ277" s="139"/>
      <c r="BK277" s="43"/>
      <c r="BL277" s="139"/>
      <c r="BM277" s="139"/>
      <c r="BN277" s="43"/>
      <c r="BO277" s="139"/>
      <c r="BP277" s="139"/>
      <c r="BQ277" s="43"/>
      <c r="BR277" s="43"/>
      <c r="BS277" s="139"/>
      <c r="BT277" s="43"/>
      <c r="BU277" s="43"/>
      <c r="BV277" s="139"/>
      <c r="BW277" s="43"/>
      <c r="BX277" s="43"/>
      <c r="BY277" s="139"/>
      <c r="BZ277" s="43"/>
      <c r="CA277" s="43"/>
      <c r="CB277" s="139"/>
      <c r="CC277" s="43"/>
      <c r="CD277" s="43"/>
      <c r="CE277" s="139"/>
      <c r="CF277" s="43"/>
      <c r="CG277" s="43"/>
      <c r="CH277" s="139"/>
      <c r="CI277" s="43"/>
      <c r="CJ277" s="43"/>
      <c r="CK277" s="139"/>
    </row>
    <row r="278" ht="15.75" customHeight="1">
      <c r="A278" s="43"/>
      <c r="B278" s="43"/>
      <c r="C278" s="15"/>
      <c r="D278" s="15"/>
      <c r="E278" s="146"/>
      <c r="F278" s="139"/>
      <c r="G278" s="15"/>
      <c r="H278" s="43"/>
      <c r="I278" s="43"/>
      <c r="J278" s="43"/>
      <c r="K278" s="61"/>
      <c r="L278" s="139"/>
      <c r="M278" s="139"/>
      <c r="N278" s="145"/>
      <c r="O278" s="43"/>
      <c r="P278" s="145"/>
      <c r="Q278" s="43"/>
      <c r="R278" s="88"/>
      <c r="S278" s="40"/>
      <c r="T278" s="260"/>
      <c r="U278" s="40"/>
      <c r="V278" s="40"/>
      <c r="W278" s="40"/>
      <c r="X278" s="40"/>
      <c r="Y278" s="40"/>
      <c r="Z278" s="40"/>
      <c r="AA278" s="40"/>
      <c r="AB278" s="40"/>
      <c r="AC278" s="139"/>
      <c r="AD278" s="139"/>
      <c r="AE278" s="40"/>
      <c r="AF278" s="40"/>
      <c r="AG278" s="139"/>
      <c r="AH278" s="139"/>
      <c r="AI278" s="139"/>
      <c r="AJ278" s="43"/>
      <c r="AK278" s="43"/>
      <c r="AL278" s="139"/>
      <c r="AM278" s="43"/>
      <c r="AN278" s="43"/>
      <c r="AO278" s="139"/>
      <c r="AP278" s="43"/>
      <c r="AQ278" s="43"/>
      <c r="AR278" s="139"/>
      <c r="AS278" s="43"/>
      <c r="AT278" s="43"/>
      <c r="AU278" s="139"/>
      <c r="AV278" s="43"/>
      <c r="AW278" s="43"/>
      <c r="AX278" s="139"/>
      <c r="AY278" s="139"/>
      <c r="AZ278" s="43"/>
      <c r="BA278" s="139"/>
      <c r="BB278" s="139"/>
      <c r="BC278" s="139"/>
      <c r="BD278" s="139"/>
      <c r="BE278" s="139"/>
      <c r="BF278" s="43"/>
      <c r="BG278" s="139"/>
      <c r="BH278" s="139"/>
      <c r="BI278" s="43"/>
      <c r="BJ278" s="139"/>
      <c r="BK278" s="43"/>
      <c r="BL278" s="139"/>
      <c r="BM278" s="139"/>
      <c r="BN278" s="43"/>
      <c r="BO278" s="139"/>
      <c r="BP278" s="139"/>
      <c r="BQ278" s="43"/>
      <c r="BR278" s="43"/>
      <c r="BS278" s="139"/>
      <c r="BT278" s="43"/>
      <c r="BU278" s="43"/>
      <c r="BV278" s="139"/>
      <c r="BW278" s="43"/>
      <c r="BX278" s="43"/>
      <c r="BY278" s="139"/>
      <c r="BZ278" s="43"/>
      <c r="CA278" s="43"/>
      <c r="CB278" s="139"/>
      <c r="CC278" s="43"/>
      <c r="CD278" s="43"/>
      <c r="CE278" s="139"/>
      <c r="CF278" s="43"/>
      <c r="CG278" s="43"/>
      <c r="CH278" s="139"/>
      <c r="CI278" s="43"/>
      <c r="CJ278" s="43"/>
      <c r="CK278" s="139"/>
    </row>
    <row r="279" ht="15.75" customHeight="1">
      <c r="A279" s="43"/>
      <c r="B279" s="43"/>
      <c r="C279" s="15"/>
      <c r="D279" s="15"/>
      <c r="E279" s="146"/>
      <c r="F279" s="139"/>
      <c r="G279" s="15"/>
      <c r="H279" s="43"/>
      <c r="I279" s="43"/>
      <c r="J279" s="43"/>
      <c r="K279" s="61"/>
      <c r="L279" s="139"/>
      <c r="M279" s="139"/>
      <c r="N279" s="145"/>
      <c r="O279" s="43"/>
      <c r="P279" s="145"/>
      <c r="Q279" s="43"/>
      <c r="R279" s="88"/>
      <c r="S279" s="40"/>
      <c r="T279" s="260"/>
      <c r="U279" s="40"/>
      <c r="V279" s="40"/>
      <c r="W279" s="40"/>
      <c r="X279" s="40"/>
      <c r="Y279" s="40"/>
      <c r="Z279" s="40"/>
      <c r="AA279" s="40"/>
      <c r="AB279" s="40"/>
      <c r="AC279" s="139"/>
      <c r="AD279" s="139"/>
      <c r="AE279" s="40"/>
      <c r="AF279" s="40"/>
      <c r="AG279" s="139"/>
      <c r="AH279" s="139"/>
      <c r="AI279" s="139"/>
      <c r="AJ279" s="43"/>
      <c r="AK279" s="43"/>
      <c r="AL279" s="139"/>
      <c r="AM279" s="43"/>
      <c r="AN279" s="43"/>
      <c r="AO279" s="139"/>
      <c r="AP279" s="43"/>
      <c r="AQ279" s="43"/>
      <c r="AR279" s="139"/>
      <c r="AS279" s="43"/>
      <c r="AT279" s="43"/>
      <c r="AU279" s="139"/>
      <c r="AV279" s="43"/>
      <c r="AW279" s="43"/>
      <c r="AX279" s="139"/>
      <c r="AY279" s="139"/>
      <c r="AZ279" s="43"/>
      <c r="BA279" s="139"/>
      <c r="BB279" s="139"/>
      <c r="BC279" s="139"/>
      <c r="BD279" s="139"/>
      <c r="BE279" s="139"/>
      <c r="BF279" s="43"/>
      <c r="BG279" s="139"/>
      <c r="BH279" s="139"/>
      <c r="BI279" s="43"/>
      <c r="BJ279" s="139"/>
      <c r="BK279" s="43"/>
      <c r="BL279" s="139"/>
      <c r="BM279" s="139"/>
      <c r="BN279" s="43"/>
      <c r="BO279" s="139"/>
      <c r="BP279" s="139"/>
      <c r="BQ279" s="43"/>
      <c r="BR279" s="43"/>
      <c r="BS279" s="139"/>
      <c r="BT279" s="43"/>
      <c r="BU279" s="43"/>
      <c r="BV279" s="139"/>
      <c r="BW279" s="43"/>
      <c r="BX279" s="43"/>
      <c r="BY279" s="139"/>
      <c r="BZ279" s="43"/>
      <c r="CA279" s="43"/>
      <c r="CB279" s="139"/>
      <c r="CC279" s="43"/>
      <c r="CD279" s="43"/>
      <c r="CE279" s="139"/>
      <c r="CF279" s="43"/>
      <c r="CG279" s="43"/>
      <c r="CH279" s="139"/>
      <c r="CI279" s="43"/>
      <c r="CJ279" s="43"/>
      <c r="CK279" s="139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K10:AK11 AN10:AN11 AQ10:AQ11 AT10:AT11">
    <cfRule type="cellIs" dxfId="2" priority="1" operator="greaterThan">
      <formula>0</formula>
    </cfRule>
  </conditionalFormatting>
  <conditionalFormatting sqref="AW10:AW11">
    <cfRule type="cellIs" dxfId="2" priority="2" operator="greaterThan">
      <formula>0</formula>
    </cfRule>
  </conditionalFormatting>
  <conditionalFormatting sqref="BR5">
    <cfRule type="cellIs" dxfId="2" priority="3" operator="greaterThan">
      <formula>0</formula>
    </cfRule>
  </conditionalFormatting>
  <conditionalFormatting sqref="BR4">
    <cfRule type="cellIs" dxfId="2" priority="4" operator="greaterThan">
      <formula>0</formula>
    </cfRule>
  </conditionalFormatting>
  <conditionalFormatting sqref="Y4:Y8 AC4:AC8 AH4:AH8 AK4:AK8 AN4:AN8 AQ4:AQ8 AT4:AT8 AW4:AW8">
    <cfRule type="cellIs" dxfId="2" priority="5" operator="greaterThan">
      <formula>0</formula>
    </cfRule>
  </conditionalFormatting>
  <conditionalFormatting sqref="BF10:BF11">
    <cfRule type="cellIs" dxfId="2" priority="6" operator="greaterThan">
      <formula>0</formula>
    </cfRule>
  </conditionalFormatting>
  <conditionalFormatting sqref="BF4:BF8">
    <cfRule type="cellIs" dxfId="2" priority="7" operator="greaterThan">
      <formula>0</formula>
    </cfRule>
  </conditionalFormatting>
  <conditionalFormatting sqref="BI4:BI8">
    <cfRule type="cellIs" dxfId="2" priority="8" operator="greaterThan">
      <formula>0</formula>
    </cfRule>
  </conditionalFormatting>
  <conditionalFormatting sqref="BI10:BI11">
    <cfRule type="cellIs" dxfId="2" priority="9" operator="greaterThan">
      <formula>0</formula>
    </cfRule>
  </conditionalFormatting>
  <conditionalFormatting sqref="BC10:BC11">
    <cfRule type="cellIs" dxfId="2" priority="10" operator="greaterThan">
      <formula>0</formula>
    </cfRule>
  </conditionalFormatting>
  <conditionalFormatting sqref="BC4:BC8">
    <cfRule type="cellIs" dxfId="2" priority="11" operator="greaterThan">
      <formula>0</formula>
    </cfRule>
  </conditionalFormatting>
  <conditionalFormatting sqref="AZ4:AZ8">
    <cfRule type="cellIs" dxfId="2" priority="12" operator="greaterThan">
      <formula>0</formula>
    </cfRule>
  </conditionalFormatting>
  <conditionalFormatting sqref="AZ10:AZ11">
    <cfRule type="cellIs" dxfId="2" priority="13" operator="greaterThan">
      <formula>0</formula>
    </cfRule>
  </conditionalFormatting>
  <conditionalFormatting sqref="BU5:BU8 BU10:BU11">
    <cfRule type="cellIs" dxfId="2" priority="14" operator="greaterThan">
      <formula>0</formula>
    </cfRule>
  </conditionalFormatting>
  <conditionalFormatting sqref="BU4">
    <cfRule type="cellIs" dxfId="2" priority="15" operator="greaterThan">
      <formula>0</formula>
    </cfRule>
  </conditionalFormatting>
  <conditionalFormatting sqref="BX5:BX8 BX10:BX11">
    <cfRule type="cellIs" dxfId="2" priority="16" operator="greaterThan">
      <formula>0</formula>
    </cfRule>
  </conditionalFormatting>
  <conditionalFormatting sqref="BX4">
    <cfRule type="cellIs" dxfId="2" priority="17" operator="greaterThan">
      <formula>0</formula>
    </cfRule>
  </conditionalFormatting>
  <conditionalFormatting sqref="CA5:CA8 CA10:CA11">
    <cfRule type="cellIs" dxfId="2" priority="18" operator="greaterThan">
      <formula>0</formula>
    </cfRule>
  </conditionalFormatting>
  <conditionalFormatting sqref="CA4">
    <cfRule type="cellIs" dxfId="2" priority="19" operator="greaterThan">
      <formula>0</formula>
    </cfRule>
  </conditionalFormatting>
  <conditionalFormatting sqref="CD5:CD8 CD10:CD11">
    <cfRule type="cellIs" dxfId="2" priority="20" operator="greaterThan">
      <formula>0</formula>
    </cfRule>
  </conditionalFormatting>
  <conditionalFormatting sqref="CD4">
    <cfRule type="cellIs" dxfId="2" priority="21" operator="greaterThan">
      <formula>0</formula>
    </cfRule>
  </conditionalFormatting>
  <conditionalFormatting sqref="BK10:BK11">
    <cfRule type="cellIs" dxfId="2" priority="22" operator="greaterThan">
      <formula>0</formula>
    </cfRule>
  </conditionalFormatting>
  <conditionalFormatting sqref="BK4:BK8">
    <cfRule type="cellIs" dxfId="2" priority="23" operator="greaterThan">
      <formula>0</formula>
    </cfRule>
  </conditionalFormatting>
  <conditionalFormatting sqref="CG5:CG8 CG10:CG11">
    <cfRule type="cellIs" dxfId="2" priority="24" operator="greaterThan">
      <formula>0</formula>
    </cfRule>
  </conditionalFormatting>
  <conditionalFormatting sqref="CG4">
    <cfRule type="cellIs" dxfId="2" priority="25" operator="greaterThan">
      <formula>0</formula>
    </cfRule>
  </conditionalFormatting>
  <conditionalFormatting sqref="CJ5:CJ8 CJ10:CJ11">
    <cfRule type="cellIs" dxfId="2" priority="26" operator="greaterThan">
      <formula>0</formula>
    </cfRule>
  </conditionalFormatting>
  <conditionalFormatting sqref="CJ4">
    <cfRule type="cellIs" dxfId="2" priority="27" operator="greaterThan">
      <formula>0</formula>
    </cfRule>
  </conditionalFormatting>
  <conditionalFormatting sqref="BN10:BN11">
    <cfRule type="cellIs" dxfId="2" priority="28" operator="greaterThan">
      <formula>0</formula>
    </cfRule>
  </conditionalFormatting>
  <conditionalFormatting sqref="BN4:BN8">
    <cfRule type="cellIs" dxfId="2" priority="29" operator="greaterThan">
      <formula>0</formula>
    </cfRule>
  </conditionalFormatting>
  <conditionalFormatting sqref="BR10:BR11">
    <cfRule type="cellIs" dxfId="2" priority="30" operator="greaterThan">
      <formula>0</formula>
    </cfRule>
  </conditionalFormatting>
  <conditionalFormatting sqref="BR6:BR8">
    <cfRule type="cellIs" dxfId="2" priority="31" operator="greaterThan">
      <formula>0</formula>
    </cfRule>
  </conditionalFormatting>
  <hyperlinks>
    <hyperlink r:id="rId2" ref="B13"/>
    <hyperlink r:id="rId3" ref="B14"/>
    <hyperlink r:id="rId4" ref="B15"/>
    <hyperlink r:id="rId5" ref="B16"/>
    <hyperlink r:id="rId6" ref="B17"/>
    <hyperlink r:id="rId7" ref="B18"/>
    <hyperlink r:id="rId8" ref="B19"/>
    <hyperlink r:id="rId9" ref="B20"/>
    <hyperlink r:id="rId10" ref="B21"/>
    <hyperlink r:id="rId11" ref="B22"/>
    <hyperlink r:id="rId12" ref="B23"/>
    <hyperlink r:id="rId13" ref="B24"/>
    <hyperlink r:id="rId14" ref="B25"/>
    <hyperlink r:id="rId15" ref="B26"/>
    <hyperlink r:id="rId16" ref="B28"/>
    <hyperlink r:id="rId17" ref="B29"/>
    <hyperlink r:id="rId18" ref="B30"/>
    <hyperlink r:id="rId19" ref="B31"/>
    <hyperlink r:id="rId20" ref="B32"/>
    <hyperlink r:id="rId21" ref="B33"/>
    <hyperlink r:id="rId22" ref="B34"/>
    <hyperlink r:id="rId23" ref="B35"/>
    <hyperlink r:id="rId24" ref="B36"/>
    <hyperlink r:id="rId25" ref="B37"/>
    <hyperlink r:id="rId26" ref="B38"/>
    <hyperlink r:id="rId27" ref="B39"/>
    <hyperlink r:id="rId28" ref="B40"/>
    <hyperlink r:id="rId29" ref="B41"/>
    <hyperlink r:id="rId30" ref="B42"/>
    <hyperlink r:id="rId31" ref="B43"/>
    <hyperlink r:id="rId32" ref="B44"/>
    <hyperlink r:id="rId33" ref="B45"/>
    <hyperlink r:id="rId34" ref="B46"/>
    <hyperlink r:id="rId35" ref="B47"/>
    <hyperlink r:id="rId36" ref="B48"/>
    <hyperlink r:id="rId37" ref="B49"/>
    <hyperlink r:id="rId38" ref="B50"/>
    <hyperlink r:id="rId39" ref="B51"/>
    <hyperlink r:id="rId40" ref="B52"/>
    <hyperlink r:id="rId41" ref="B53"/>
    <hyperlink r:id="rId42" ref="B54"/>
    <hyperlink r:id="rId43" ref="B55"/>
    <hyperlink r:id="rId44" ref="B56"/>
    <hyperlink r:id="rId45" ref="B57"/>
    <hyperlink r:id="rId46" ref="B58"/>
    <hyperlink r:id="rId47" ref="B59"/>
    <hyperlink r:id="rId48" ref="B60"/>
    <hyperlink r:id="rId49" ref="B61"/>
    <hyperlink r:id="rId50" ref="B62"/>
    <hyperlink r:id="rId51" ref="B63"/>
    <hyperlink r:id="rId52" ref="B64"/>
    <hyperlink r:id="rId53" ref="B65"/>
    <hyperlink r:id="rId54" ref="B66"/>
  </hyperlinks>
  <printOptions gridLines="1"/>
  <pageMargins bottom="0.75" footer="0.0" header="0.0" left="0.25" right="0.25" top="0.75"/>
  <pageSetup fitToHeight="0" paperSize="5" orientation="landscape"/>
  <headerFooter>
    <oddHeader>&amp;LSAGE LIBRARY SYSTEM Membership fee schedule</oddHeader>
    <oddFooter>&amp;R&amp;P of</oddFooter>
  </headerFooter>
  <drawing r:id="rId55"/>
  <legacyDrawing r:id="rId5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2022-01-15T00:38:45Z</dcterms:created>
  <dc:creator>Director</dc:creator>
</cp:coreProperties>
</file>